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2720" windowHeight="10950" tabRatio="887" activeTab="1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98" r:id="rId5"/>
    <sheet name="Marketing" sheetId="97" r:id="rId6"/>
    <sheet name="Fund Shift Log" sheetId="29" r:id="rId7"/>
    <sheet name="Event Summary" sheetId="57" r:id="rId8"/>
    <sheet name="SDGE Costs - AMDRMA Balance" sheetId="99" r:id="rId9"/>
    <sheet name="SDGE Costs -GRC " sheetId="10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Summary'!$A$2:$G$23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Summary'!$A$1:$G$23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'!$A$1:$U$54</definedName>
    <definedName name="_xlnm.Print_Area" localSheetId="8">'SDGE Costs - AMDRMA Balance'!$A$1:$R$67</definedName>
    <definedName name="_xlnm.Print_Area" localSheetId="9">'SDGE Costs -GRC 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'!$A$1:$Z$53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Q29" i="100" l="1"/>
  <c r="P27" i="100"/>
  <c r="O27" i="100"/>
  <c r="N27" i="100"/>
  <c r="L27" i="100"/>
  <c r="J27" i="100"/>
  <c r="H27" i="100"/>
  <c r="G27" i="100"/>
  <c r="F27" i="100"/>
  <c r="E27" i="100"/>
  <c r="D27" i="100"/>
  <c r="C27" i="100"/>
  <c r="B27" i="100"/>
  <c r="Q27" i="100" s="1"/>
  <c r="Q26" i="100"/>
  <c r="Q25" i="100"/>
  <c r="Q24" i="100"/>
  <c r="Q23" i="100"/>
  <c r="P20" i="100"/>
  <c r="O20" i="100"/>
  <c r="N20" i="100"/>
  <c r="L20" i="100"/>
  <c r="J20" i="100"/>
  <c r="H20" i="100"/>
  <c r="G20" i="100"/>
  <c r="F20" i="100"/>
  <c r="E20" i="100"/>
  <c r="D20" i="100"/>
  <c r="C20" i="100"/>
  <c r="B20" i="100"/>
  <c r="Q20" i="100" s="1"/>
  <c r="Q19" i="100"/>
  <c r="P16" i="100"/>
  <c r="O16" i="100"/>
  <c r="O30" i="100" s="1"/>
  <c r="N16" i="100"/>
  <c r="N30" i="100" s="1"/>
  <c r="L16" i="100"/>
  <c r="J16" i="100"/>
  <c r="H16" i="100"/>
  <c r="H30" i="100" s="1"/>
  <c r="G16" i="100"/>
  <c r="G30" i="100" s="1"/>
  <c r="F16" i="100"/>
  <c r="E16" i="100"/>
  <c r="D16" i="100"/>
  <c r="D30" i="100" s="1"/>
  <c r="C16" i="100"/>
  <c r="C30" i="100" s="1"/>
  <c r="B16" i="100"/>
  <c r="Q16" i="100" s="1"/>
  <c r="Q15" i="100"/>
  <c r="P12" i="100"/>
  <c r="P30" i="100" s="1"/>
  <c r="O12" i="100"/>
  <c r="N12" i="100"/>
  <c r="L12" i="100"/>
  <c r="L30" i="100" s="1"/>
  <c r="J12" i="100"/>
  <c r="J30" i="100" s="1"/>
  <c r="H12" i="100"/>
  <c r="G12" i="100"/>
  <c r="F12" i="100"/>
  <c r="F30" i="100" s="1"/>
  <c r="E12" i="100"/>
  <c r="E30" i="100" s="1"/>
  <c r="D12" i="100"/>
  <c r="C12" i="100"/>
  <c r="B12" i="100"/>
  <c r="B30" i="100" s="1"/>
  <c r="Q11" i="100"/>
  <c r="Q10" i="100"/>
  <c r="Q9" i="100"/>
  <c r="Q8" i="100"/>
  <c r="Q7" i="100"/>
  <c r="N60" i="99"/>
  <c r="M58" i="99"/>
  <c r="I58" i="99"/>
  <c r="E58" i="99"/>
  <c r="O57" i="99"/>
  <c r="O58" i="99" s="1"/>
  <c r="M57" i="99"/>
  <c r="L57" i="99"/>
  <c r="L58" i="99" s="1"/>
  <c r="K57" i="99"/>
  <c r="K58" i="99" s="1"/>
  <c r="J57" i="99"/>
  <c r="I57" i="99"/>
  <c r="H57" i="99"/>
  <c r="H58" i="99" s="1"/>
  <c r="G57" i="99"/>
  <c r="G58" i="99" s="1"/>
  <c r="F57" i="99"/>
  <c r="E57" i="99"/>
  <c r="D57" i="99"/>
  <c r="D58" i="99" s="1"/>
  <c r="C57" i="99"/>
  <c r="C58" i="99" s="1"/>
  <c r="B57" i="99"/>
  <c r="N56" i="99"/>
  <c r="N55" i="99"/>
  <c r="N54" i="99"/>
  <c r="N53" i="99"/>
  <c r="N52" i="99"/>
  <c r="N51" i="99"/>
  <c r="N57" i="99" s="1"/>
  <c r="O48" i="99"/>
  <c r="M48" i="99"/>
  <c r="L48" i="99"/>
  <c r="K48" i="99"/>
  <c r="J48" i="99"/>
  <c r="I48" i="99"/>
  <c r="H48" i="99"/>
  <c r="G48" i="99"/>
  <c r="F48" i="99"/>
  <c r="E48" i="99"/>
  <c r="D48" i="99"/>
  <c r="C48" i="99"/>
  <c r="B48" i="99"/>
  <c r="N47" i="99"/>
  <c r="N46" i="99"/>
  <c r="N48" i="99" s="1"/>
  <c r="O43" i="99"/>
  <c r="M43" i="99"/>
  <c r="L43" i="99"/>
  <c r="K43" i="99"/>
  <c r="I43" i="99"/>
  <c r="H43" i="99"/>
  <c r="G43" i="99"/>
  <c r="F43" i="99"/>
  <c r="F58" i="99" s="1"/>
  <c r="E43" i="99"/>
  <c r="D43" i="99"/>
  <c r="C43" i="99"/>
  <c r="B43" i="99"/>
  <c r="N43" i="99" s="1"/>
  <c r="N42" i="99"/>
  <c r="N41" i="99"/>
  <c r="O38" i="99"/>
  <c r="M38" i="99"/>
  <c r="L38" i="99"/>
  <c r="K38" i="99"/>
  <c r="J38" i="99"/>
  <c r="J58" i="99" s="1"/>
  <c r="I38" i="99"/>
  <c r="H38" i="99"/>
  <c r="G38" i="99"/>
  <c r="F38" i="99"/>
  <c r="E38" i="99"/>
  <c r="D38" i="99"/>
  <c r="C38" i="99"/>
  <c r="B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N20" i="99"/>
  <c r="N19" i="99"/>
  <c r="N18" i="99"/>
  <c r="N17" i="99"/>
  <c r="N16" i="99"/>
  <c r="N15" i="99"/>
  <c r="N14" i="99"/>
  <c r="N13" i="99"/>
  <c r="N12" i="99"/>
  <c r="N11" i="99"/>
  <c r="N10" i="99"/>
  <c r="N38" i="99" s="1"/>
  <c r="N9" i="99"/>
  <c r="N8" i="99"/>
  <c r="N7" i="99"/>
  <c r="L53" i="98"/>
  <c r="H53" i="98"/>
  <c r="D53" i="98"/>
  <c r="R50" i="98"/>
  <c r="Q50" i="98"/>
  <c r="N50" i="98"/>
  <c r="M50" i="98"/>
  <c r="L50" i="98"/>
  <c r="K50" i="98"/>
  <c r="J50" i="98"/>
  <c r="I50" i="98"/>
  <c r="H50" i="98"/>
  <c r="G50" i="98"/>
  <c r="F50" i="98"/>
  <c r="E50" i="98"/>
  <c r="D50" i="98"/>
  <c r="C50" i="98"/>
  <c r="B50" i="98"/>
  <c r="O49" i="98"/>
  <c r="P49" i="98" s="1"/>
  <c r="R46" i="98"/>
  <c r="Q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O45" i="98"/>
  <c r="P45" i="98" s="1"/>
  <c r="S45" i="98" s="1"/>
  <c r="O44" i="98"/>
  <c r="P44" i="98" s="1"/>
  <c r="R41" i="98"/>
  <c r="Q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O40" i="98"/>
  <c r="P40" i="98" s="1"/>
  <c r="S40" i="98" s="1"/>
  <c r="O39" i="98"/>
  <c r="P39" i="98" s="1"/>
  <c r="R36" i="98"/>
  <c r="Q36" i="98"/>
  <c r="N36" i="98"/>
  <c r="M36" i="98"/>
  <c r="L36" i="98"/>
  <c r="K36" i="98"/>
  <c r="J36" i="98"/>
  <c r="I36" i="98"/>
  <c r="H36" i="98"/>
  <c r="G36" i="98"/>
  <c r="F36" i="98"/>
  <c r="E36" i="98"/>
  <c r="D36" i="98"/>
  <c r="C36" i="98"/>
  <c r="B36" i="98"/>
  <c r="O35" i="98"/>
  <c r="P35" i="98" s="1"/>
  <c r="S35" i="98" s="1"/>
  <c r="O34" i="98"/>
  <c r="P34" i="98" s="1"/>
  <c r="S34" i="98" s="1"/>
  <c r="O33" i="98"/>
  <c r="P33" i="98" s="1"/>
  <c r="R30" i="98"/>
  <c r="Q30" i="98"/>
  <c r="N30" i="98"/>
  <c r="M30" i="98"/>
  <c r="L30" i="98"/>
  <c r="K30" i="98"/>
  <c r="J30" i="98"/>
  <c r="I30" i="98"/>
  <c r="H30" i="98"/>
  <c r="G30" i="98"/>
  <c r="F30" i="98"/>
  <c r="E30" i="98"/>
  <c r="D30" i="98"/>
  <c r="C30" i="98"/>
  <c r="B30" i="98"/>
  <c r="O29" i="98"/>
  <c r="P29" i="98" s="1"/>
  <c r="S29" i="98" s="1"/>
  <c r="O28" i="98"/>
  <c r="P28" i="98" s="1"/>
  <c r="R25" i="98"/>
  <c r="Q25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O24" i="98"/>
  <c r="P24" i="98" s="1"/>
  <c r="S24" i="98" s="1"/>
  <c r="O23" i="98"/>
  <c r="P23" i="98" s="1"/>
  <c r="R20" i="98"/>
  <c r="Q20" i="98"/>
  <c r="N20" i="98"/>
  <c r="M20" i="98"/>
  <c r="L20" i="98"/>
  <c r="K20" i="98"/>
  <c r="J20" i="98"/>
  <c r="I20" i="98"/>
  <c r="H20" i="98"/>
  <c r="G20" i="98"/>
  <c r="F20" i="98"/>
  <c r="E20" i="98"/>
  <c r="D20" i="98"/>
  <c r="C20" i="98"/>
  <c r="B20" i="98"/>
  <c r="O19" i="98"/>
  <c r="P19" i="98" s="1"/>
  <c r="S19" i="98" s="1"/>
  <c r="O18" i="98"/>
  <c r="P18" i="98" s="1"/>
  <c r="S18" i="98" s="1"/>
  <c r="P17" i="98"/>
  <c r="O17" i="98"/>
  <c r="R14" i="98"/>
  <c r="Q14" i="98"/>
  <c r="Q53" i="98" s="1"/>
  <c r="N14" i="98"/>
  <c r="M14" i="98"/>
  <c r="M53" i="98" s="1"/>
  <c r="L14" i="98"/>
  <c r="K14" i="98"/>
  <c r="J14" i="98"/>
  <c r="I14" i="98"/>
  <c r="I53" i="98" s="1"/>
  <c r="H14" i="98"/>
  <c r="G14" i="98"/>
  <c r="F14" i="98"/>
  <c r="E14" i="98"/>
  <c r="E53" i="98" s="1"/>
  <c r="D14" i="98"/>
  <c r="C14" i="98"/>
  <c r="B14" i="98"/>
  <c r="Q13" i="98"/>
  <c r="O13" i="98"/>
  <c r="P13" i="98" s="1"/>
  <c r="S13" i="98" s="1"/>
  <c r="O12" i="98"/>
  <c r="P12" i="98" s="1"/>
  <c r="R9" i="98"/>
  <c r="R53" i="98" s="1"/>
  <c r="Q9" i="98"/>
  <c r="O9" i="98"/>
  <c r="N9" i="98"/>
  <c r="N53" i="98" s="1"/>
  <c r="M9" i="98"/>
  <c r="L9" i="98"/>
  <c r="K9" i="98"/>
  <c r="K53" i="98" s="1"/>
  <c r="J9" i="98"/>
  <c r="J53" i="98" s="1"/>
  <c r="I9" i="98"/>
  <c r="H9" i="98"/>
  <c r="G9" i="98"/>
  <c r="G53" i="98" s="1"/>
  <c r="F9" i="98"/>
  <c r="F53" i="98" s="1"/>
  <c r="E9" i="98"/>
  <c r="D9" i="98"/>
  <c r="C9" i="98"/>
  <c r="C53" i="98" s="1"/>
  <c r="B9" i="98"/>
  <c r="B53" i="98" s="1"/>
  <c r="O8" i="98"/>
  <c r="P8" i="98" s="1"/>
  <c r="P7" i="98"/>
  <c r="P9" i="98" s="1"/>
  <c r="O7" i="98"/>
  <c r="Q30" i="100" l="1"/>
  <c r="Q12" i="100"/>
  <c r="N58" i="99"/>
  <c r="B58" i="99"/>
  <c r="P14" i="98"/>
  <c r="S12" i="98"/>
  <c r="S14" i="98" s="1"/>
  <c r="P25" i="98"/>
  <c r="S23" i="98"/>
  <c r="S25" i="98" s="1"/>
  <c r="S39" i="98"/>
  <c r="S41" i="98" s="1"/>
  <c r="P41" i="98"/>
  <c r="P30" i="98"/>
  <c r="S28" i="98"/>
  <c r="S30" i="98" s="1"/>
  <c r="S44" i="98"/>
  <c r="S46" i="98" s="1"/>
  <c r="P46" i="98"/>
  <c r="P53" i="98" s="1"/>
  <c r="S53" i="98" s="1"/>
  <c r="P20" i="98"/>
  <c r="S20" i="98" s="1"/>
  <c r="P36" i="98"/>
  <c r="S36" i="98" s="1"/>
  <c r="S33" i="98"/>
  <c r="S49" i="98"/>
  <c r="P50" i="98"/>
  <c r="S50" i="98" s="1"/>
  <c r="O36" i="98"/>
  <c r="O41" i="98"/>
  <c r="O46" i="98"/>
  <c r="S7" i="98"/>
  <c r="S9" i="98" s="1"/>
  <c r="S17" i="98"/>
  <c r="O20" i="98"/>
  <c r="O25" i="98"/>
  <c r="O30" i="98"/>
  <c r="O50" i="98"/>
  <c r="O14" i="98"/>
  <c r="O53" i="98" s="1"/>
  <c r="O46" i="97" l="1"/>
  <c r="M46" i="97"/>
  <c r="L46" i="97"/>
  <c r="K46" i="97"/>
  <c r="J46" i="97"/>
  <c r="I46" i="97"/>
  <c r="H46" i="97"/>
  <c r="G46" i="97"/>
  <c r="F46" i="97"/>
  <c r="E46" i="97"/>
  <c r="C46" i="97"/>
  <c r="B46" i="97"/>
  <c r="P45" i="97"/>
  <c r="N45" i="97"/>
  <c r="H45" i="97"/>
  <c r="N44" i="97"/>
  <c r="P44" i="97" s="1"/>
  <c r="D44" i="97"/>
  <c r="D46" i="97" s="1"/>
  <c r="B44" i="97"/>
  <c r="N43" i="97"/>
  <c r="N46" i="97" s="1"/>
  <c r="P42" i="97"/>
  <c r="N42" i="97"/>
  <c r="M39" i="97"/>
  <c r="L39" i="97"/>
  <c r="K39" i="97"/>
  <c r="J39" i="97"/>
  <c r="I39" i="97"/>
  <c r="H39" i="97"/>
  <c r="F39" i="97"/>
  <c r="E39" i="97"/>
  <c r="D39" i="97"/>
  <c r="C39" i="97"/>
  <c r="P38" i="97"/>
  <c r="N38" i="97"/>
  <c r="N37" i="97"/>
  <c r="P37" i="97" s="1"/>
  <c r="G36" i="97"/>
  <c r="G39" i="97" s="1"/>
  <c r="B36" i="97"/>
  <c r="B39" i="97" s="1"/>
  <c r="P35" i="97"/>
  <c r="N35" i="97"/>
  <c r="N34" i="97"/>
  <c r="P34" i="97" s="1"/>
  <c r="M31" i="97"/>
  <c r="L31" i="97"/>
  <c r="K31" i="97"/>
  <c r="J31" i="97"/>
  <c r="I31" i="97"/>
  <c r="H31" i="97"/>
  <c r="G31" i="97"/>
  <c r="E31" i="97"/>
  <c r="D31" i="97"/>
  <c r="C31" i="97"/>
  <c r="B31" i="97"/>
  <c r="N30" i="97"/>
  <c r="P30" i="97" s="1"/>
  <c r="P29" i="97"/>
  <c r="N29" i="97"/>
  <c r="N28" i="97"/>
  <c r="P28" i="97" s="1"/>
  <c r="H27" i="97"/>
  <c r="N27" i="97" s="1"/>
  <c r="P27" i="97" s="1"/>
  <c r="P26" i="97"/>
  <c r="N26" i="97"/>
  <c r="F22" i="97"/>
  <c r="N22" i="97" s="1"/>
  <c r="P22" i="97" s="1"/>
  <c r="E22" i="97"/>
  <c r="C22" i="97"/>
  <c r="N21" i="97"/>
  <c r="P21" i="97" s="1"/>
  <c r="P20" i="97"/>
  <c r="N20" i="97"/>
  <c r="N19" i="97"/>
  <c r="P19" i="97" s="1"/>
  <c r="P18" i="97"/>
  <c r="N18" i="97"/>
  <c r="N17" i="97"/>
  <c r="P17" i="97" s="1"/>
  <c r="P16" i="97"/>
  <c r="N16" i="97"/>
  <c r="N15" i="97"/>
  <c r="P15" i="97" s="1"/>
  <c r="P14" i="97"/>
  <c r="N14" i="97"/>
  <c r="N13" i="97"/>
  <c r="P13" i="97" s="1"/>
  <c r="P31" i="97" s="1"/>
  <c r="M7" i="97"/>
  <c r="L7" i="97"/>
  <c r="K7" i="97"/>
  <c r="J7" i="97"/>
  <c r="I7" i="97"/>
  <c r="H7" i="97"/>
  <c r="G7" i="97"/>
  <c r="F7" i="97"/>
  <c r="E7" i="97"/>
  <c r="D7" i="97"/>
  <c r="C7" i="97"/>
  <c r="B7" i="97"/>
  <c r="P6" i="97"/>
  <c r="N6" i="97"/>
  <c r="N5" i="97"/>
  <c r="P5" i="97" s="1"/>
  <c r="P7" i="97" s="1"/>
  <c r="O5" i="97" l="1"/>
  <c r="O7" i="97" s="1"/>
  <c r="N7" i="97"/>
  <c r="P43" i="97"/>
  <c r="P46" i="97" s="1"/>
  <c r="F31" i="97"/>
  <c r="N31" i="97"/>
  <c r="N36" i="97"/>
  <c r="P36" i="97" s="1"/>
  <c r="P39" i="97" s="1"/>
  <c r="N39" i="97" l="1"/>
  <c r="R3" i="33" l="1"/>
  <c r="Q3" i="33"/>
  <c r="D19" i="33" l="1"/>
  <c r="C19" i="33"/>
  <c r="F19" i="33"/>
  <c r="G19" i="33"/>
  <c r="I19" i="33"/>
  <c r="J19" i="33"/>
  <c r="L19" i="33"/>
  <c r="M19" i="33"/>
  <c r="O19" i="33"/>
  <c r="P19" i="33"/>
  <c r="R19" i="33"/>
  <c r="S19" i="33"/>
  <c r="C39" i="33"/>
  <c r="D39" i="33"/>
  <c r="F39" i="33"/>
  <c r="G39" i="33"/>
  <c r="I39" i="33"/>
  <c r="J39" i="33"/>
  <c r="L39" i="33"/>
  <c r="M39" i="33"/>
  <c r="O39" i="33"/>
  <c r="P39" i="33"/>
  <c r="R39" i="33"/>
  <c r="S39" i="33"/>
  <c r="L13" i="33" l="1"/>
  <c r="O33" i="33" l="1"/>
  <c r="S40" i="33"/>
  <c r="R40" i="33"/>
  <c r="S38" i="33"/>
  <c r="R38" i="33"/>
  <c r="S37" i="33"/>
  <c r="R37" i="33"/>
  <c r="S36" i="33"/>
  <c r="R36" i="33"/>
  <c r="S35" i="33"/>
  <c r="R35" i="33"/>
  <c r="S34" i="33"/>
  <c r="R34" i="33"/>
  <c r="S33" i="33"/>
  <c r="R33" i="33"/>
  <c r="P40" i="33"/>
  <c r="O40" i="33"/>
  <c r="P38" i="33"/>
  <c r="O38" i="33"/>
  <c r="P37" i="33"/>
  <c r="O37" i="33"/>
  <c r="P36" i="33"/>
  <c r="O36" i="33"/>
  <c r="P35" i="33"/>
  <c r="O35" i="33"/>
  <c r="P34" i="33"/>
  <c r="O34" i="33"/>
  <c r="P33" i="33"/>
  <c r="M40" i="33"/>
  <c r="L40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J40" i="33"/>
  <c r="I40" i="33"/>
  <c r="J38" i="33"/>
  <c r="I38" i="33"/>
  <c r="I33" i="33"/>
  <c r="I34" i="33"/>
  <c r="I35" i="33"/>
  <c r="I36" i="33"/>
  <c r="I37" i="33"/>
  <c r="J37" i="33"/>
  <c r="J36" i="33"/>
  <c r="J35" i="33"/>
  <c r="J34" i="33"/>
  <c r="J33" i="33"/>
  <c r="G40" i="33"/>
  <c r="F40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D40" i="33"/>
  <c r="C40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S30" i="33"/>
  <c r="R30" i="33"/>
  <c r="P30" i="33"/>
  <c r="O30" i="33"/>
  <c r="M30" i="33"/>
  <c r="L30" i="33"/>
  <c r="J30" i="33"/>
  <c r="I30" i="33"/>
  <c r="G30" i="33"/>
  <c r="F30" i="33"/>
  <c r="D30" i="33"/>
  <c r="C30" i="33"/>
  <c r="S20" i="33"/>
  <c r="R20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M20" i="33"/>
  <c r="L20" i="33"/>
  <c r="M18" i="33"/>
  <c r="L18" i="33"/>
  <c r="M17" i="33"/>
  <c r="L17" i="33"/>
  <c r="M16" i="33"/>
  <c r="L16" i="33"/>
  <c r="M15" i="33"/>
  <c r="L15" i="33"/>
  <c r="M14" i="33"/>
  <c r="L14" i="33"/>
  <c r="M13" i="33"/>
  <c r="J20" i="33"/>
  <c r="I20" i="33"/>
  <c r="J18" i="33"/>
  <c r="I18" i="33"/>
  <c r="J17" i="33"/>
  <c r="I17" i="33"/>
  <c r="J16" i="33"/>
  <c r="I16" i="33"/>
  <c r="J15" i="33"/>
  <c r="I15" i="33"/>
  <c r="J14" i="33"/>
  <c r="I14" i="33"/>
  <c r="J13" i="33"/>
  <c r="J10" i="33"/>
  <c r="I13" i="33"/>
  <c r="G20" i="33"/>
  <c r="F20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D20" i="33"/>
  <c r="D18" i="33"/>
  <c r="D17" i="33"/>
  <c r="D16" i="33"/>
  <c r="D15" i="33"/>
  <c r="D14" i="33"/>
  <c r="C20" i="33"/>
  <c r="C18" i="33"/>
  <c r="C17" i="33"/>
  <c r="C16" i="33"/>
  <c r="C15" i="33"/>
  <c r="C14" i="33"/>
  <c r="D13" i="33"/>
  <c r="C13" i="33"/>
  <c r="S10" i="33"/>
  <c r="P10" i="33"/>
  <c r="M10" i="33"/>
  <c r="R10" i="33"/>
  <c r="O10" i="33"/>
  <c r="L10" i="33"/>
  <c r="I10" i="33"/>
  <c r="G10" i="33"/>
  <c r="F10" i="33"/>
  <c r="D10" i="33"/>
  <c r="C10" i="33"/>
  <c r="Q41" i="33"/>
  <c r="Q31" i="33"/>
  <c r="N41" i="33"/>
  <c r="N31" i="33"/>
  <c r="K41" i="33"/>
  <c r="H41" i="33"/>
  <c r="E41" i="33"/>
  <c r="E31" i="33"/>
  <c r="B41" i="33"/>
  <c r="Q21" i="33"/>
  <c r="N21" i="33"/>
  <c r="K21" i="33"/>
  <c r="H21" i="33"/>
  <c r="H11" i="33"/>
  <c r="E21" i="33"/>
  <c r="B21" i="33"/>
  <c r="B11" i="33"/>
  <c r="E11" i="33"/>
  <c r="N11" i="33"/>
  <c r="K11" i="33"/>
  <c r="Y5" i="36"/>
  <c r="Y8" i="36"/>
  <c r="Y9" i="36"/>
  <c r="Y10" i="36"/>
  <c r="Y13" i="36"/>
  <c r="Y14" i="36"/>
  <c r="Y15" i="36"/>
  <c r="Y16" i="36"/>
  <c r="X11" i="36"/>
  <c r="X18" i="36"/>
  <c r="W11" i="36"/>
  <c r="W18" i="36"/>
  <c r="V11" i="36"/>
  <c r="R25" i="36"/>
  <c r="R27" i="36" s="1"/>
  <c r="U13" i="36"/>
  <c r="U14" i="36"/>
  <c r="U15" i="36"/>
  <c r="U16" i="36"/>
  <c r="T18" i="36"/>
  <c r="S18" i="36"/>
  <c r="U5" i="36"/>
  <c r="U8" i="36"/>
  <c r="U9" i="36"/>
  <c r="U10" i="36"/>
  <c r="T11" i="36"/>
  <c r="S11" i="36"/>
  <c r="R11" i="36"/>
  <c r="N25" i="36"/>
  <c r="N27" i="36" s="1"/>
  <c r="Q13" i="36"/>
  <c r="Q14" i="36"/>
  <c r="Q15" i="36"/>
  <c r="Q16" i="36"/>
  <c r="P18" i="36"/>
  <c r="O18" i="36"/>
  <c r="Q5" i="36"/>
  <c r="Q8" i="36"/>
  <c r="Q9" i="36"/>
  <c r="Q10" i="36"/>
  <c r="P11" i="36"/>
  <c r="O11" i="36"/>
  <c r="N11" i="36"/>
  <c r="D5" i="33"/>
  <c r="D26" i="33" s="1"/>
  <c r="F5" i="33"/>
  <c r="F26" i="33" s="1"/>
  <c r="Q11" i="33"/>
  <c r="C26" i="33"/>
  <c r="B31" i="33"/>
  <c r="H31" i="33"/>
  <c r="K31" i="33"/>
  <c r="L11" i="36"/>
  <c r="L18" i="36"/>
  <c r="K11" i="36"/>
  <c r="J11" i="36"/>
  <c r="H11" i="36"/>
  <c r="G11" i="36"/>
  <c r="D11" i="36"/>
  <c r="D18" i="36"/>
  <c r="C11" i="36"/>
  <c r="C20" i="36" s="1"/>
  <c r="M9" i="36"/>
  <c r="E9" i="36"/>
  <c r="I10" i="36"/>
  <c r="M5" i="36"/>
  <c r="E5" i="36"/>
  <c r="I14" i="36"/>
  <c r="I18" i="36" s="1"/>
  <c r="V52" i="36"/>
  <c r="V54" i="36" s="1"/>
  <c r="R52" i="36"/>
  <c r="R54" i="36"/>
  <c r="N52" i="36"/>
  <c r="N54" i="36" s="1"/>
  <c r="J52" i="36"/>
  <c r="J54" i="36" s="1"/>
  <c r="F52" i="36"/>
  <c r="F54" i="36" s="1"/>
  <c r="B52" i="36"/>
  <c r="B54" i="36" s="1"/>
  <c r="Y32" i="36"/>
  <c r="Y33" i="36"/>
  <c r="Y34" i="36"/>
  <c r="Y35" i="36"/>
  <c r="Y36" i="36"/>
  <c r="Y37" i="36"/>
  <c r="Y40" i="36"/>
  <c r="Y41" i="36"/>
  <c r="Y42" i="36"/>
  <c r="Y43" i="36"/>
  <c r="Y44" i="36"/>
  <c r="X38" i="36"/>
  <c r="X45" i="36"/>
  <c r="W38" i="36"/>
  <c r="W45" i="36"/>
  <c r="U32" i="36"/>
  <c r="U33" i="36"/>
  <c r="U34" i="36"/>
  <c r="U35" i="36"/>
  <c r="U36" i="36"/>
  <c r="U37" i="36"/>
  <c r="U40" i="36"/>
  <c r="U41" i="36"/>
  <c r="U42" i="36"/>
  <c r="U43" i="36"/>
  <c r="U44" i="36"/>
  <c r="T38" i="36"/>
  <c r="T45" i="36"/>
  <c r="T47" i="36" s="1"/>
  <c r="S38" i="36"/>
  <c r="S45" i="36"/>
  <c r="Q32" i="36"/>
  <c r="Q33" i="36"/>
  <c r="Q34" i="36"/>
  <c r="Q35" i="36"/>
  <c r="Q36" i="36"/>
  <c r="Q37" i="36"/>
  <c r="Q40" i="36"/>
  <c r="Q41" i="36"/>
  <c r="Q42" i="36"/>
  <c r="Q43" i="36"/>
  <c r="Q44" i="36"/>
  <c r="P38" i="36"/>
  <c r="P45" i="36"/>
  <c r="P47" i="36" s="1"/>
  <c r="O38" i="36"/>
  <c r="O45" i="36"/>
  <c r="M32" i="36"/>
  <c r="M33" i="36"/>
  <c r="M34" i="36"/>
  <c r="M35" i="36"/>
  <c r="M36" i="36"/>
  <c r="M37" i="36"/>
  <c r="M40" i="36"/>
  <c r="M41" i="36"/>
  <c r="M42" i="36"/>
  <c r="M43" i="36"/>
  <c r="M44" i="36"/>
  <c r="L38" i="36"/>
  <c r="L45" i="36"/>
  <c r="K38" i="36"/>
  <c r="K45" i="36"/>
  <c r="I32" i="36"/>
  <c r="I33" i="36"/>
  <c r="I34" i="36"/>
  <c r="I35" i="36"/>
  <c r="I36" i="36"/>
  <c r="I37" i="36"/>
  <c r="I40" i="36"/>
  <c r="I41" i="36"/>
  <c r="I42" i="36"/>
  <c r="I43" i="36"/>
  <c r="I44" i="36"/>
  <c r="H38" i="36"/>
  <c r="H45" i="36"/>
  <c r="G38" i="36"/>
  <c r="G45" i="36"/>
  <c r="E32" i="36"/>
  <c r="E33" i="36"/>
  <c r="E34" i="36"/>
  <c r="E35" i="36"/>
  <c r="E36" i="36"/>
  <c r="E41" i="36"/>
  <c r="E42" i="36"/>
  <c r="E43" i="36"/>
  <c r="D38" i="36"/>
  <c r="D45" i="36"/>
  <c r="D47" i="36" s="1"/>
  <c r="C38" i="36"/>
  <c r="C45" i="36"/>
  <c r="V25" i="36"/>
  <c r="V27" i="36" s="1"/>
  <c r="J25" i="36"/>
  <c r="J27" i="36" s="1"/>
  <c r="F25" i="36"/>
  <c r="F27" i="36" s="1"/>
  <c r="B25" i="36"/>
  <c r="B27" i="36" s="1"/>
  <c r="M8" i="36"/>
  <c r="M10" i="36"/>
  <c r="M13" i="36"/>
  <c r="M14" i="36"/>
  <c r="M15" i="36"/>
  <c r="M16" i="36"/>
  <c r="K18" i="36"/>
  <c r="I8" i="36"/>
  <c r="I5" i="36"/>
  <c r="I11" i="36" s="1"/>
  <c r="H18" i="36"/>
  <c r="G18" i="36"/>
  <c r="E8" i="36"/>
  <c r="E14" i="36"/>
  <c r="E15" i="36"/>
  <c r="E16" i="36"/>
  <c r="B15" i="29"/>
  <c r="C31" i="33" l="1"/>
  <c r="E11" i="36"/>
  <c r="B42" i="33"/>
  <c r="K42" i="33"/>
  <c r="Y45" i="36"/>
  <c r="M31" i="33"/>
  <c r="L47" i="36"/>
  <c r="E42" i="33"/>
  <c r="D31" i="33"/>
  <c r="S21" i="33"/>
  <c r="Q22" i="33"/>
  <c r="R21" i="33"/>
  <c r="P21" i="33"/>
  <c r="O21" i="33"/>
  <c r="M21" i="33"/>
  <c r="L21" i="33"/>
  <c r="R11" i="33"/>
  <c r="S11" i="33"/>
  <c r="J21" i="33"/>
  <c r="H22" i="33"/>
  <c r="J11" i="33"/>
  <c r="E22" i="33"/>
  <c r="G21" i="33"/>
  <c r="B22" i="33"/>
  <c r="D11" i="33"/>
  <c r="E18" i="36"/>
  <c r="M19" i="36"/>
  <c r="O20" i="36"/>
  <c r="S20" i="36"/>
  <c r="U19" i="36"/>
  <c r="I31" i="33"/>
  <c r="L31" i="33"/>
  <c r="C41" i="33"/>
  <c r="F41" i="33"/>
  <c r="L41" i="33"/>
  <c r="O41" i="33"/>
  <c r="H47" i="36"/>
  <c r="S47" i="36"/>
  <c r="W47" i="36"/>
  <c r="L20" i="36"/>
  <c r="Q11" i="36"/>
  <c r="K22" i="33"/>
  <c r="N22" i="33"/>
  <c r="F11" i="33"/>
  <c r="P11" i="33"/>
  <c r="L11" i="33"/>
  <c r="C21" i="33"/>
  <c r="D21" i="33"/>
  <c r="F21" i="33"/>
  <c r="I21" i="33"/>
  <c r="G31" i="33"/>
  <c r="G41" i="33"/>
  <c r="M11" i="36"/>
  <c r="G47" i="36"/>
  <c r="D20" i="36"/>
  <c r="K20" i="36"/>
  <c r="T20" i="36"/>
  <c r="U18" i="36"/>
  <c r="Y18" i="36"/>
  <c r="Q42" i="33"/>
  <c r="R31" i="33"/>
  <c r="I20" i="36"/>
  <c r="R41" i="33"/>
  <c r="U46" i="36"/>
  <c r="Y38" i="36"/>
  <c r="W20" i="36"/>
  <c r="M18" i="36"/>
  <c r="M20" i="36" s="1"/>
  <c r="I38" i="36"/>
  <c r="M38" i="36"/>
  <c r="Q45" i="36"/>
  <c r="U45" i="36"/>
  <c r="X47" i="36"/>
  <c r="G20" i="36"/>
  <c r="H42" i="33"/>
  <c r="P20" i="36"/>
  <c r="C47" i="36"/>
  <c r="C11" i="33"/>
  <c r="M46" i="36"/>
  <c r="H20" i="36"/>
  <c r="Q19" i="36"/>
  <c r="F31" i="33"/>
  <c r="J31" i="33"/>
  <c r="S31" i="33"/>
  <c r="D41" i="33"/>
  <c r="J41" i="33"/>
  <c r="I41" i="33"/>
  <c r="S41" i="33"/>
  <c r="O31" i="33"/>
  <c r="P31" i="33"/>
  <c r="M41" i="33"/>
  <c r="P41" i="33"/>
  <c r="N42" i="33"/>
  <c r="Q38" i="36"/>
  <c r="Y19" i="36"/>
  <c r="M11" i="33"/>
  <c r="G5" i="33"/>
  <c r="G26" i="33" s="1"/>
  <c r="I45" i="36"/>
  <c r="I46" i="36"/>
  <c r="Q46" i="36"/>
  <c r="Q18" i="36"/>
  <c r="Q20" i="36" s="1"/>
  <c r="E45" i="36"/>
  <c r="E38" i="36"/>
  <c r="K47" i="36"/>
  <c r="U38" i="36"/>
  <c r="U11" i="36"/>
  <c r="U20" i="36" s="1"/>
  <c r="I5" i="33"/>
  <c r="M45" i="36"/>
  <c r="M47" i="36" s="1"/>
  <c r="O47" i="36"/>
  <c r="Y46" i="36"/>
  <c r="X20" i="36"/>
  <c r="Y11" i="36"/>
  <c r="G11" i="33"/>
  <c r="I11" i="33"/>
  <c r="O11" i="33"/>
  <c r="C42" i="33" l="1"/>
  <c r="S22" i="33"/>
  <c r="O22" i="33"/>
  <c r="U47" i="36"/>
  <c r="Y47" i="36"/>
  <c r="E20" i="36"/>
  <c r="G22" i="33"/>
  <c r="M42" i="33"/>
  <c r="M22" i="33"/>
  <c r="R42" i="33"/>
  <c r="I47" i="36"/>
  <c r="L22" i="33"/>
  <c r="J22" i="33"/>
  <c r="D42" i="33"/>
  <c r="G42" i="33"/>
  <c r="J42" i="33"/>
  <c r="I42" i="33"/>
  <c r="F42" i="33"/>
  <c r="R22" i="33"/>
  <c r="P22" i="33"/>
  <c r="D22" i="33"/>
  <c r="I22" i="33"/>
  <c r="C22" i="33"/>
  <c r="Y20" i="36"/>
  <c r="Q47" i="36"/>
  <c r="O42" i="33"/>
  <c r="F22" i="33"/>
  <c r="L42" i="33"/>
  <c r="S42" i="33"/>
  <c r="E47" i="36"/>
  <c r="P42" i="33"/>
  <c r="I26" i="33"/>
  <c r="L5" i="33"/>
  <c r="J5" i="33"/>
  <c r="J26" i="33" s="1"/>
  <c r="O5" i="33" l="1"/>
  <c r="L26" i="33"/>
  <c r="M5" i="33"/>
  <c r="M26" i="33" s="1"/>
  <c r="P5" i="33" l="1"/>
  <c r="P26" i="33" s="1"/>
  <c r="O26" i="33"/>
  <c r="R5" i="33"/>
  <c r="R26" i="33" l="1"/>
  <c r="S5" i="33"/>
  <c r="S26" i="33" s="1"/>
</calcChain>
</file>

<file path=xl/sharedStrings.xml><?xml version="1.0" encoding="utf-8"?>
<sst xmlns="http://schemas.openxmlformats.org/spreadsheetml/2006/main" count="737" uniqueCount="285">
  <si>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</si>
  <si>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</si>
  <si>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</si>
  <si>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</si>
  <si>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</si>
  <si>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</si>
  <si>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</si>
  <si>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</si>
  <si>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</si>
  <si>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</si>
  <si>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</si>
  <si>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</si>
  <si>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</si>
  <si>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</si>
  <si>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</si>
  <si>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</si>
  <si>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</si>
  <si>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</si>
  <si>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</si>
  <si>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</si>
  <si>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</si>
  <si>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</si>
  <si>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</si>
  <si>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</si>
  <si>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</si>
  <si>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</si>
  <si>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</si>
  <si>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</si>
  <si>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</si>
  <si>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</si>
  <si>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</si>
  <si>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</si>
  <si>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</si>
  <si>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</si>
  <si>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</si>
  <si>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</si>
  <si>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</si>
  <si>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</si>
  <si>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</si>
  <si>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</si>
  <si>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</si>
  <si>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</si>
  <si>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</si>
  <si>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</si>
  <si>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</si>
  <si>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</si>
  <si>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</si>
  <si>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</si>
  <si>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</si>
  <si>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</si>
  <si>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</si>
  <si>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</si>
  <si>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</si>
  <si>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</si>
  <si>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</si>
  <si>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</si>
  <si>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</si>
  <si>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</si>
  <si>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</si>
  <si>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</si>
  <si>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</si>
  <si>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</si>
  <si>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</si>
  <si>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</si>
  <si>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</si>
  <si>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</si>
  <si>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</si>
  <si>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</si>
  <si>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</si>
  <si>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</si>
  <si>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</si>
  <si>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</si>
  <si>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</si>
  <si>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</si>
  <si>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</si>
  <si>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</si>
  <si>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</si>
  <si>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</si>
  <si>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</si>
  <si>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</si>
  <si>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</si>
  <si>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</si>
  <si>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</si>
  <si>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</si>
  <si>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</si>
  <si>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</si>
  <si>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</si>
  <si>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</si>
  <si>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</si>
  <si>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</si>
  <si>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</si>
  <si>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</si>
  <si>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</si>
  <si>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</si>
  <si>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</si>
  <si>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</si>
  <si>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</si>
  <si>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</si>
  <si>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</si>
  <si>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</si>
  <si>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</si>
  <si>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</si>
  <si>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</si>
  <si>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</si>
  <si>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</si>
  <si>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</si>
  <si>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</si>
  <si>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</si>
  <si>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</si>
  <si>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</si>
  <si>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</si>
  <si>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</si>
  <si>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</si>
  <si>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</si>
  <si>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</si>
  <si>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</si>
  <si>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</si>
  <si>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</si>
  <si>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</si>
  <si>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</si>
  <si>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</si>
  <si>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</si>
  <si>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</si>
  <si>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</si>
  <si>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</si>
  <si>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</si>
  <si>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</si>
  <si>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</si>
  <si>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</si>
  <si>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</si>
  <si>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</si>
  <si>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</si>
  <si>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</si>
  <si>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</si>
  <si>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</si>
  <si>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</si>
  <si>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</si>
  <si>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</si>
  <si>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</si>
  <si>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</si>
  <si>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</si>
  <si>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</si>
  <si>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</si>
  <si>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</si>
  <si>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</si>
  <si>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</si>
  <si>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</si>
  <si>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</si>
  <si>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</si>
  <si>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</si>
  <si>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</si>
  <si>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</si>
  <si>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</si>
  <si>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</si>
  <si>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</si>
  <si>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</si>
  <si>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</si>
  <si>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</si>
  <si>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</si>
  <si>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</si>
  <si>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</si>
  <si>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</si>
  <si>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</si>
  <si>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</si>
  <si>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</si>
  <si>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</si>
  <si>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</si>
  <si>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</si>
  <si>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</si>
  <si>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</si>
  <si>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</si>
  <si>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</si>
  <si>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</si>
  <si>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</si>
  <si>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</si>
  <si>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</si>
  <si>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</si>
  <si>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</si>
  <si>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</si>
  <si>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</si>
  <si>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</si>
  <si>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</si>
  <si>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</si>
  <si>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</si>
  <si>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</si>
  <si>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</si>
  <si>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</si>
  <si>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</si>
  <si>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</si>
  <si>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</si>
  <si>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</si>
  <si>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</si>
  <si>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</si>
  <si>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</si>
  <si>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</si>
  <si>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</si>
  <si>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</si>
  <si>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</si>
  <si>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</si>
  <si>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</si>
  <si>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</si>
  <si>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</si>
  <si>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</si>
  <si>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</si>
  <si>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</si>
  <si>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</si>
  <si>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</si>
  <si>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</si>
  <si>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</si>
  <si>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</si>
  <si>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</si>
  <si>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</si>
  <si>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</si>
  <si>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</si>
  <si>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</si>
  <si>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</si>
  <si>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</si>
  <si>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</si>
  <si>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</si>
  <si>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</si>
  <si>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</si>
  <si>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</si>
  <si>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</si>
  <si>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</si>
  <si>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</si>
  <si>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</si>
  <si>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</si>
  <si>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</si>
  <si>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</si>
  <si>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</si>
  <si>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</si>
  <si>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</si>
  <si>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</si>
  <si>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</si>
  <si>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</si>
  <si>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</si>
  <si>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</si>
  <si>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</si>
  <si>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</si>
  <si>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</si>
  <si>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</si>
  <si>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</si>
  <si>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</si>
  <si>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</si>
  <si>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</si>
  <si>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</si>
  <si>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</si>
  <si>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</si>
  <si>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</si>
  <si>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</si>
  <si>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</si>
  <si>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</si>
  <si>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</si>
  <si>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</si>
  <si>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</si>
  <si>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</si>
  <si>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</si>
  <si>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</si>
  <si>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</si>
  <si>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</si>
  <si>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</si>
  <si>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</si>
  <si>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</si>
  <si>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Agricultural</t>
  </si>
  <si>
    <t>Met Price Triggers</t>
  </si>
  <si>
    <t>At discretion of Utility</t>
  </si>
  <si>
    <t xml:space="preserve">Reduce your Use </t>
  </si>
  <si>
    <t xml:space="preserve">Capacity Bidding Program –( Day Ahead) </t>
  </si>
  <si>
    <t xml:space="preserve">Base Interruptible Program - Day Of </t>
  </si>
  <si>
    <t>Demand Bidding Program - Day Of</t>
  </si>
  <si>
    <t xml:space="preserve">Capacity Bidding Program - Day Of </t>
  </si>
  <si>
    <t>Summer Saver Program - Day Of</t>
  </si>
  <si>
    <t xml:space="preserve">Demand Bidding Program (Day Ahead) </t>
  </si>
  <si>
    <t xml:space="preserve"> 2:00 PM to 6:00 PM</t>
  </si>
  <si>
    <t xml:space="preserve"> 4:00 PM to 8:00 PM</t>
  </si>
  <si>
    <t xml:space="preserve"> 3:00 PM to 7:00 PM</t>
  </si>
  <si>
    <t>11:00 AM to 6:00 PM</t>
  </si>
  <si>
    <t>10:45 AM to 2:45 PM</t>
  </si>
  <si>
    <t>11:00 AM to 3:00 PM</t>
  </si>
  <si>
    <t>12:00 PM to 4:00 PM</t>
  </si>
  <si>
    <t xml:space="preserve">Critical Peak Pricing Default </t>
  </si>
  <si>
    <t>Reduce your Use</t>
  </si>
  <si>
    <t xml:space="preserve"> 4:00 PM to 9:00 PM</t>
  </si>
  <si>
    <t xml:space="preserve"> 1:00 PM to 5:00 PM</t>
  </si>
  <si>
    <t>PTR residential -  Effective  May 1, 2014 per  D.13-07-003    …..data reflects cumulative PTR residential customers who opt into the 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</si>
</sst>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  <numFmt numFmtId="176" formatCode="0.00000"/>
  </numFmts>
  <fonts count="6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9" fontId="59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172" fontId="3" fillId="49" borderId="13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2" fillId="44" borderId="11" xfId="66" applyFont="1" applyFill="1" applyBorder="1" applyAlignment="1">
      <alignment horizontal="center"/>
    </xf>
    <xf numFmtId="0" fontId="53" fillId="0" borderId="0" xfId="0" applyFont="1"/>
    <xf numFmtId="175" fontId="2" fillId="44" borderId="58" xfId="50" applyNumberFormat="1" applyFont="1" applyFill="1" applyBorder="1"/>
    <xf numFmtId="0" fontId="1" fillId="44" borderId="0" xfId="66" applyFont="1" applyFill="1" applyAlignment="1">
      <alignment horizontal="right"/>
    </xf>
    <xf numFmtId="3" fontId="34" fillId="51" borderId="17" xfId="0" applyNumberFormat="1" applyFont="1" applyFill="1" applyBorder="1" applyAlignment="1" applyProtection="1">
      <alignment horizontal="center"/>
      <protection locked="0"/>
    </xf>
    <xf numFmtId="0" fontId="56" fillId="0" borderId="0" xfId="0" applyFont="1"/>
    <xf numFmtId="171" fontId="2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/>
    </xf>
    <xf numFmtId="0" fontId="1" fillId="44" borderId="0" xfId="66" applyFont="1" applyFill="1" applyBorder="1" applyAlignment="1">
      <alignment horizontal="center"/>
    </xf>
    <xf numFmtId="171" fontId="1" fillId="44" borderId="0" xfId="66" applyNumberFormat="1" applyFont="1" applyFill="1" applyBorder="1" applyAlignment="1">
      <alignment horizontal="center"/>
    </xf>
    <xf numFmtId="0" fontId="1" fillId="44" borderId="0" xfId="66" applyFont="1" applyFill="1" applyBorder="1" applyAlignment="1">
      <alignment horizontal="right"/>
    </xf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1" fillId="0" borderId="11" xfId="66" applyFont="1" applyFill="1" applyBorder="1" applyAlignment="1">
      <alignment horizontal="right"/>
    </xf>
    <xf numFmtId="170" fontId="1" fillId="0" borderId="11" xfId="46" applyNumberFormat="1" applyFont="1" applyFill="1" applyBorder="1" applyAlignment="1">
      <alignment horizontal="right"/>
    </xf>
    <xf numFmtId="176" fontId="40" fillId="49" borderId="11" xfId="0" applyNumberFormat="1" applyFont="1" applyFill="1" applyBorder="1" applyAlignment="1">
      <alignment horizontal="right"/>
    </xf>
    <xf numFmtId="3" fontId="1" fillId="0" borderId="0" xfId="0" applyNumberFormat="1" applyFont="1" applyProtection="1"/>
    <xf numFmtId="9" fontId="1" fillId="0" borderId="0" xfId="145" applyFont="1" applyProtection="1"/>
    <xf numFmtId="3" fontId="1" fillId="51" borderId="24" xfId="0" applyNumberFormat="1" applyFont="1" applyFill="1" applyBorder="1" applyAlignment="1" applyProtection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1" fillId="44" borderId="11" xfId="66" applyFont="1" applyFill="1" applyBorder="1" applyAlignment="1">
      <alignment horizontal="center"/>
    </xf>
    <xf numFmtId="171" fontId="1" fillId="44" borderId="11" xfId="66" applyNumberFormat="1" applyFont="1" applyFill="1" applyBorder="1" applyAlignment="1">
      <alignment horizontal="center"/>
    </xf>
    <xf numFmtId="0" fontId="1" fillId="44" borderId="11" xfId="66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3" fontId="1" fillId="0" borderId="46" xfId="0" applyNumberFormat="1" applyFont="1" applyBorder="1" applyAlignment="1" applyProtection="1">
      <alignment wrapText="1"/>
    </xf>
    <xf numFmtId="3" fontId="1" fillId="0" borderId="66" xfId="0" applyNumberFormat="1" applyFont="1" applyBorder="1" applyAlignment="1" applyProtection="1">
      <alignment wrapText="1"/>
    </xf>
    <xf numFmtId="43" fontId="39" fillId="43" borderId="66" xfId="46" quotePrefix="1" applyFont="1" applyFill="1" applyBorder="1" applyAlignment="1">
      <alignment horizontal="left"/>
    </xf>
    <xf numFmtId="2" fontId="1" fillId="0" borderId="25" xfId="0" applyNumberFormat="1" applyFont="1" applyFill="1" applyBorder="1" applyAlignment="1" applyProtection="1">
      <alignment horizontal="center"/>
    </xf>
    <xf numFmtId="0" fontId="32" fillId="0" borderId="67" xfId="0" applyFont="1" applyFill="1" applyBorder="1" applyAlignment="1" applyProtection="1">
      <alignment horizontal="center"/>
    </xf>
    <xf numFmtId="0" fontId="0" fillId="0" borderId="11" xfId="0" applyBorder="1"/>
    <xf numFmtId="0" fontId="2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32" fillId="0" borderId="0" xfId="0" applyFont="1" applyAlignment="1" applyProtection="1">
      <alignment vertical="top" wrapText="1"/>
    </xf>
    <xf numFmtId="0" fontId="0" fillId="0" borderId="0" xfId="0"/>
    <xf numFmtId="0" fontId="4" fillId="0" borderId="0" xfId="0" applyFont="1" applyAlignment="1" applyProtection="1">
      <alignment vertical="top" wrapText="1"/>
    </xf>
    <xf numFmtId="0" fontId="60" fillId="0" borderId="0" xfId="0" applyFont="1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</cellXfs>
  <cellStyles count="146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" xfId="145" builtinId="5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showRowColHeaders="0" zoomScaleNormal="10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" sqref="D3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A1" s="74"/>
      <c r="B1" s="74"/>
      <c r="E1" s="82"/>
    </row>
    <row r="2" spans="1:31" x14ac:dyDescent="0.2">
      <c r="A2" s="74"/>
      <c r="B2" s="74"/>
    </row>
    <row r="3" spans="1:31" ht="14.25" customHeight="1" x14ac:dyDescent="0.2">
      <c r="A3" s="74"/>
      <c r="B3" s="74"/>
      <c r="Q3" s="439">
        <f>Q16+Q17</f>
        <v>646</v>
      </c>
      <c r="R3" s="440">
        <f>Q16/Q3</f>
        <v>0.20000000000000004</v>
      </c>
    </row>
    <row r="4" spans="1:31" ht="14.25" customHeight="1" x14ac:dyDescent="0.2">
      <c r="A4" s="74"/>
      <c r="B4" s="74"/>
    </row>
    <row r="5" spans="1:31" hidden="1" x14ac:dyDescent="0.2">
      <c r="A5" s="74"/>
      <c r="B5" s="74"/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A6" s="74"/>
      <c r="B6" s="74"/>
      <c r="C6" s="5"/>
    </row>
    <row r="7" spans="1:31" ht="15" customHeight="1" x14ac:dyDescent="0.2">
      <c r="A7" s="22"/>
      <c r="B7" s="448"/>
      <c r="C7" s="83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31">
        <v>7</v>
      </c>
      <c r="C10" s="160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0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421">
        <v>7</v>
      </c>
      <c r="F10" s="160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60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421">
        <v>7</v>
      </c>
      <c r="I10" s="160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60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421">
        <v>7</v>
      </c>
      <c r="L10" s="160">
        <f>K10*(INDEX('Ex ante LI &amp; Eligibility Stats'!$A$5:$M$14,MATCH('Program MW '!$A10,'Ex ante LI &amp; Eligibility Stats'!$A$5:$A$14,0),MATCH('Program MW '!L$7,'Ex ante LI &amp; Eligibility Stats'!$A$5:$M$5,0))/1000)</f>
        <v>0.51421529090909091</v>
      </c>
      <c r="M10" s="160">
        <f>K10*(INDEX('Ex post LI &amp; Eligibility Stats'!$A$6:$N$15,MATCH($A10,'Ex post LI &amp; Eligibility Stats'!$A$6:$A$15,0),MATCH('Program MW '!L$7,'Ex post LI &amp; Eligibility Stats'!$A$6:$N$6,0))/1000)</f>
        <v>0.50909090909090915</v>
      </c>
      <c r="N10" s="421">
        <v>7</v>
      </c>
      <c r="O10" s="160">
        <f>N10*(INDEX('Ex ante LI &amp; Eligibility Stats'!$A$5:$M$14,MATCH('Program MW '!$A10,'Ex ante LI &amp; Eligibility Stats'!$A$5:$A$14,0),MATCH('Program MW '!O$7,'Ex ante LI &amp; Eligibility Stats'!$A$5:$M$5,0))/1000)</f>
        <v>0.57047734545454543</v>
      </c>
      <c r="P10" s="160">
        <f>N10*(INDEX('Ex post LI &amp; Eligibility Stats'!$A$6:$N$15,MATCH($A10,'Ex post LI &amp; Eligibility Stats'!$A$6:$A$15,0),MATCH('Program MW '!O$7,'Ex post LI &amp; Eligibility Stats'!$A$6:$N$6,0))/1000)</f>
        <v>0.50909090909090915</v>
      </c>
      <c r="Q10" s="421">
        <v>7</v>
      </c>
      <c r="R10" s="160">
        <f>Q10*(INDEX('Ex ante LI &amp; Eligibility Stats'!$A$5:$M$14,MATCH('Program MW '!$A10,'Ex ante LI &amp; Eligibility Stats'!$A$5:$A$14,0),MATCH('Program MW '!R$7,'Ex ante LI &amp; Eligibility Stats'!$A$5:$M$5,0))/1000)</f>
        <v>0.45657735454545445</v>
      </c>
      <c r="S10" s="451">
        <f>Q10*(INDEX('Ex post LI &amp; Eligibility Stats'!$A$6:$N$15,MATCH($A10,'Ex post LI &amp; Eligibility Stats'!$A$6:$A$15,0),MATCH('Program MW '!R$7,'Ex post LI &amp; Eligibility Stats'!$A$6:$N$6,0))/1000)</f>
        <v>0.50909090909090915</v>
      </c>
      <c r="T10" s="449">
        <v>5276</v>
      </c>
      <c r="U10"/>
      <c r="V10"/>
      <c r="W10"/>
      <c r="X10"/>
    </row>
    <row r="11" spans="1:31" ht="14.25" customHeight="1" thickBot="1" x14ac:dyDescent="0.25">
      <c r="A11" s="35" t="s">
        <v>20</v>
      </c>
      <c r="B11" s="36">
        <f t="shared" ref="B11:S11" si="0">SUM(B10:B10)</f>
        <v>7</v>
      </c>
      <c r="C11" s="37">
        <f t="shared" si="0"/>
        <v>0.66426054545454549</v>
      </c>
      <c r="D11" s="37">
        <f t="shared" si="0"/>
        <v>0.50909090909090915</v>
      </c>
      <c r="E11" s="36">
        <f t="shared" si="0"/>
        <v>7</v>
      </c>
      <c r="F11" s="37">
        <f t="shared" si="0"/>
        <v>0.61629279090909095</v>
      </c>
      <c r="G11" s="37">
        <f t="shared" si="0"/>
        <v>0.50909090909090915</v>
      </c>
      <c r="H11" s="36">
        <f t="shared" si="0"/>
        <v>7</v>
      </c>
      <c r="I11" s="37">
        <f t="shared" si="0"/>
        <v>0.676086090909091</v>
      </c>
      <c r="J11" s="37">
        <f t="shared" si="0"/>
        <v>0.50909090909090915</v>
      </c>
      <c r="K11" s="36">
        <f t="shared" si="0"/>
        <v>7</v>
      </c>
      <c r="L11" s="37">
        <f t="shared" si="0"/>
        <v>0.51421529090909091</v>
      </c>
      <c r="M11" s="37">
        <f t="shared" si="0"/>
        <v>0.50909090909090915</v>
      </c>
      <c r="N11" s="36">
        <f t="shared" si="0"/>
        <v>7</v>
      </c>
      <c r="O11" s="37">
        <f t="shared" si="0"/>
        <v>0.57047734545454543</v>
      </c>
      <c r="P11" s="37">
        <f t="shared" si="0"/>
        <v>0.50909090909090915</v>
      </c>
      <c r="Q11" s="36">
        <f t="shared" si="0"/>
        <v>7</v>
      </c>
      <c r="R11" s="37">
        <f t="shared" si="0"/>
        <v>0.45657735454545445</v>
      </c>
      <c r="S11" s="452">
        <f t="shared" si="0"/>
        <v>0.50909090909090915</v>
      </c>
      <c r="T11" s="38"/>
      <c r="U11"/>
      <c r="V11"/>
      <c r="W11"/>
      <c r="X11"/>
    </row>
    <row r="12" spans="1:31" ht="16.5" customHeight="1" thickTop="1" x14ac:dyDescent="0.2">
      <c r="A12" s="30" t="s">
        <v>126</v>
      </c>
      <c r="B12" s="40"/>
      <c r="C12" s="40"/>
      <c r="D12" s="41"/>
      <c r="E12" s="42"/>
      <c r="F12" s="43"/>
      <c r="G12" s="41"/>
      <c r="H12" s="42"/>
      <c r="I12" s="40"/>
      <c r="J12" s="41"/>
      <c r="K12" s="42"/>
      <c r="L12" s="40"/>
      <c r="M12" s="41"/>
      <c r="N12" s="42"/>
      <c r="O12" s="158"/>
      <c r="P12" s="159"/>
      <c r="Q12" s="42"/>
      <c r="R12" s="40"/>
      <c r="S12" s="453"/>
      <c r="T12" s="44"/>
      <c r="U12"/>
      <c r="V12"/>
      <c r="W12"/>
      <c r="X12"/>
      <c r="Y12" s="45"/>
      <c r="Z12" s="45"/>
      <c r="AA12" s="45"/>
      <c r="AB12" s="45"/>
      <c r="AC12" s="45"/>
      <c r="AD12" s="45"/>
      <c r="AE12" s="45"/>
    </row>
    <row r="13" spans="1:31" x14ac:dyDescent="0.2">
      <c r="A13" s="2" t="s">
        <v>67</v>
      </c>
      <c r="B13" s="428">
        <v>1130</v>
      </c>
      <c r="C13" s="160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0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60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60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60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60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>
        <v>1137</v>
      </c>
      <c r="L13" s="160">
        <f>K13*(INDEX('Ex ante LI &amp; Eligibility Stats'!$A$5:$M$14,MATCH($A13,'Ex ante LI &amp; Eligibility Stats'!$A$5:$A$14,0),MATCH('Program MW '!L$7,'Ex ante LI &amp; Eligibility Stats'!$A$5:$M$5,0))/1000)</f>
        <v>15.696577195671775</v>
      </c>
      <c r="M13" s="160">
        <f>K13*(INDEX('Ex post LI &amp; Eligibility Stats'!$A$6:$N$15,MATCH($A13,'Ex post LI &amp; Eligibility Stats'!$A$6:$A$15,0),MATCH('Program MW '!L$7,'Ex post LI &amp; Eligibility Stats'!$A$6:$N$6,0))/1000)</f>
        <v>18.556988277727687</v>
      </c>
      <c r="N13" s="33">
        <v>1139</v>
      </c>
      <c r="O13" s="160">
        <f>N13*(INDEX('Ex ante LI &amp; Eligibility Stats'!$A$5:$M$14,MATCH($A13,'Ex ante LI &amp; Eligibility Stats'!$A$5:$A$14,0),MATCH('Program MW '!O$7,'Ex ante LI &amp; Eligibility Stats'!$A$5:$M$5,0))/1000)</f>
        <v>15.012410279531109</v>
      </c>
      <c r="P13" s="160">
        <f>N13*(INDEX('Ex post LI &amp; Eligibility Stats'!$A$6:$N$15,MATCH($A13,'Ex post LI &amp; Eligibility Stats'!$A$6:$A$15,0),MATCH('Program MW '!O$7,'Ex post LI &amp; Eligibility Stats'!$A$6:$N$6,0))/1000)</f>
        <v>18.589630297565378</v>
      </c>
      <c r="Q13" s="33">
        <v>1139</v>
      </c>
      <c r="R13" s="160">
        <f>Q13*(INDEX('Ex ante LI &amp; Eligibility Stats'!$A$5:$M$14,MATCH($A13,'Ex ante LI &amp; Eligibility Stats'!$A$5:$A$14,0),MATCH('Program MW '!R$7,'Ex ante LI &amp; Eligibility Stats'!$A$5:$M$5,0))/1000)</f>
        <v>14.998575897204688</v>
      </c>
      <c r="S13" s="397">
        <f>Q13*(INDEX('Ex post LI &amp; Eligibility Stats'!$A$6:$N$15,MATCH($A13,'Ex post LI &amp; Eligibility Stats'!$A$6:$A$15,0),MATCH('Program MW '!R$7,'Ex post LI &amp; Eligibility Stats'!$A$6:$N$6,0))/1000)</f>
        <v>18.589630297565378</v>
      </c>
      <c r="T13" s="450">
        <v>138123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x14ac:dyDescent="0.2">
      <c r="A14" s="2" t="s">
        <v>68</v>
      </c>
      <c r="B14" s="429">
        <v>28512</v>
      </c>
      <c r="C14" s="160">
        <f>B14*(INDEX('Ex ante LI &amp; Eligibility Stats'!$A$5:$M$14,MATCH($A14,'Ex ante LI &amp; Eligibility Stats'!$A$5:$A$14,0),MATCH('Program MW '!C$7,'Ex ante LI &amp; Eligibility Stats'!$A$5:$M$5,0))/1000)</f>
        <v>0</v>
      </c>
      <c r="D14" s="160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60">
        <f>E14*(INDEX('Ex ante LI &amp; Eligibility Stats'!$A$5:$M$14,MATCH($A14,'Ex ante LI &amp; Eligibility Stats'!$A$5:$A$14,0),MATCH('Program MW '!F$7,'Ex ante LI &amp; Eligibility Stats'!$A$5:$M$5,0))/1000)</f>
        <v>0</v>
      </c>
      <c r="G14" s="160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60">
        <f>H14*(INDEX('Ex ante LI &amp; Eligibility Stats'!$A$5:$M$14,MATCH($A14,'Ex ante LI &amp; Eligibility Stats'!$A$5:$A$14,0),MATCH('Program MW '!I$7,'Ex ante LI &amp; Eligibility Stats'!$A$5:$M$5,0))/1000)</f>
        <v>0</v>
      </c>
      <c r="J14" s="160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>
        <v>28223</v>
      </c>
      <c r="L14" s="160">
        <f>K14*(INDEX('Ex ante LI &amp; Eligibility Stats'!$A$5:$M$14,MATCH($A14,'Ex ante LI &amp; Eligibility Stats'!$A$5:$A$14,0),MATCH('Program MW '!L$7,'Ex ante LI &amp; Eligibility Stats'!$A$5:$M$5,0))/1000)</f>
        <v>0</v>
      </c>
      <c r="M14" s="160">
        <f>K14*(INDEX('Ex post LI &amp; Eligibility Stats'!$A$6:$N$15,MATCH($A14,'Ex post LI &amp; Eligibility Stats'!$A$6:$A$15,0),MATCH('Program MW '!L$7,'Ex post LI &amp; Eligibility Stats'!$A$6:$N$6,0))/1000)</f>
        <v>12.405259880590455</v>
      </c>
      <c r="N14" s="33">
        <v>27690</v>
      </c>
      <c r="O14" s="160">
        <f>N14*(INDEX('Ex ante LI &amp; Eligibility Stats'!$A$5:$M$14,MATCH($A14,'Ex ante LI &amp; Eligibility Stats'!$A$5:$A$14,0),MATCH('Program MW '!O$7,'Ex ante LI &amp; Eligibility Stats'!$A$5:$M$5,0))/1000)</f>
        <v>2.5641263079914807</v>
      </c>
      <c r="P14" s="160">
        <f>N14*(INDEX('Ex post LI &amp; Eligibility Stats'!$A$6:$N$15,MATCH($A14,'Ex post LI &amp; Eligibility Stats'!$A$6:$A$15,0),MATCH('Program MW '!O$7,'Ex post LI &amp; Eligibility Stats'!$A$6:$N$6,0))/1000)</f>
        <v>12.170982747884693</v>
      </c>
      <c r="Q14" s="33">
        <v>27715</v>
      </c>
      <c r="R14" s="160">
        <f>Q14*(INDEX('Ex ante LI &amp; Eligibility Stats'!$A$5:$M$14,MATCH($A14,'Ex ante LI &amp; Eligibility Stats'!$A$5:$A$14,0),MATCH('Program MW '!R$7,'Ex ante LI &amp; Eligibility Stats'!$A$5:$M$5,0))/1000)</f>
        <v>5.1328826743216966</v>
      </c>
      <c r="S14" s="397">
        <f>Q14*(INDEX('Ex post LI &amp; Eligibility Stats'!$A$6:$N$15,MATCH($A14,'Ex post LI &amp; Eligibility Stats'!$A$6:$A$15,0),MATCH('Program MW '!R$7,'Ex post LI &amp; Eligibility Stats'!$A$6:$N$6,0))/1000)</f>
        <v>12.181971356360574</v>
      </c>
      <c r="T14" s="449">
        <v>663393.5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x14ac:dyDescent="0.2">
      <c r="A15" s="2" t="s">
        <v>69</v>
      </c>
      <c r="B15" s="429">
        <v>11536</v>
      </c>
      <c r="C15" s="160">
        <f>B15*(INDEX('Ex ante LI &amp; Eligibility Stats'!$A$5:$M$14,MATCH($A15,'Ex ante LI &amp; Eligibility Stats'!$A$5:$A$14,0),MATCH('Program MW '!C$7,'Ex ante LI &amp; Eligibility Stats'!$A$5:$M$5,0))/1000)</f>
        <v>0</v>
      </c>
      <c r="D15" s="160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60">
        <f>E15*(INDEX('Ex ante LI &amp; Eligibility Stats'!$A$5:$M$14,MATCH($A15,'Ex ante LI &amp; Eligibility Stats'!$A$5:$A$14,0),MATCH('Program MW '!F$7,'Ex ante LI &amp; Eligibility Stats'!$A$5:$M$5,0))/1000)</f>
        <v>0</v>
      </c>
      <c r="G15" s="160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60">
        <f>H15*(INDEX('Ex ante LI &amp; Eligibility Stats'!$A$5:$M$14,MATCH($A15,'Ex ante LI &amp; Eligibility Stats'!$A$5:$A$14,0),MATCH('Program MW '!I$7,'Ex ante LI &amp; Eligibility Stats'!$A$5:$M$5,0))/1000)</f>
        <v>0</v>
      </c>
      <c r="J15" s="160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>
        <v>11451</v>
      </c>
      <c r="L15" s="160">
        <f>K15*(INDEX('Ex ante LI &amp; Eligibility Stats'!$A$5:$M$14,MATCH($A15,'Ex ante LI &amp; Eligibility Stats'!$A$5:$A$14,0),MATCH('Program MW '!L$7,'Ex ante LI &amp; Eligibility Stats'!$A$5:$M$5,0))/1000)</f>
        <v>0</v>
      </c>
      <c r="M15" s="160">
        <f>K15*(INDEX('Ex post LI &amp; Eligibility Stats'!$A$6:$N$15,MATCH($A15,'Ex post LI &amp; Eligibility Stats'!$A$6:$A$15,0),MATCH('Program MW '!L$7,'Ex post LI &amp; Eligibility Stats'!$A$6:$N$6,0))/1000)</f>
        <v>4.2415038429484211</v>
      </c>
      <c r="N15" s="33">
        <v>11417</v>
      </c>
      <c r="O15" s="160">
        <f>N15*(INDEX('Ex ante LI &amp; Eligibility Stats'!$A$5:$M$14,MATCH($A15,'Ex ante LI &amp; Eligibility Stats'!$A$5:$A$14,0),MATCH('Program MW '!O$7,'Ex ante LI &amp; Eligibility Stats'!$A$5:$M$5,0))/1000)</f>
        <v>1.6727592395882935</v>
      </c>
      <c r="P15" s="160">
        <f>N15*(INDEX('Ex post LI &amp; Eligibility Stats'!$A$6:$N$15,MATCH($A15,'Ex post LI &amp; Eligibility Stats'!$A$6:$A$15,0),MATCH('Program MW '!O$7,'Ex post LI &amp; Eligibility Stats'!$A$6:$N$6,0))/1000)</f>
        <v>4.2289100842670617</v>
      </c>
      <c r="Q15" s="33">
        <v>11413</v>
      </c>
      <c r="R15" s="160">
        <f>Q15*(INDEX('Ex ante LI &amp; Eligibility Stats'!$A$5:$M$14,MATCH($A15,'Ex ante LI &amp; Eligibility Stats'!$A$5:$A$14,0),MATCH('Program MW '!R$7,'Ex ante LI &amp; Eligibility Stats'!$A$5:$M$5,0))/1000)</f>
        <v>2.0902164755869745</v>
      </c>
      <c r="S15" s="397">
        <f>Q15*(INDEX('Ex post LI &amp; Eligibility Stats'!$A$6:$N$15,MATCH($A15,'Ex post LI &amp; Eligibility Stats'!$A$6:$A$15,0),MATCH('Program MW '!R$7,'Ex post LI &amp; Eligibility Stats'!$A$6:$N$6,0))/1000)</f>
        <v>4.2274284655986669</v>
      </c>
      <c r="T15" s="449">
        <v>157189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x14ac:dyDescent="0.2">
      <c r="A16" s="2" t="s">
        <v>70</v>
      </c>
      <c r="B16" s="430">
        <v>128.4</v>
      </c>
      <c r="C16" s="160">
        <f>B16*(INDEX('Ex ante LI &amp; Eligibility Stats'!$A$5:$M$14,MATCH($A16,'Ex ante LI &amp; Eligibility Stats'!$A$5:$A$14,0),MATCH('Program MW '!C$7,'Ex ante LI &amp; Eligibility Stats'!$A$5:$M$5,0))/1000)</f>
        <v>0</v>
      </c>
      <c r="D16" s="160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60">
        <f>E16*(INDEX('Ex ante LI &amp; Eligibility Stats'!$A$5:$M$14,MATCH($A16,'Ex ante LI &amp; Eligibility Stats'!$A$5:$A$14,0),MATCH('Program MW '!F$7,'Ex ante LI &amp; Eligibility Stats'!$A$5:$M$5,0))/1000)</f>
        <v>0</v>
      </c>
      <c r="G16" s="160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60">
        <f>H16*(INDEX('Ex ante LI &amp; Eligibility Stats'!$A$5:$M$14,MATCH($A16,'Ex ante LI &amp; Eligibility Stats'!$A$5:$A$14,0),MATCH('Program MW '!I$7,'Ex ante LI &amp; Eligibility Stats'!$A$5:$M$5,0))/1000)</f>
        <v>0</v>
      </c>
      <c r="J16" s="160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5">
        <v>126</v>
      </c>
      <c r="L16" s="160">
        <f>K16*(INDEX('Ex ante LI &amp; Eligibility Stats'!$A$5:$M$14,MATCH($A16,'Ex ante LI &amp; Eligibility Stats'!$A$5:$A$14,0),MATCH('Program MW '!L$7,'Ex ante LI &amp; Eligibility Stats'!$A$5:$M$5,0))/1000)</f>
        <v>0</v>
      </c>
      <c r="M16" s="160">
        <f>K16*(INDEX('Ex post LI &amp; Eligibility Stats'!$A$6:$N$15,MATCH($A16,'Ex post LI &amp; Eligibility Stats'!$A$6:$A$15,0),MATCH('Program MW '!L$7,'Ex post LI &amp; Eligibility Stats'!$A$6:$N$6,0))/1000)</f>
        <v>6.7632352941176466</v>
      </c>
      <c r="N16" s="33">
        <v>129</v>
      </c>
      <c r="O16" s="160">
        <f>N16*(INDEX('Ex ante LI &amp; Eligibility Stats'!$A$5:$M$14,MATCH($A16,'Ex ante LI &amp; Eligibility Stats'!$A$5:$A$14,0),MATCH('Program MW '!O$7,'Ex ante LI &amp; Eligibility Stats'!$A$5:$M$5,0))/1000)</f>
        <v>7.9188422672888805</v>
      </c>
      <c r="P16" s="160">
        <f>N16*(INDEX('Ex post LI &amp; Eligibility Stats'!$A$6:$N$15,MATCH($A16,'Ex post LI &amp; Eligibility Stats'!$A$6:$A$15,0),MATCH('Program MW '!O$7,'Ex post LI &amp; Eligibility Stats'!$A$6:$N$6,0))/1000)</f>
        <v>6.9242647058823525</v>
      </c>
      <c r="Q16" s="33">
        <v>129.20000000000002</v>
      </c>
      <c r="R16" s="160">
        <f>Q16*(INDEX('Ex ante LI &amp; Eligibility Stats'!$A$5:$M$14,MATCH($A16,'Ex ante LI &amp; Eligibility Stats'!$A$5:$A$14,0),MATCH('Program MW '!R$7,'Ex ante LI &amp; Eligibility Stats'!$A$5:$M$5,0))/1000)</f>
        <v>8.0127738475799575</v>
      </c>
      <c r="S16" s="397">
        <f>Q16*(INDEX('Ex post LI &amp; Eligibility Stats'!$A$6:$N$15,MATCH($A16,'Ex post LI &amp; Eligibility Stats'!$A$6:$A$15,0),MATCH('Program MW '!R$7,'Ex post LI &amp; Eligibility Stats'!$A$6:$N$6,0))/1000)</f>
        <v>6.9350000000000005</v>
      </c>
      <c r="T16" s="449">
        <v>18875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2" t="s">
        <v>71</v>
      </c>
      <c r="B17" s="429">
        <v>513.6</v>
      </c>
      <c r="C17" s="160">
        <f>B17*(INDEX('Ex ante LI &amp; Eligibility Stats'!$A$5:$M$14,MATCH($A17,'Ex ante LI &amp; Eligibility Stats'!$A$5:$A$14,0),MATCH('Program MW '!C$7,'Ex ante LI &amp; Eligibility Stats'!$A$5:$M$5,0))/1000)</f>
        <v>0</v>
      </c>
      <c r="D17" s="160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60">
        <f>E17*(INDEX('Ex ante LI &amp; Eligibility Stats'!$A$5:$M$14,MATCH($A17,'Ex ante LI &amp; Eligibility Stats'!$A$5:$A$14,0),MATCH('Program MW '!F$7,'Ex ante LI &amp; Eligibility Stats'!$A$5:$M$5,0))/1000)</f>
        <v>0</v>
      </c>
      <c r="G17" s="160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60">
        <f>H17*(INDEX('Ex ante LI &amp; Eligibility Stats'!$A$5:$M$14,MATCH($A17,'Ex ante LI &amp; Eligibility Stats'!$A$5:$A$14,0),MATCH('Program MW '!I$7,'Ex ante LI &amp; Eligibility Stats'!$A$5:$M$5,0))/1000)</f>
        <v>0</v>
      </c>
      <c r="J17" s="160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5">
        <v>502</v>
      </c>
      <c r="L17" s="160">
        <f>K17*(INDEX('Ex ante LI &amp; Eligibility Stats'!$A$5:$M$14,MATCH($A17,'Ex ante LI &amp; Eligibility Stats'!$A$5:$A$14,0),MATCH('Program MW '!L$7,'Ex ante LI &amp; Eligibility Stats'!$A$5:$M$5,0))/1000)</f>
        <v>0</v>
      </c>
      <c r="M17" s="160">
        <f>K17*(INDEX('Ex post LI &amp; Eligibility Stats'!$A$6:$N$15,MATCH($A17,'Ex post LI &amp; Eligibility Stats'!$A$6:$A$15,0),MATCH('Program MW '!L$7,'Ex post LI &amp; Eligibility Stats'!$A$6:$N$6,0))/1000)</f>
        <v>10.868990825688073</v>
      </c>
      <c r="N17" s="33">
        <v>516</v>
      </c>
      <c r="O17" s="160">
        <f>N17*(INDEX('Ex ante LI &amp; Eligibility Stats'!$A$5:$M$14,MATCH($A17,'Ex ante LI &amp; Eligibility Stats'!$A$5:$A$14,0),MATCH('Program MW '!O$7,'Ex ante LI &amp; Eligibility Stats'!$A$5:$M$5,0))/1000)</f>
        <v>9.0450962395624295</v>
      </c>
      <c r="P17" s="160">
        <f>N17*(INDEX('Ex post LI &amp; Eligibility Stats'!$A$6:$N$15,MATCH($A17,'Ex post LI &amp; Eligibility Stats'!$A$6:$A$15,0),MATCH('Program MW '!O$7,'Ex post LI &amp; Eligibility Stats'!$A$6:$N$6,0))/1000)</f>
        <v>11.17211009174312</v>
      </c>
      <c r="Q17" s="33">
        <v>516.79999999999995</v>
      </c>
      <c r="R17" s="160">
        <f>Q17*(INDEX('Ex ante LI &amp; Eligibility Stats'!$A$5:$M$14,MATCH($A17,'Ex ante LI &amp; Eligibility Stats'!$A$5:$A$14,0),MATCH('Program MW '!R$7,'Ex ante LI &amp; Eligibility Stats'!$A$5:$M$5,0))/1000)</f>
        <v>9.1019518852583854</v>
      </c>
      <c r="S17" s="397">
        <f>Q17*(INDEX('Ex post LI &amp; Eligibility Stats'!$A$6:$N$15,MATCH($A17,'Ex post LI &amp; Eligibility Stats'!$A$6:$A$15,0),MATCH('Program MW '!R$7,'Ex post LI &amp; Eligibility Stats'!$A$6:$N$6,0))/1000)</f>
        <v>11.18943119266055</v>
      </c>
      <c r="T17" s="449">
        <v>18875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x14ac:dyDescent="0.2">
      <c r="A18" s="2" t="s">
        <v>229</v>
      </c>
      <c r="B18" s="429">
        <v>1235701</v>
      </c>
      <c r="C18" s="160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7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6">
        <v>1236018</v>
      </c>
      <c r="F18" s="160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7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6">
        <v>1240156</v>
      </c>
      <c r="I18" s="160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7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6">
        <v>1223894</v>
      </c>
      <c r="L18" s="160">
        <f>K18*(INDEX('Ex ante LI &amp; Eligibility Stats'!$A$5:$M$14,MATCH($A18,'Ex ante LI &amp; Eligibility Stats'!$A$5:$A$14,0),MATCH('Program MW '!L$7,'Ex ante LI &amp; Eligibility Stats'!$A$5:$M$5,0))/1000)</f>
        <v>1.9418590699283327</v>
      </c>
      <c r="M18" s="397">
        <f>K18*(INDEX('Ex post LI &amp; Eligibility Stats'!$A$6:$N$15,MATCH($A18,'Ex post LI &amp; Eligibility Stats'!$A$6:$A$15,0),MATCH('Program MW '!L$7,'Ex post LI &amp; Eligibility Stats'!$A$6:$N$6,0))/1000)</f>
        <v>2.8190672054332948</v>
      </c>
      <c r="N18" s="46">
        <v>42039</v>
      </c>
      <c r="O18" s="160">
        <f>N18*(INDEX('Ex ante LI &amp; Eligibility Stats'!$A$5:$M$14,MATCH($A18,'Ex ante LI &amp; Eligibility Stats'!$A$5:$A$14,0),MATCH('Program MW '!O$7,'Ex ante LI &amp; Eligibility Stats'!$A$5:$M$5,0))/1000)</f>
        <v>2.8879847361445425</v>
      </c>
      <c r="P18" s="397">
        <f>N18*(INDEX('Ex post LI &amp; Eligibility Stats'!$A$6:$N$15,MATCH($A18,'Ex post LI &amp; Eligibility Stats'!$A$6:$A$15,0),MATCH('Program MW '!O$7,'Ex post LI &amp; Eligibility Stats'!$A$6:$N$6,0))/1000)</f>
        <v>4.8597204111428542</v>
      </c>
      <c r="Q18" s="46">
        <v>45645</v>
      </c>
      <c r="R18" s="160">
        <f>Q18*(INDEX('Ex ante LI &amp; Eligibility Stats'!$A$5:$M$14,MATCH($A18,'Ex ante LI &amp; Eligibility Stats'!$A$5:$A$14,0),MATCH('Program MW '!R$7,'Ex ante LI &amp; Eligibility Stats'!$A$5:$M$5,0))/1000)</f>
        <v>3.2107133691225735</v>
      </c>
      <c r="S18" s="397">
        <f>Q18*(INDEX('Ex post LI &amp; Eligibility Stats'!$A$6:$N$15,MATCH($A18,'Ex post LI &amp; Eligibility Stats'!$A$6:$A$15,0),MATCH('Program MW '!R$7,'Ex post LI &amp; Eligibility Stats'!$A$6:$N$6,0))/1000)</f>
        <v>5.2765750414285675</v>
      </c>
      <c r="T18" s="449">
        <v>1200000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x14ac:dyDescent="0.2">
      <c r="A19" s="2" t="s">
        <v>220</v>
      </c>
      <c r="B19" s="429">
        <v>0</v>
      </c>
      <c r="C19" s="160">
        <f>B19*(INDEX('Ex ante LI &amp; Eligibility Stats'!$A$5:$M$14,MATCH($A19,'Ex ante LI &amp; Eligibility Stats'!$A$5:$A$14,0),MATCH('Program MW '!C$7,'Ex ante LI &amp; Eligibility Stats'!$A$5:$M$5,0))/1000)</f>
        <v>0</v>
      </c>
      <c r="D19" s="397">
        <f>B19*(INDEX('Ex post LI &amp; Eligibility Stats'!$A$6:$N$15,MATCH($A19,'Ex post LI &amp; Eligibility Stats'!$A$6:$A$15,0),MATCH('Program MW '!C$7,'Ex post LI &amp; Eligibility Stats'!$A$6:$N$6,0))/1000)</f>
        <v>0</v>
      </c>
      <c r="E19" s="46">
        <v>0</v>
      </c>
      <c r="F19" s="160">
        <f>E19*(INDEX('Ex ante LI &amp; Eligibility Stats'!$A$5:$M$14,MATCH($A19,'Ex ante LI &amp; Eligibility Stats'!$A$5:$A$14,0),MATCH('Program MW '!F$7,'Ex ante LI &amp; Eligibility Stats'!$A$5:$M$5,0))/1000)</f>
        <v>0</v>
      </c>
      <c r="G19" s="397">
        <f>E19*(INDEX('Ex post LI &amp; Eligibility Stats'!$A$6:$N$15,MATCH($A19,'Ex post LI &amp; Eligibility Stats'!$A$6:$A$15,0),MATCH('Program MW '!F$7,'Ex post LI &amp; Eligibility Stats'!$A$6:$N$6,0))/1000)</f>
        <v>0</v>
      </c>
      <c r="H19" s="46">
        <v>0</v>
      </c>
      <c r="I19" s="160">
        <f>H19*(INDEX('Ex ante LI &amp; Eligibility Stats'!$A$5:$M$14,MATCH($A19,'Ex ante LI &amp; Eligibility Stats'!$A$5:$A$14,0),MATCH('Program MW '!I$7,'Ex ante LI &amp; Eligibility Stats'!$A$5:$M$5,0))/1000)</f>
        <v>0</v>
      </c>
      <c r="J19" s="397">
        <f>H19*(INDEX('Ex post LI &amp; Eligibility Stats'!$A$6:$N$15,MATCH($A19,'Ex post LI &amp; Eligibility Stats'!$A$6:$A$15,0),MATCH('Program MW '!I$7,'Ex post LI &amp; Eligibility Stats'!$A$6:$N$6,0))/1000)</f>
        <v>0</v>
      </c>
      <c r="K19" s="46">
        <v>0</v>
      </c>
      <c r="L19" s="160">
        <f>K19*(INDEX('Ex ante LI &amp; Eligibility Stats'!$A$5:$M$14,MATCH($A19,'Ex ante LI &amp; Eligibility Stats'!$A$5:$A$14,0),MATCH('Program MW '!L$7,'Ex ante LI &amp; Eligibility Stats'!$A$5:$M$5,0))/1000)</f>
        <v>0</v>
      </c>
      <c r="M19" s="397">
        <f>K19*(INDEX('Ex post LI &amp; Eligibility Stats'!$A$6:$N$15,MATCH($A19,'Ex post LI &amp; Eligibility Stats'!$A$6:$A$15,0),MATCH('Program MW '!L$7,'Ex post LI &amp; Eligibility Stats'!$A$6:$N$6,0))/1000)</f>
        <v>0</v>
      </c>
      <c r="N19" s="46">
        <v>0</v>
      </c>
      <c r="O19" s="160">
        <f>N19*(INDEX('Ex ante LI &amp; Eligibility Stats'!$A$5:$M$14,MATCH($A19,'Ex ante LI &amp; Eligibility Stats'!$A$5:$A$14,0),MATCH('Program MW '!O$7,'Ex ante LI &amp; Eligibility Stats'!$A$5:$M$5,0))/1000)</f>
        <v>0</v>
      </c>
      <c r="P19" s="397">
        <f>N19*(INDEX('Ex post LI &amp; Eligibility Stats'!$A$6:$N$15,MATCH($A19,'Ex post LI &amp; Eligibility Stats'!$A$6:$A$15,0),MATCH('Program MW '!O$7,'Ex post LI &amp; Eligibility Stats'!$A$6:$N$6,0))/1000)</f>
        <v>0</v>
      </c>
      <c r="Q19" s="46">
        <v>580</v>
      </c>
      <c r="R19" s="160">
        <f>Q19*(INDEX('Ex ante LI &amp; Eligibility Stats'!$A$5:$M$14,MATCH($A19,'Ex ante LI &amp; Eligibility Stats'!$A$5:$A$14,0),MATCH('Program MW '!R$7,'Ex ante LI &amp; Eligibility Stats'!$A$5:$M$5,0))/1000)</f>
        <v>1.2083333333333333E-2</v>
      </c>
      <c r="S19" s="397">
        <f>Q19*(INDEX('Ex post LI &amp; Eligibility Stats'!$A$6:$N$15,MATCH($A19,'Ex post LI &amp; Eligibility Stats'!$A$6:$A$15,0),MATCH('Program MW '!R$7,'Ex post LI &amp; Eligibility Stats'!$A$6:$N$6,0))/1000)</f>
        <v>1.2083333333333333E-2</v>
      </c>
      <c r="T19" s="449">
        <v>120000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2">
      <c r="A20" s="2" t="s">
        <v>142</v>
      </c>
      <c r="B20" s="429">
        <v>9</v>
      </c>
      <c r="C20" s="160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0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421">
        <v>9</v>
      </c>
      <c r="F20" s="160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60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421">
        <v>9</v>
      </c>
      <c r="I20" s="160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60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421">
        <v>9</v>
      </c>
      <c r="L20" s="160">
        <f>K20*(INDEX('Ex ante LI &amp; Eligibility Stats'!$A$5:$M$14,MATCH($A20,'Ex ante LI &amp; Eligibility Stats'!$A$5:$A$14,0),MATCH('Program MW '!L$7,'Ex ante LI &amp; Eligibility Stats'!$A$5:$M$5,0))/1000)</f>
        <v>6.8652246000000003</v>
      </c>
      <c r="M20" s="160">
        <f>K20*(INDEX('Ex post LI &amp; Eligibility Stats'!$A$6:$N$15,MATCH($A20,'Ex post LI &amp; Eligibility Stats'!$A$6:$A$15,0),MATCH('Program MW '!L$7,'Ex post LI &amp; Eligibility Stats'!$A$6:$N$6,0))/1000)</f>
        <v>7.6499999999999995</v>
      </c>
      <c r="N20" s="421">
        <v>9</v>
      </c>
      <c r="O20" s="160">
        <f>N20*(INDEX('Ex ante LI &amp; Eligibility Stats'!$A$5:$M$14,MATCH($A20,'Ex ante LI &amp; Eligibility Stats'!$A$5:$A$14,0),MATCH('Program MW '!O$7,'Ex ante LI &amp; Eligibility Stats'!$A$5:$M$5,0))/1000)</f>
        <v>5.0451861000000005</v>
      </c>
      <c r="P20" s="160">
        <f>N20*(INDEX('Ex post LI &amp; Eligibility Stats'!$A$6:$N$15,MATCH($A20,'Ex post LI &amp; Eligibility Stats'!$A$6:$A$15,0),MATCH('Program MW '!O$7,'Ex post LI &amp; Eligibility Stats'!$A$6:$N$6,0))/1000)</f>
        <v>7.6499999999999995</v>
      </c>
      <c r="Q20" s="421">
        <v>9</v>
      </c>
      <c r="R20" s="160">
        <f>Q20*(INDEX('Ex ante LI &amp; Eligibility Stats'!$A$5:$M$14,MATCH($A20,'Ex ante LI &amp; Eligibility Stats'!$A$5:$A$14,0),MATCH('Program MW '!R$7,'Ex ante LI &amp; Eligibility Stats'!$A$5:$M$5,0))/1000)</f>
        <v>4.7548460999999991</v>
      </c>
      <c r="S20" s="398">
        <f>Q20*(INDEX('Ex post LI &amp; Eligibility Stats'!$A$6:$N$15,MATCH($A20,'Ex post LI &amp; Eligibility Stats'!$A$6:$A$15,0),MATCH('Program MW '!R$7,'Ex post LI &amp; Eligibility Stats'!$A$6:$N$6,0))/1000)</f>
        <v>7.6499999999999995</v>
      </c>
      <c r="T20" s="449">
        <v>162482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13.5" thickBot="1" x14ac:dyDescent="0.25">
      <c r="A21" s="35" t="s">
        <v>34</v>
      </c>
      <c r="B21" s="36">
        <f t="shared" ref="B21:S21" si="1">SUM(B13:B20)</f>
        <v>1277530</v>
      </c>
      <c r="C21" s="161">
        <f t="shared" si="1"/>
        <v>8.5207438691333124</v>
      </c>
      <c r="D21" s="399">
        <f t="shared" si="1"/>
        <v>63.756486219659855</v>
      </c>
      <c r="E21" s="36">
        <f t="shared" si="1"/>
        <v>1277287</v>
      </c>
      <c r="F21" s="36">
        <f t="shared" si="1"/>
        <v>7.731592907469695</v>
      </c>
      <c r="G21" s="399">
        <f t="shared" si="1"/>
        <v>63.531048320073417</v>
      </c>
      <c r="H21" s="36">
        <f t="shared" si="1"/>
        <v>1281428</v>
      </c>
      <c r="I21" s="36">
        <f t="shared" si="1"/>
        <v>9.4940966270170595</v>
      </c>
      <c r="J21" s="399">
        <f t="shared" si="1"/>
        <v>63.589542649187663</v>
      </c>
      <c r="K21" s="36">
        <f t="shared" si="1"/>
        <v>1265342</v>
      </c>
      <c r="L21" s="161">
        <f t="shared" si="1"/>
        <v>24.503660865600111</v>
      </c>
      <c r="M21" s="399">
        <f t="shared" si="1"/>
        <v>63.305045326505571</v>
      </c>
      <c r="N21" s="36">
        <f t="shared" si="1"/>
        <v>82939</v>
      </c>
      <c r="O21" s="47">
        <f t="shared" si="1"/>
        <v>44.146405170106739</v>
      </c>
      <c r="P21" s="400">
        <f t="shared" si="1"/>
        <v>65.595618338485465</v>
      </c>
      <c r="Q21" s="36">
        <f t="shared" si="1"/>
        <v>87147</v>
      </c>
      <c r="R21" s="47">
        <f t="shared" si="1"/>
        <v>47.314043582407614</v>
      </c>
      <c r="S21" s="400">
        <f t="shared" si="1"/>
        <v>66.062119686947071</v>
      </c>
      <c r="T21" s="38"/>
      <c r="U21" s="45"/>
      <c r="V21" s="45"/>
      <c r="W21" s="48"/>
      <c r="X21" s="45"/>
      <c r="Y21" s="45"/>
      <c r="Z21" s="45"/>
      <c r="AA21" s="45"/>
      <c r="AB21" s="45"/>
      <c r="AC21" s="45"/>
      <c r="AD21" s="45"/>
      <c r="AE21" s="45"/>
    </row>
    <row r="22" spans="1:31" ht="14.25" thickTop="1" thickBot="1" x14ac:dyDescent="0.25">
      <c r="A22" s="49" t="s">
        <v>23</v>
      </c>
      <c r="B22" s="52">
        <f t="shared" ref="B22:S22" si="2">+B11+B21</f>
        <v>1277537</v>
      </c>
      <c r="C22" s="50">
        <f t="shared" si="2"/>
        <v>9.1850044145878584</v>
      </c>
      <c r="D22" s="51">
        <f t="shared" si="2"/>
        <v>64.265577128750763</v>
      </c>
      <c r="E22" s="52">
        <f t="shared" si="2"/>
        <v>1277294</v>
      </c>
      <c r="F22" s="50">
        <f t="shared" si="2"/>
        <v>8.3478856983787857</v>
      </c>
      <c r="G22" s="50">
        <f t="shared" si="2"/>
        <v>64.040139229164325</v>
      </c>
      <c r="H22" s="52">
        <f t="shared" si="2"/>
        <v>1281435</v>
      </c>
      <c r="I22" s="50">
        <f t="shared" si="2"/>
        <v>10.170182717926151</v>
      </c>
      <c r="J22" s="324">
        <f t="shared" si="2"/>
        <v>64.098633558278578</v>
      </c>
      <c r="K22" s="52">
        <f t="shared" si="2"/>
        <v>1265349</v>
      </c>
      <c r="L22" s="50">
        <f t="shared" si="2"/>
        <v>25.017876156509203</v>
      </c>
      <c r="M22" s="53">
        <f t="shared" si="2"/>
        <v>63.814136235596479</v>
      </c>
      <c r="N22" s="52">
        <f t="shared" si="2"/>
        <v>82946</v>
      </c>
      <c r="O22" s="50">
        <f t="shared" si="2"/>
        <v>44.716882515561288</v>
      </c>
      <c r="P22" s="54">
        <f t="shared" si="2"/>
        <v>66.10470924757638</v>
      </c>
      <c r="Q22" s="52">
        <f t="shared" si="2"/>
        <v>87154</v>
      </c>
      <c r="R22" s="50">
        <f t="shared" si="2"/>
        <v>47.770620936953065</v>
      </c>
      <c r="S22" s="54">
        <f t="shared" si="2"/>
        <v>66.571210596037986</v>
      </c>
      <c r="T22" s="54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3.5" thickTop="1" x14ac:dyDescent="0.2">
      <c r="A23" s="55"/>
      <c r="B23" s="56"/>
      <c r="C23" s="57"/>
      <c r="D23" s="58"/>
      <c r="E23" s="56"/>
      <c r="F23" s="57"/>
      <c r="G23" s="59"/>
      <c r="H23" s="56"/>
      <c r="I23" s="57"/>
      <c r="J23" s="59"/>
      <c r="K23" s="56"/>
      <c r="L23" s="57"/>
      <c r="M23" s="59"/>
      <c r="N23" s="56"/>
      <c r="O23" s="57"/>
      <c r="P23" s="60"/>
      <c r="Q23" s="56"/>
      <c r="R23" s="57"/>
      <c r="S23" s="60"/>
      <c r="T23" s="60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s="63" customFormat="1" x14ac:dyDescent="0.2">
      <c r="A24" s="55"/>
      <c r="B24" s="61"/>
      <c r="C24" s="62"/>
      <c r="D24" s="58"/>
      <c r="E24" s="61"/>
      <c r="F24" s="62"/>
      <c r="G24" s="60"/>
      <c r="H24" s="61"/>
      <c r="I24" s="62"/>
      <c r="J24" s="60"/>
      <c r="K24" s="61"/>
      <c r="L24" s="62"/>
      <c r="M24" s="60"/>
      <c r="N24" s="61"/>
      <c r="O24" s="62"/>
      <c r="P24" s="60"/>
      <c r="Q24" s="61"/>
      <c r="R24" s="62"/>
      <c r="S24" s="60"/>
      <c r="T24" s="6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s="63" customFormat="1" x14ac:dyDescent="0.2"/>
    <row r="26" spans="1:31" s="63" customFormat="1" hidden="1" x14ac:dyDescent="0.2">
      <c r="C26" s="63">
        <f>C5+6</f>
        <v>8</v>
      </c>
      <c r="D26" s="63">
        <f>D5+6</f>
        <v>8</v>
      </c>
      <c r="F26" s="63">
        <f>F5+6</f>
        <v>9</v>
      </c>
      <c r="G26" s="63">
        <f>G5+6</f>
        <v>9</v>
      </c>
      <c r="I26" s="63">
        <f>I5+6</f>
        <v>10</v>
      </c>
      <c r="J26" s="63">
        <f>J5+6</f>
        <v>10</v>
      </c>
      <c r="L26" s="63">
        <f>L5+6</f>
        <v>11</v>
      </c>
      <c r="M26" s="63">
        <f>M5+6</f>
        <v>11</v>
      </c>
      <c r="O26" s="63">
        <f>O5+6</f>
        <v>12</v>
      </c>
      <c r="P26" s="63">
        <f>P5+6</f>
        <v>12</v>
      </c>
      <c r="R26" s="63">
        <f>R5+6</f>
        <v>13</v>
      </c>
      <c r="S26" s="63">
        <f>S5+6</f>
        <v>13</v>
      </c>
    </row>
    <row r="27" spans="1:31" s="63" customFormat="1" x14ac:dyDescent="0.2">
      <c r="A27" s="64"/>
      <c r="B27" s="20"/>
      <c r="C27" s="20" t="s">
        <v>6</v>
      </c>
      <c r="D27" s="20"/>
      <c r="E27" s="20"/>
      <c r="F27" s="20" t="s">
        <v>45</v>
      </c>
      <c r="G27" s="20"/>
      <c r="H27" s="20"/>
      <c r="I27" s="20" t="s">
        <v>46</v>
      </c>
      <c r="J27" s="20"/>
      <c r="K27" s="20"/>
      <c r="L27" s="20" t="s">
        <v>9</v>
      </c>
      <c r="M27" s="20"/>
      <c r="N27" s="20"/>
      <c r="O27" s="20" t="s">
        <v>47</v>
      </c>
      <c r="P27" s="20"/>
      <c r="Q27" s="20"/>
      <c r="R27" s="20" t="s">
        <v>11</v>
      </c>
      <c r="S27" s="20"/>
      <c r="T27" s="65"/>
      <c r="U27" s="65"/>
    </row>
    <row r="28" spans="1:31" s="63" customFormat="1" ht="38.25" customHeight="1" x14ac:dyDescent="0.2">
      <c r="A28" s="30" t="s">
        <v>21</v>
      </c>
      <c r="B28" s="66" t="s">
        <v>15</v>
      </c>
      <c r="C28" s="67" t="s">
        <v>124</v>
      </c>
      <c r="D28" s="68" t="s">
        <v>125</v>
      </c>
      <c r="E28" s="66" t="s">
        <v>15</v>
      </c>
      <c r="F28" s="67" t="s">
        <v>124</v>
      </c>
      <c r="G28" s="68" t="s">
        <v>125</v>
      </c>
      <c r="H28" s="66" t="s">
        <v>15</v>
      </c>
      <c r="I28" s="67" t="s">
        <v>124</v>
      </c>
      <c r="J28" s="68" t="s">
        <v>125</v>
      </c>
      <c r="K28" s="66" t="s">
        <v>15</v>
      </c>
      <c r="L28" s="67" t="s">
        <v>124</v>
      </c>
      <c r="M28" s="68" t="s">
        <v>125</v>
      </c>
      <c r="N28" s="66" t="s">
        <v>15</v>
      </c>
      <c r="O28" s="67" t="s">
        <v>124</v>
      </c>
      <c r="P28" s="68" t="s">
        <v>125</v>
      </c>
      <c r="Q28" s="66" t="s">
        <v>15</v>
      </c>
      <c r="R28" s="67" t="s">
        <v>124</v>
      </c>
      <c r="S28" s="68" t="s">
        <v>125</v>
      </c>
      <c r="T28" s="27" t="s">
        <v>230</v>
      </c>
      <c r="U28" s="69"/>
    </row>
    <row r="29" spans="1:31" s="63" customFormat="1" x14ac:dyDescent="0.2">
      <c r="A29" s="30" t="s">
        <v>22</v>
      </c>
      <c r="B29" s="66"/>
      <c r="C29" s="70"/>
      <c r="D29" s="44"/>
      <c r="E29" s="66"/>
      <c r="F29" s="70"/>
      <c r="G29" s="44"/>
      <c r="H29" s="66"/>
      <c r="I29" s="70"/>
      <c r="J29" s="70"/>
      <c r="K29" s="66"/>
      <c r="L29" s="70"/>
      <c r="M29" s="44"/>
      <c r="N29" s="66"/>
      <c r="O29" s="70"/>
      <c r="P29" s="44"/>
      <c r="Q29" s="66"/>
      <c r="R29" s="70"/>
      <c r="S29" s="44"/>
      <c r="T29" s="44"/>
      <c r="U29" s="69"/>
    </row>
    <row r="30" spans="1:31" s="63" customFormat="1" x14ac:dyDescent="0.2">
      <c r="A30" s="3" t="s">
        <v>66</v>
      </c>
      <c r="B30" s="33">
        <v>7</v>
      </c>
      <c r="C30" s="160">
        <f>B30*(INDEX('Ex ante LI &amp; Eligibility Stats'!$A$5:$M$14,MATCH($A30,'Ex ante LI &amp; Eligibility Stats'!$A$5:$A$14,0),MATCH('Program MW '!C$27,'Ex ante LI &amp; Eligibility Stats'!$A$5:$M$5,0))/1000)</f>
        <v>0.38253523636363634</v>
      </c>
      <c r="D30" s="160">
        <f>B30*(INDEX('Ex post LI &amp; Eligibility Stats'!$A$6:$N$15,MATCH($A30,'Ex post LI &amp; Eligibility Stats'!$A$6:$A$15,0),MATCH('Program MW '!C$27,'Ex post LI &amp; Eligibility Stats'!$A$6:$N$6,0))/1000)</f>
        <v>0.50909090909090915</v>
      </c>
      <c r="E30" s="33"/>
      <c r="F30" s="160">
        <f>E30*(INDEX('Ex ante LI &amp; Eligibility Stats'!$A$5:$M$14,MATCH($A30,'Ex ante LI &amp; Eligibility Stats'!$A$5:$A$14,0),MATCH('Program MW '!F$27,'Ex ante LI &amp; Eligibility Stats'!$A$5:$M$5,0))/1000)</f>
        <v>0</v>
      </c>
      <c r="G30" s="160">
        <f>E30*(INDEX('Ex post LI &amp; Eligibility Stats'!$A$6:$N$15,MATCH($A30,'Ex post LI &amp; Eligibility Stats'!$A$6:$A$15,0),MATCH('Program MW '!F$27,'Ex post LI &amp; Eligibility Stats'!$A$6:$N$6,0))/1000)</f>
        <v>0</v>
      </c>
      <c r="H30" s="33"/>
      <c r="I30" s="160">
        <f>H30*(INDEX('Ex ante LI &amp; Eligibility Stats'!$A$5:$M$14,MATCH($A30,'Ex ante LI &amp; Eligibility Stats'!$A$5:$A$14,0),MATCH('Program MW '!I$27,'Ex ante LI &amp; Eligibility Stats'!$A$5:$M$5,0))/1000)</f>
        <v>0</v>
      </c>
      <c r="J30" s="160">
        <f>H30*(INDEX('Ex post LI &amp; Eligibility Stats'!$A$6:$N$15,MATCH($A30,'Ex post LI &amp; Eligibility Stats'!$A$6:$A$15,0),MATCH('Program MW '!I$27,'Ex post LI &amp; Eligibility Stats'!$A$6:$N$6,0))/1000)</f>
        <v>0</v>
      </c>
      <c r="K30" s="421"/>
      <c r="L30" s="160">
        <f>K30*(INDEX('Ex ante LI &amp; Eligibility Stats'!$A$5:$M$14,MATCH($A30,'Ex ante LI &amp; Eligibility Stats'!$A$5:$A$14,0),MATCH('Program MW '!L$27,'Ex ante LI &amp; Eligibility Stats'!$A$5:$M$5,0))/1000)</f>
        <v>0</v>
      </c>
      <c r="M30" s="160">
        <f>K30*(INDEX('Ex post LI &amp; Eligibility Stats'!$A$6:$N$15,MATCH($A30,'Ex post LI &amp; Eligibility Stats'!$A$6:$A$15,0),MATCH('Program MW '!L$27,'Ex post LI &amp; Eligibility Stats'!$A$6:$N$6,0))/1000)</f>
        <v>0</v>
      </c>
      <c r="N30" s="33"/>
      <c r="O30" s="160">
        <f>N30*(INDEX('Ex ante LI &amp; Eligibility Stats'!$A$5:$M$14,MATCH($A30,'Ex ante LI &amp; Eligibility Stats'!$A$5:$A$14,0),MATCH('Program MW '!O$27,'Ex ante LI &amp; Eligibility Stats'!$A$5:$M$5,0))/1000)</f>
        <v>0</v>
      </c>
      <c r="P30" s="160">
        <f>N30*(INDEX('Ex post LI &amp; Eligibility Stats'!$A$6:$N$15,MATCH($A30,'Ex post LI &amp; Eligibility Stats'!$A$6:$A$15,0),MATCH('Program MW '!O$27,'Ex post LI &amp; Eligibility Stats'!$A$6:$N$6,0))/1000)</f>
        <v>0</v>
      </c>
      <c r="Q30" s="33"/>
      <c r="R30" s="160">
        <f>Q30*(INDEX('Ex ante LI &amp; Eligibility Stats'!$A$5:$M$14,MATCH($A30,'Ex ante LI &amp; Eligibility Stats'!$A$5:$A$14,0),MATCH('Program MW '!R$27,'Ex ante LI &amp; Eligibility Stats'!$A$5:$M$5,0))/1000)</f>
        <v>0</v>
      </c>
      <c r="S30" s="451">
        <f>Q30*(INDEX('Ex post LI &amp; Eligibility Stats'!$A$6:$N$15,MATCH($A30,'Ex post LI &amp; Eligibility Stats'!$A$6:$A$15,0),MATCH('Program MW '!R$27,'Ex post LI &amp; Eligibility Stats'!$A$6:$N$6,0))/1000)</f>
        <v>0</v>
      </c>
      <c r="T30" s="449">
        <v>5276</v>
      </c>
      <c r="U30" s="69"/>
    </row>
    <row r="31" spans="1:31" s="63" customFormat="1" ht="13.5" thickBot="1" x14ac:dyDescent="0.25">
      <c r="A31" s="35" t="s">
        <v>20</v>
      </c>
      <c r="B31" s="441">
        <f t="shared" ref="B31:S31" si="3">SUM(B30:B30)</f>
        <v>7</v>
      </c>
      <c r="C31" s="39">
        <f t="shared" si="3"/>
        <v>0.38253523636363634</v>
      </c>
      <c r="D31" s="38">
        <f t="shared" si="3"/>
        <v>0.50909090909090915</v>
      </c>
      <c r="E31" s="36">
        <f t="shared" si="3"/>
        <v>0</v>
      </c>
      <c r="F31" s="39">
        <f t="shared" si="3"/>
        <v>0</v>
      </c>
      <c r="G31" s="38">
        <f t="shared" si="3"/>
        <v>0</v>
      </c>
      <c r="H31" s="36">
        <f t="shared" si="3"/>
        <v>0</v>
      </c>
      <c r="I31" s="39">
        <f t="shared" si="3"/>
        <v>0</v>
      </c>
      <c r="J31" s="38">
        <f t="shared" si="3"/>
        <v>0</v>
      </c>
      <c r="K31" s="36">
        <f t="shared" si="3"/>
        <v>0</v>
      </c>
      <c r="L31" s="39">
        <f t="shared" si="3"/>
        <v>0</v>
      </c>
      <c r="M31" s="38">
        <f t="shared" si="3"/>
        <v>0</v>
      </c>
      <c r="N31" s="36">
        <f t="shared" si="3"/>
        <v>0</v>
      </c>
      <c r="O31" s="39">
        <f t="shared" si="3"/>
        <v>0</v>
      </c>
      <c r="P31" s="38">
        <f t="shared" si="3"/>
        <v>0</v>
      </c>
      <c r="Q31" s="36">
        <f t="shared" si="3"/>
        <v>0</v>
      </c>
      <c r="R31" s="39">
        <f t="shared" si="3"/>
        <v>0</v>
      </c>
      <c r="S31" s="38">
        <f t="shared" si="3"/>
        <v>0</v>
      </c>
      <c r="T31" s="38"/>
      <c r="U31" s="69"/>
    </row>
    <row r="32" spans="1:31" s="63" customFormat="1" ht="13.5" thickTop="1" x14ac:dyDescent="0.2">
      <c r="A32" s="30" t="s">
        <v>126</v>
      </c>
      <c r="B32" s="42"/>
      <c r="C32" s="40"/>
      <c r="D32" s="41"/>
      <c r="E32" s="42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53"/>
      <c r="T32" s="44"/>
      <c r="U32" s="69"/>
    </row>
    <row r="33" spans="1:26" s="63" customFormat="1" x14ac:dyDescent="0.2">
      <c r="A33" s="3" t="s">
        <v>67</v>
      </c>
      <c r="B33" s="33">
        <v>1155</v>
      </c>
      <c r="C33" s="160">
        <f>B33*(INDEX('Ex ante LI &amp; Eligibility Stats'!$A$5:$M$14,MATCH($A33,'Ex ante LI &amp; Eligibility Stats'!$A$5:$A$14,0),MATCH('Program MW '!C$27,'Ex ante LI &amp; Eligibility Stats'!$A$5:$M$5,0))/1000)</f>
        <v>16.994507529305679</v>
      </c>
      <c r="D33" s="160">
        <f>B33*(INDEX('Ex post LI &amp; Eligibility Stats'!$A$6:$N$15,MATCH($A33,'Ex post LI &amp; Eligibility Stats'!$A$6:$A$15,0),MATCH('Program MW '!C$27,'Ex post LI &amp; Eligibility Stats'!$A$6:$N$6,0))/1000)</f>
        <v>18.850766456266911</v>
      </c>
      <c r="E33" s="33"/>
      <c r="F33" s="160">
        <f>E33*(INDEX('Ex ante LI &amp; Eligibility Stats'!$A$5:$M$14,MATCH($A33,'Ex ante LI &amp; Eligibility Stats'!$A$5:$A$14,0),MATCH('Program MW '!F$27,'Ex ante LI &amp; Eligibility Stats'!$A$5:$M$5,0))/1000)</f>
        <v>0</v>
      </c>
      <c r="G33" s="160">
        <f>E33*(INDEX('Ex post LI &amp; Eligibility Stats'!$A$6:$N$15,MATCH($A33,'Ex post LI &amp; Eligibility Stats'!$A$6:$A$15,0),MATCH('Program MW '!F$27,'Ex post LI &amp; Eligibility Stats'!$A$6:$N$6,0))/1000)</f>
        <v>0</v>
      </c>
      <c r="H33" s="33"/>
      <c r="I33" s="160">
        <f>H33*(INDEX('Ex ante LI &amp; Eligibility Stats'!$A$5:$M$14,MATCH($A33,'Ex ante LI &amp; Eligibility Stats'!$A$5:$A$14,0),MATCH('Program MW '!I$27,'Ex ante LI &amp; Eligibility Stats'!$A$5:$M$5,0))/1000)</f>
        <v>0</v>
      </c>
      <c r="J33" s="160">
        <f>H33*(INDEX('Ex post LI &amp; Eligibility Stats'!$A$6:$N$15,MATCH($A33,'Ex post LI &amp; Eligibility Stats'!$A$6:$A$15,0),MATCH('Program MW '!I$27,'Ex post LI &amp; Eligibility Stats'!$A$6:$N$6,0))/1000)</f>
        <v>0</v>
      </c>
      <c r="K33" s="33"/>
      <c r="L33" s="160">
        <f>K33*(INDEX('Ex ante LI &amp; Eligibility Stats'!$A$5:$M$14,MATCH($A33,'Ex ante LI &amp; Eligibility Stats'!$A$5:$A$14,0),MATCH('Program MW '!L$27,'Ex ante LI &amp; Eligibility Stats'!$A$5:$M$5,0))/1000)</f>
        <v>0</v>
      </c>
      <c r="M33" s="160">
        <f>K33*(INDEX('Ex post LI &amp; Eligibility Stats'!$A$6:$N$15,MATCH($A33,'Ex post LI &amp; Eligibility Stats'!$A$6:$A$15,0),MATCH('Program MW '!L$27,'Ex post LI &amp; Eligibility Stats'!$A$6:$N$6,0))/1000)</f>
        <v>0</v>
      </c>
      <c r="N33" s="33"/>
      <c r="O33" s="160">
        <f>N33*(INDEX('Ex ante LI &amp; Eligibility Stats'!$A$5:$M$14,MATCH($A33,'Ex ante LI &amp; Eligibility Stats'!$A$5:$A$14,0),MATCH('Program MW '!O$27,'Ex ante LI &amp; Eligibility Stats'!$A$5:$M$5,0))/1000)</f>
        <v>0</v>
      </c>
      <c r="P33" s="160">
        <f>N33*(INDEX('Ex post LI &amp; Eligibility Stats'!$A$6:$N$15,MATCH($A33,'Ex post LI &amp; Eligibility Stats'!$A$6:$A$15,0),MATCH('Program MW '!O$27,'Ex post LI &amp; Eligibility Stats'!$A$6:$N$6,0))/1000)</f>
        <v>0</v>
      </c>
      <c r="Q33" s="33"/>
      <c r="R33" s="160">
        <f>Q33*(INDEX('Ex ante LI &amp; Eligibility Stats'!$A$5:$M$14,MATCH($A33,'Ex ante LI &amp; Eligibility Stats'!$A$5:$A$14,0),MATCH('Program MW '!R$27,'Ex ante LI &amp; Eligibility Stats'!$A$5:$M$5,0))/1000)</f>
        <v>0</v>
      </c>
      <c r="S33" s="397">
        <f>Q33*(INDEX('Ex post LI &amp; Eligibility Stats'!$A$6:$N$15,MATCH($A33,'Ex post LI &amp; Eligibility Stats'!$A$6:$A$15,0),MATCH('Program MW '!R$27,'Ex post LI &amp; Eligibility Stats'!$A$6:$N$6,0))/1000)</f>
        <v>0</v>
      </c>
      <c r="T33" s="450">
        <v>138123</v>
      </c>
      <c r="U33" s="69"/>
    </row>
    <row r="34" spans="1:26" s="63" customFormat="1" x14ac:dyDescent="0.2">
      <c r="A34" s="3" t="s">
        <v>68</v>
      </c>
      <c r="B34" s="33">
        <v>27730</v>
      </c>
      <c r="C34" s="160">
        <f>B34*(INDEX('Ex ante LI &amp; Eligibility Stats'!$A$5:$M$14,MATCH($A34,'Ex ante LI &amp; Eligibility Stats'!$A$5:$A$14,0),MATCH('Program MW '!C$27,'Ex ante LI &amp; Eligibility Stats'!$A$5:$M$5,0))/1000)</f>
        <v>10.271321418649876</v>
      </c>
      <c r="D34" s="160">
        <f>B34*(INDEX('Ex post LI &amp; Eligibility Stats'!$A$6:$N$15,MATCH($A34,'Ex post LI &amp; Eligibility Stats'!$A$6:$A$15,0),MATCH('Program MW '!C$27,'Ex post LI &amp; Eligibility Stats'!$A$6:$N$6,0))/1000)</f>
        <v>12.188564521446102</v>
      </c>
      <c r="E34" s="33"/>
      <c r="F34" s="160">
        <f>E34*(INDEX('Ex ante LI &amp; Eligibility Stats'!$A$5:$M$14,MATCH($A34,'Ex ante LI &amp; Eligibility Stats'!$A$5:$A$14,0),MATCH('Program MW '!F$27,'Ex ante LI &amp; Eligibility Stats'!$A$5:$M$5,0))/1000)</f>
        <v>0</v>
      </c>
      <c r="G34" s="160">
        <f>E34*(INDEX('Ex post LI &amp; Eligibility Stats'!$A$6:$N$15,MATCH($A34,'Ex post LI &amp; Eligibility Stats'!$A$6:$A$15,0),MATCH('Program MW '!F$27,'Ex post LI &amp; Eligibility Stats'!$A$6:$N$6,0))/1000)</f>
        <v>0</v>
      </c>
      <c r="H34" s="33"/>
      <c r="I34" s="160">
        <f>H34*(INDEX('Ex ante LI &amp; Eligibility Stats'!$A$5:$M$14,MATCH($A34,'Ex ante LI &amp; Eligibility Stats'!$A$5:$A$14,0),MATCH('Program MW '!I$27,'Ex ante LI &amp; Eligibility Stats'!$A$5:$M$5,0))/1000)</f>
        <v>0</v>
      </c>
      <c r="J34" s="160">
        <f>H34*(INDEX('Ex post LI &amp; Eligibility Stats'!$A$6:$N$15,MATCH($A34,'Ex post LI &amp; Eligibility Stats'!$A$6:$A$15,0),MATCH('Program MW '!I$27,'Ex post LI &amp; Eligibility Stats'!$A$6:$N$6,0))/1000)</f>
        <v>0</v>
      </c>
      <c r="K34" s="33"/>
      <c r="L34" s="160">
        <f>K34*(INDEX('Ex ante LI &amp; Eligibility Stats'!$A$5:$M$14,MATCH($A34,'Ex ante LI &amp; Eligibility Stats'!$A$5:$A$14,0),MATCH('Program MW '!L$27,'Ex ante LI &amp; Eligibility Stats'!$A$5:$M$5,0))/1000)</f>
        <v>0</v>
      </c>
      <c r="M34" s="160">
        <f>K34*(INDEX('Ex post LI &amp; Eligibility Stats'!$A$6:$N$15,MATCH($A34,'Ex post LI &amp; Eligibility Stats'!$A$6:$A$15,0),MATCH('Program MW '!L$27,'Ex post LI &amp; Eligibility Stats'!$A$6:$N$6,0))/1000)</f>
        <v>0</v>
      </c>
      <c r="N34" s="33"/>
      <c r="O34" s="160">
        <f>N34*(INDEX('Ex ante LI &amp; Eligibility Stats'!$A$5:$M$14,MATCH($A34,'Ex ante LI &amp; Eligibility Stats'!$A$5:$A$14,0),MATCH('Program MW '!O$27,'Ex ante LI &amp; Eligibility Stats'!$A$5:$M$5,0))/1000)</f>
        <v>0</v>
      </c>
      <c r="P34" s="160">
        <f>N34*(INDEX('Ex post LI &amp; Eligibility Stats'!$A$6:$N$15,MATCH($A34,'Ex post LI &amp; Eligibility Stats'!$A$6:$A$15,0),MATCH('Program MW '!O$27,'Ex post LI &amp; Eligibility Stats'!$A$6:$N$6,0))/1000)</f>
        <v>0</v>
      </c>
      <c r="Q34" s="33"/>
      <c r="R34" s="160">
        <f>Q34*(INDEX('Ex ante LI &amp; Eligibility Stats'!$A$5:$M$14,MATCH($A34,'Ex ante LI &amp; Eligibility Stats'!$A$5:$A$14,0),MATCH('Program MW '!R$27,'Ex ante LI &amp; Eligibility Stats'!$A$5:$M$5,0))/1000)</f>
        <v>0</v>
      </c>
      <c r="S34" s="397">
        <f>Q34*(INDEX('Ex post LI &amp; Eligibility Stats'!$A$6:$N$15,MATCH($A34,'Ex post LI &amp; Eligibility Stats'!$A$6:$A$15,0),MATCH('Program MW '!R$27,'Ex post LI &amp; Eligibility Stats'!$A$6:$N$6,0))/1000)</f>
        <v>0</v>
      </c>
      <c r="T34" s="449">
        <v>663393.5</v>
      </c>
      <c r="U34" s="69"/>
    </row>
    <row r="35" spans="1:26" s="63" customFormat="1" x14ac:dyDescent="0.2">
      <c r="A35" s="3" t="s">
        <v>69</v>
      </c>
      <c r="B35" s="33">
        <v>11367</v>
      </c>
      <c r="C35" s="160">
        <f>B35*(INDEX('Ex ante LI &amp; Eligibility Stats'!$A$5:$M$14,MATCH($A35,'Ex ante LI &amp; Eligibility Stats'!$A$5:$A$14,0),MATCH('Program MW '!C$27,'Ex ante LI &amp; Eligibility Stats'!$A$5:$M$5,0))/1000)</f>
        <v>4.9963005018131206</v>
      </c>
      <c r="D35" s="160">
        <f>B35*(INDEX('Ex post LI &amp; Eligibility Stats'!$A$6:$N$15,MATCH($A35,'Ex post LI &amp; Eligibility Stats'!$A$6:$A$15,0),MATCH('Program MW '!C$27,'Ex post LI &amp; Eligibility Stats'!$A$6:$N$6,0))/1000)</f>
        <v>4.2103898509121214</v>
      </c>
      <c r="E35" s="33"/>
      <c r="F35" s="160">
        <f>E35*(INDEX('Ex ante LI &amp; Eligibility Stats'!$A$5:$M$14,MATCH($A35,'Ex ante LI &amp; Eligibility Stats'!$A$5:$A$14,0),MATCH('Program MW '!F$27,'Ex ante LI &amp; Eligibility Stats'!$A$5:$M$5,0))/1000)</f>
        <v>0</v>
      </c>
      <c r="G35" s="160">
        <f>E35*(INDEX('Ex post LI &amp; Eligibility Stats'!$A$6:$N$15,MATCH($A35,'Ex post LI &amp; Eligibility Stats'!$A$6:$A$15,0),MATCH('Program MW '!F$27,'Ex post LI &amp; Eligibility Stats'!$A$6:$N$6,0))/1000)</f>
        <v>0</v>
      </c>
      <c r="H35" s="33"/>
      <c r="I35" s="160">
        <f>H35*(INDEX('Ex ante LI &amp; Eligibility Stats'!$A$5:$M$14,MATCH($A35,'Ex ante LI &amp; Eligibility Stats'!$A$5:$A$14,0),MATCH('Program MW '!I$27,'Ex ante LI &amp; Eligibility Stats'!$A$5:$M$5,0))/1000)</f>
        <v>0</v>
      </c>
      <c r="J35" s="160">
        <f>H35*(INDEX('Ex post LI &amp; Eligibility Stats'!$A$6:$N$15,MATCH($A35,'Ex post LI &amp; Eligibility Stats'!$A$6:$A$15,0),MATCH('Program MW '!I$27,'Ex post LI &amp; Eligibility Stats'!$A$6:$N$6,0))/1000)</f>
        <v>0</v>
      </c>
      <c r="K35" s="33"/>
      <c r="L35" s="160">
        <f>K35*(INDEX('Ex ante LI &amp; Eligibility Stats'!$A$5:$M$14,MATCH($A35,'Ex ante LI &amp; Eligibility Stats'!$A$5:$A$14,0),MATCH('Program MW '!L$27,'Ex ante LI &amp; Eligibility Stats'!$A$5:$M$5,0))/1000)</f>
        <v>0</v>
      </c>
      <c r="M35" s="160">
        <f>K35*(INDEX('Ex post LI &amp; Eligibility Stats'!$A$6:$N$15,MATCH($A35,'Ex post LI &amp; Eligibility Stats'!$A$6:$A$15,0),MATCH('Program MW '!L$27,'Ex post LI &amp; Eligibility Stats'!$A$6:$N$6,0))/1000)</f>
        <v>0</v>
      </c>
      <c r="N35" s="33"/>
      <c r="O35" s="160">
        <f>N35*(INDEX('Ex ante LI &amp; Eligibility Stats'!$A$5:$M$14,MATCH($A35,'Ex ante LI &amp; Eligibility Stats'!$A$5:$A$14,0),MATCH('Program MW '!O$27,'Ex ante LI &amp; Eligibility Stats'!$A$5:$M$5,0))/1000)</f>
        <v>0</v>
      </c>
      <c r="P35" s="160">
        <f>N35*(INDEX('Ex post LI &amp; Eligibility Stats'!$A$6:$N$15,MATCH($A35,'Ex post LI &amp; Eligibility Stats'!$A$6:$A$15,0),MATCH('Program MW '!O$27,'Ex post LI &amp; Eligibility Stats'!$A$6:$N$6,0))/1000)</f>
        <v>0</v>
      </c>
      <c r="Q35" s="33"/>
      <c r="R35" s="160">
        <f>Q35*(INDEX('Ex ante LI &amp; Eligibility Stats'!$A$5:$M$14,MATCH($A35,'Ex ante LI &amp; Eligibility Stats'!$A$5:$A$14,0),MATCH('Program MW '!R$27,'Ex ante LI &amp; Eligibility Stats'!$A$5:$M$5,0))/1000)</f>
        <v>0</v>
      </c>
      <c r="S35" s="397">
        <f>Q35*(INDEX('Ex post LI &amp; Eligibility Stats'!$A$6:$N$15,MATCH($A35,'Ex post LI &amp; Eligibility Stats'!$A$6:$A$15,0),MATCH('Program MW '!R$27,'Ex post LI &amp; Eligibility Stats'!$A$6:$N$6,0))/1000)</f>
        <v>0</v>
      </c>
      <c r="T35" s="449">
        <v>157189</v>
      </c>
      <c r="U35" s="69"/>
    </row>
    <row r="36" spans="1:26" s="63" customFormat="1" x14ac:dyDescent="0.2">
      <c r="A36" s="3" t="s">
        <v>70</v>
      </c>
      <c r="B36" s="33">
        <v>129</v>
      </c>
      <c r="C36" s="160">
        <f>B36*(INDEX('Ex ante LI &amp; Eligibility Stats'!$A$5:$M$14,MATCH($A36,'Ex ante LI &amp; Eligibility Stats'!$A$5:$A$14,0),MATCH('Program MW '!C$27,'Ex ante LI &amp; Eligibility Stats'!$A$5:$M$5,0))/1000)</f>
        <v>7.2493668079376228</v>
      </c>
      <c r="D36" s="160">
        <f>B36*(INDEX('Ex post LI &amp; Eligibility Stats'!$A$6:$N$15,MATCH($A36,'Ex post LI &amp; Eligibility Stats'!$A$6:$A$15,0),MATCH('Program MW '!C$27,'Ex post LI &amp; Eligibility Stats'!$A$6:$N$6,0))/1000)</f>
        <v>6.9242647058823525</v>
      </c>
      <c r="E36" s="33"/>
      <c r="F36" s="160">
        <f>E36*(INDEX('Ex ante LI &amp; Eligibility Stats'!$A$5:$M$14,MATCH($A36,'Ex ante LI &amp; Eligibility Stats'!$A$5:$A$14,0),MATCH('Program MW '!F$27,'Ex ante LI &amp; Eligibility Stats'!$A$5:$M$5,0))/1000)</f>
        <v>0</v>
      </c>
      <c r="G36" s="160">
        <f>E36*(INDEX('Ex post LI &amp; Eligibility Stats'!$A$6:$N$15,MATCH($A36,'Ex post LI &amp; Eligibility Stats'!$A$6:$A$15,0),MATCH('Program MW '!F$27,'Ex post LI &amp; Eligibility Stats'!$A$6:$N$6,0))/1000)</f>
        <v>0</v>
      </c>
      <c r="H36" s="33"/>
      <c r="I36" s="160">
        <f>H36*(INDEX('Ex ante LI &amp; Eligibility Stats'!$A$5:$M$14,MATCH($A36,'Ex ante LI &amp; Eligibility Stats'!$A$5:$A$14,0),MATCH('Program MW '!I$27,'Ex ante LI &amp; Eligibility Stats'!$A$5:$M$5,0))/1000)</f>
        <v>0</v>
      </c>
      <c r="J36" s="160">
        <f>H36*(INDEX('Ex post LI &amp; Eligibility Stats'!$A$6:$N$15,MATCH($A36,'Ex post LI &amp; Eligibility Stats'!$A$6:$A$15,0),MATCH('Program MW '!I$27,'Ex post LI &amp; Eligibility Stats'!$A$6:$N$6,0))/1000)</f>
        <v>0</v>
      </c>
      <c r="K36" s="33"/>
      <c r="L36" s="160">
        <f>K36*(INDEX('Ex ante LI &amp; Eligibility Stats'!$A$5:$M$14,MATCH($A36,'Ex ante LI &amp; Eligibility Stats'!$A$5:$A$14,0),MATCH('Program MW '!L$27,'Ex ante LI &amp; Eligibility Stats'!$A$5:$M$5,0))/1000)</f>
        <v>0</v>
      </c>
      <c r="M36" s="160">
        <f>K36*(INDEX('Ex post LI &amp; Eligibility Stats'!$A$6:$N$15,MATCH($A36,'Ex post LI &amp; Eligibility Stats'!$A$6:$A$15,0),MATCH('Program MW '!L$27,'Ex post LI &amp; Eligibility Stats'!$A$6:$N$6,0))/1000)</f>
        <v>0</v>
      </c>
      <c r="N36" s="33"/>
      <c r="O36" s="160">
        <f>N36*(INDEX('Ex ante LI &amp; Eligibility Stats'!$A$5:$M$14,MATCH($A36,'Ex ante LI &amp; Eligibility Stats'!$A$5:$A$14,0),MATCH('Program MW '!O$27,'Ex ante LI &amp; Eligibility Stats'!$A$5:$M$5,0))/1000)</f>
        <v>0</v>
      </c>
      <c r="P36" s="160">
        <f>N36*(INDEX('Ex post LI &amp; Eligibility Stats'!$A$6:$N$15,MATCH($A36,'Ex post LI &amp; Eligibility Stats'!$A$6:$A$15,0),MATCH('Program MW '!O$27,'Ex post LI &amp; Eligibility Stats'!$A$6:$N$6,0))/1000)</f>
        <v>0</v>
      </c>
      <c r="Q36" s="33"/>
      <c r="R36" s="160">
        <f>Q36*(INDEX('Ex ante LI &amp; Eligibility Stats'!$A$5:$M$14,MATCH($A36,'Ex ante LI &amp; Eligibility Stats'!$A$5:$A$14,0),MATCH('Program MW '!R$27,'Ex ante LI &amp; Eligibility Stats'!$A$5:$M$5,0))/1000)</f>
        <v>0</v>
      </c>
      <c r="S36" s="397">
        <f>Q36*(INDEX('Ex post LI &amp; Eligibility Stats'!$A$6:$N$15,MATCH($A36,'Ex post LI &amp; Eligibility Stats'!$A$6:$A$15,0),MATCH('Program MW '!R$27,'Ex post LI &amp; Eligibility Stats'!$A$6:$N$6,0))/1000)</f>
        <v>0</v>
      </c>
      <c r="T36" s="449">
        <v>18875</v>
      </c>
      <c r="U36" s="69"/>
    </row>
    <row r="37" spans="1:26" s="63" customFormat="1" x14ac:dyDescent="0.2">
      <c r="A37" s="3" t="s">
        <v>71</v>
      </c>
      <c r="B37" s="33">
        <v>517</v>
      </c>
      <c r="C37" s="160">
        <f>B37*(INDEX('Ex ante LI &amp; Eligibility Stats'!$A$5:$M$14,MATCH($A37,'Ex ante LI &amp; Eligibility Stats'!$A$5:$A$14,0),MATCH('Program MW '!C$27,'Ex ante LI &amp; Eligibility Stats'!$A$5:$M$5,0))/1000)</f>
        <v>9.9812945490145903</v>
      </c>
      <c r="D37" s="160">
        <f>B37*(INDEX('Ex post LI &amp; Eligibility Stats'!$A$6:$N$15,MATCH($A37,'Ex post LI &amp; Eligibility Stats'!$A$6:$A$15,0),MATCH('Program MW '!C$27,'Ex post LI &amp; Eligibility Stats'!$A$6:$N$6,0))/1000)</f>
        <v>11.193761467889908</v>
      </c>
      <c r="E37" s="33"/>
      <c r="F37" s="160">
        <f>E37*(INDEX('Ex ante LI &amp; Eligibility Stats'!$A$5:$M$14,MATCH($A37,'Ex ante LI &amp; Eligibility Stats'!$A$5:$A$14,0),MATCH('Program MW '!F$27,'Ex ante LI &amp; Eligibility Stats'!$A$5:$M$5,0))/1000)</f>
        <v>0</v>
      </c>
      <c r="G37" s="160">
        <f>E37*(INDEX('Ex post LI &amp; Eligibility Stats'!$A$6:$N$15,MATCH($A37,'Ex post LI &amp; Eligibility Stats'!$A$6:$A$15,0),MATCH('Program MW '!F$27,'Ex post LI &amp; Eligibility Stats'!$A$6:$N$6,0))/1000)</f>
        <v>0</v>
      </c>
      <c r="H37" s="33"/>
      <c r="I37" s="160">
        <f>H37*(INDEX('Ex ante LI &amp; Eligibility Stats'!$A$5:$M$14,MATCH($A37,'Ex ante LI &amp; Eligibility Stats'!$A$5:$A$14,0),MATCH('Program MW '!I$27,'Ex ante LI &amp; Eligibility Stats'!$A$5:$M$5,0))/1000)</f>
        <v>0</v>
      </c>
      <c r="J37" s="160">
        <f>H37*(INDEX('Ex post LI &amp; Eligibility Stats'!$A$6:$N$15,MATCH($A37,'Ex post LI &amp; Eligibility Stats'!$A$6:$A$15,0),MATCH('Program MW '!I$27,'Ex post LI &amp; Eligibility Stats'!$A$6:$N$6,0))/1000)</f>
        <v>0</v>
      </c>
      <c r="K37" s="33"/>
      <c r="L37" s="160">
        <f>K37*(INDEX('Ex ante LI &amp; Eligibility Stats'!$A$5:$M$14,MATCH($A37,'Ex ante LI &amp; Eligibility Stats'!$A$5:$A$14,0),MATCH('Program MW '!L$27,'Ex ante LI &amp; Eligibility Stats'!$A$5:$M$5,0))/1000)</f>
        <v>0</v>
      </c>
      <c r="M37" s="160">
        <f>K37*(INDEX('Ex post LI &amp; Eligibility Stats'!$A$6:$N$15,MATCH($A37,'Ex post LI &amp; Eligibility Stats'!$A$6:$A$15,0),MATCH('Program MW '!L$27,'Ex post LI &amp; Eligibility Stats'!$A$6:$N$6,0))/1000)</f>
        <v>0</v>
      </c>
      <c r="N37" s="33"/>
      <c r="O37" s="160">
        <f>N37*(INDEX('Ex ante LI &amp; Eligibility Stats'!$A$5:$M$14,MATCH($A37,'Ex ante LI &amp; Eligibility Stats'!$A$5:$A$14,0),MATCH('Program MW '!O$27,'Ex ante LI &amp; Eligibility Stats'!$A$5:$M$5,0))/1000)</f>
        <v>0</v>
      </c>
      <c r="P37" s="160">
        <f>N37*(INDEX('Ex post LI &amp; Eligibility Stats'!$A$6:$N$15,MATCH($A37,'Ex post LI &amp; Eligibility Stats'!$A$6:$A$15,0),MATCH('Program MW '!O$27,'Ex post LI &amp; Eligibility Stats'!$A$6:$N$6,0))/1000)</f>
        <v>0</v>
      </c>
      <c r="Q37" s="33"/>
      <c r="R37" s="160">
        <f>Q37*(INDEX('Ex ante LI &amp; Eligibility Stats'!$A$5:$M$14,MATCH($A37,'Ex ante LI &amp; Eligibility Stats'!$A$5:$A$14,0),MATCH('Program MW '!R$27,'Ex ante LI &amp; Eligibility Stats'!$A$5:$M$5,0))/1000)</f>
        <v>0</v>
      </c>
      <c r="S37" s="397">
        <f>Q37*(INDEX('Ex post LI &amp; Eligibility Stats'!$A$6:$N$15,MATCH($A37,'Ex post LI &amp; Eligibility Stats'!$A$6:$A$15,0),MATCH('Program MW '!R$27,'Ex post LI &amp; Eligibility Stats'!$A$6:$N$6,0))/1000)</f>
        <v>0</v>
      </c>
      <c r="T37" s="449">
        <v>18875</v>
      </c>
      <c r="U37" s="69"/>
    </row>
    <row r="38" spans="1:26" s="63" customFormat="1" x14ac:dyDescent="0.2">
      <c r="A38" s="2" t="s">
        <v>229</v>
      </c>
      <c r="B38" s="46">
        <v>59838</v>
      </c>
      <c r="C38" s="160">
        <f>B38*(INDEX('Ex ante LI &amp; Eligibility Stats'!$A$5:$M$14,MATCH($A38,'Ex ante LI &amp; Eligibility Stats'!$A$5:$A$14,0),MATCH('Program MW '!C$27,'Ex ante LI &amp; Eligibility Stats'!$A$5:$M$5,0))/1000)</f>
        <v>6.765365656716483</v>
      </c>
      <c r="D38" s="397">
        <f>B38*(INDEX('Ex post LI &amp; Eligibility Stats'!$A$6:$N$15,MATCH($A38,'Ex post LI &amp; Eligibility Stats'!$A$6:$A$15,0),MATCH('Program MW '!C$27,'Ex post LI &amp; Eligibility Stats'!$A$6:$N$6,0))/1000)</f>
        <v>6.9172898965714236</v>
      </c>
      <c r="E38" s="46"/>
      <c r="F38" s="160">
        <f>E38*(INDEX('Ex ante LI &amp; Eligibility Stats'!$A$5:$M$14,MATCH($A38,'Ex ante LI &amp; Eligibility Stats'!$A$5:$A$14,0),MATCH('Program MW '!F$27,'Ex ante LI &amp; Eligibility Stats'!$A$5:$M$5,0))/1000)</f>
        <v>0</v>
      </c>
      <c r="G38" s="397">
        <f>E38*(INDEX('Ex post LI &amp; Eligibility Stats'!$A$6:$N$15,MATCH($A38,'Ex post LI &amp; Eligibility Stats'!$A$6:$A$15,0),MATCH('Program MW '!F$27,'Ex post LI &amp; Eligibility Stats'!$A$6:$N$6,0))/1000)</f>
        <v>0</v>
      </c>
      <c r="H38" s="46"/>
      <c r="I38" s="160">
        <f>H38*(INDEX('Ex ante LI &amp; Eligibility Stats'!$A$5:$M$14,MATCH($A38,'Ex ante LI &amp; Eligibility Stats'!$A$5:$A$14,0),MATCH('Program MW '!I$27,'Ex ante LI &amp; Eligibility Stats'!$A$5:$M$5,0))/1000)</f>
        <v>0</v>
      </c>
      <c r="J38" s="397">
        <f>H38*(INDEX('Ex post LI &amp; Eligibility Stats'!$A$6:$N$15,MATCH($A38,'Ex post LI &amp; Eligibility Stats'!$A$6:$A$15,0),MATCH('Program MW '!I$27,'Ex post LI &amp; Eligibility Stats'!$A$6:$N$6,0))/1000)</f>
        <v>0</v>
      </c>
      <c r="K38" s="46"/>
      <c r="L38" s="160">
        <f>K38*(INDEX('Ex ante LI &amp; Eligibility Stats'!$A$5:$M$14,MATCH($A38,'Ex ante LI &amp; Eligibility Stats'!$A$5:$A$14,0),MATCH('Program MW '!L$27,'Ex ante LI &amp; Eligibility Stats'!$A$5:$M$5,0))/1000)</f>
        <v>0</v>
      </c>
      <c r="M38" s="397">
        <f>K38*(INDEX('Ex post LI &amp; Eligibility Stats'!$A$6:$N$15,MATCH($A38,'Ex post LI &amp; Eligibility Stats'!$A$6:$A$15,0),MATCH('Program MW '!L$27,'Ex post LI &amp; Eligibility Stats'!$A$6:$N$6,0))/1000)</f>
        <v>0</v>
      </c>
      <c r="N38" s="46"/>
      <c r="O38" s="160">
        <f>N38*(INDEX('Ex ante LI &amp; Eligibility Stats'!$A$5:$M$14,MATCH($A38,'Ex ante LI &amp; Eligibility Stats'!$A$5:$A$14,0),MATCH('Program MW '!O$27,'Ex ante LI &amp; Eligibility Stats'!$A$5:$M$5,0))/1000)</f>
        <v>0</v>
      </c>
      <c r="P38" s="160">
        <f>N38*(INDEX('Ex post LI &amp; Eligibility Stats'!$A$6:$N$15,MATCH($A38,'Ex post LI &amp; Eligibility Stats'!$A$6:$A$15,0),MATCH('Program MW '!O$27,'Ex post LI &amp; Eligibility Stats'!$A$6:$N$6,0))/1000)</f>
        <v>0</v>
      </c>
      <c r="Q38" s="33"/>
      <c r="R38" s="160">
        <f>Q38*(INDEX('Ex ante LI &amp; Eligibility Stats'!$A$5:$M$14,MATCH($A38,'Ex ante LI &amp; Eligibility Stats'!$A$5:$A$14,0),MATCH('Program MW '!R$27,'Ex ante LI &amp; Eligibility Stats'!$A$5:$M$5,0))/1000)</f>
        <v>0</v>
      </c>
      <c r="S38" s="397">
        <f>Q38*(INDEX('Ex post LI &amp; Eligibility Stats'!$A$6:$N$15,MATCH($A38,'Ex post LI &amp; Eligibility Stats'!$A$6:$A$15,0),MATCH('Program MW '!R$27,'Ex post LI &amp; Eligibility Stats'!$A$6:$N$6,0))/1000)</f>
        <v>0</v>
      </c>
      <c r="T38" s="34">
        <v>1200000</v>
      </c>
      <c r="U38" s="69"/>
    </row>
    <row r="39" spans="1:26" s="63" customFormat="1" x14ac:dyDescent="0.2">
      <c r="A39" s="2" t="s">
        <v>220</v>
      </c>
      <c r="B39" s="46">
        <v>1257</v>
      </c>
      <c r="C39" s="160">
        <f>B39*(INDEX('Ex ante LI &amp; Eligibility Stats'!$A$5:$M$14,MATCH($A39,'Ex ante LI &amp; Eligibility Stats'!$A$5:$A$14,0),MATCH('Program MW '!C$27,'Ex ante LI &amp; Eligibility Stats'!$A$5:$M$5,0))/1000)</f>
        <v>2.6187499999999999E-2</v>
      </c>
      <c r="D39" s="397">
        <f>B39*(INDEX('Ex post LI &amp; Eligibility Stats'!$A$6:$N$15,MATCH($A39,'Ex post LI &amp; Eligibility Stats'!$A$6:$A$15,0),MATCH('Program MW '!C$27,'Ex post LI &amp; Eligibility Stats'!$A$6:$N$6,0))/1000)</f>
        <v>2.6187499999999999E-2</v>
      </c>
      <c r="E39" s="46"/>
      <c r="F39" s="160">
        <f>E39*(INDEX('Ex ante LI &amp; Eligibility Stats'!$A$5:$M$14,MATCH($A39,'Ex ante LI &amp; Eligibility Stats'!$A$5:$A$14,0),MATCH('Program MW '!F$27,'Ex ante LI &amp; Eligibility Stats'!$A$5:$M$5,0))/1000)</f>
        <v>0</v>
      </c>
      <c r="G39" s="397">
        <f>E39*(INDEX('Ex post LI &amp; Eligibility Stats'!$A$6:$N$15,MATCH($A39,'Ex post LI &amp; Eligibility Stats'!$A$6:$A$15,0),MATCH('Program MW '!F$27,'Ex post LI &amp; Eligibility Stats'!$A$6:$N$6,0))/1000)</f>
        <v>0</v>
      </c>
      <c r="H39" s="46"/>
      <c r="I39" s="160">
        <f>H39*(INDEX('Ex ante LI &amp; Eligibility Stats'!$A$5:$M$14,MATCH($A39,'Ex ante LI &amp; Eligibility Stats'!$A$5:$A$14,0),MATCH('Program MW '!I$27,'Ex ante LI &amp; Eligibility Stats'!$A$5:$M$5,0))/1000)</f>
        <v>0</v>
      </c>
      <c r="J39" s="397">
        <f>H39*(INDEX('Ex post LI &amp; Eligibility Stats'!$A$6:$N$15,MATCH($A39,'Ex post LI &amp; Eligibility Stats'!$A$6:$A$15,0),MATCH('Program MW '!I$27,'Ex post LI &amp; Eligibility Stats'!$A$6:$N$6,0))/1000)</f>
        <v>0</v>
      </c>
      <c r="K39" s="46"/>
      <c r="L39" s="160">
        <f>K39*(INDEX('Ex ante LI &amp; Eligibility Stats'!$A$5:$M$14,MATCH($A39,'Ex ante LI &amp; Eligibility Stats'!$A$5:$A$14,0),MATCH('Program MW '!L$27,'Ex ante LI &amp; Eligibility Stats'!$A$5:$M$5,0))/1000)</f>
        <v>0</v>
      </c>
      <c r="M39" s="397">
        <f>K39*(INDEX('Ex post LI &amp; Eligibility Stats'!$A$6:$N$15,MATCH($A39,'Ex post LI &amp; Eligibility Stats'!$A$6:$A$15,0),MATCH('Program MW '!L$27,'Ex post LI &amp; Eligibility Stats'!$A$6:$N$6,0))/1000)</f>
        <v>0</v>
      </c>
      <c r="N39" s="46"/>
      <c r="O39" s="160">
        <f>N39*(INDEX('Ex ante LI &amp; Eligibility Stats'!$A$5:$M$14,MATCH($A39,'Ex ante LI &amp; Eligibility Stats'!$A$5:$A$14,0),MATCH('Program MW '!O$27,'Ex ante LI &amp; Eligibility Stats'!$A$5:$M$5,0))/1000)</f>
        <v>0</v>
      </c>
      <c r="P39" s="160">
        <f>N39*(INDEX('Ex post LI &amp; Eligibility Stats'!$A$6:$N$15,MATCH($A39,'Ex post LI &amp; Eligibility Stats'!$A$6:$A$15,0),MATCH('Program MW '!O$27,'Ex post LI &amp; Eligibility Stats'!$A$6:$N$6,0))/1000)</f>
        <v>0</v>
      </c>
      <c r="Q39" s="33"/>
      <c r="R39" s="160">
        <f>Q39*(INDEX('Ex ante LI &amp; Eligibility Stats'!$A$5:$M$14,MATCH($A39,'Ex ante LI &amp; Eligibility Stats'!$A$5:$A$14,0),MATCH('Program MW '!R$27,'Ex ante LI &amp; Eligibility Stats'!$A$5:$M$5,0))/1000)</f>
        <v>0</v>
      </c>
      <c r="S39" s="397">
        <f>Q39*(INDEX('Ex post LI &amp; Eligibility Stats'!$A$6:$N$15,MATCH($A39,'Ex post LI &amp; Eligibility Stats'!$A$6:$A$15,0),MATCH('Program MW '!R$27,'Ex post LI &amp; Eligibility Stats'!$A$6:$N$6,0))/1000)</f>
        <v>0</v>
      </c>
      <c r="T39" s="34">
        <v>120000</v>
      </c>
      <c r="U39" s="69"/>
    </row>
    <row r="40" spans="1:26" s="63" customFormat="1" x14ac:dyDescent="0.2">
      <c r="A40" s="2" t="s">
        <v>142</v>
      </c>
      <c r="B40" s="421">
        <v>9</v>
      </c>
      <c r="C40" s="160">
        <f>B40*(INDEX('Ex ante LI &amp; Eligibility Stats'!$A$5:$M$14,MATCH($A40,'Ex ante LI &amp; Eligibility Stats'!$A$5:$A$14,0),MATCH('Program MW '!C$27,'Ex ante LI &amp; Eligibility Stats'!$A$5:$M$5,0))/1000)</f>
        <v>5.573560500000001</v>
      </c>
      <c r="D40" s="160">
        <f>B40*(INDEX('Ex post LI &amp; Eligibility Stats'!$A$6:$N$15,MATCH($A40,'Ex post LI &amp; Eligibility Stats'!$A$6:$A$15,0),MATCH('Program MW '!C$27,'Ex post LI &amp; Eligibility Stats'!$A$6:$N$6,0))/1000)</f>
        <v>7.6499999999999995</v>
      </c>
      <c r="E40" s="33"/>
      <c r="F40" s="160">
        <f>E40*(INDEX('Ex ante LI &amp; Eligibility Stats'!$A$5:$M$14,MATCH($A40,'Ex ante LI &amp; Eligibility Stats'!$A$5:$A$14,0),MATCH('Program MW '!F$27,'Ex ante LI &amp; Eligibility Stats'!$A$5:$M$5,0))/1000)</f>
        <v>0</v>
      </c>
      <c r="G40" s="160">
        <f>E40*(INDEX('Ex post LI &amp; Eligibility Stats'!$A$6:$N$15,MATCH($A40,'Ex post LI &amp; Eligibility Stats'!$A$6:$A$15,0),MATCH('Program MW '!F$27,'Ex post LI &amp; Eligibility Stats'!$A$6:$N$6,0))/1000)</f>
        <v>0</v>
      </c>
      <c r="H40" s="33"/>
      <c r="I40" s="160">
        <f>H40*(INDEX('Ex ante LI &amp; Eligibility Stats'!$A$5:$M$14,MATCH($A40,'Ex ante LI &amp; Eligibility Stats'!$A$5:$A$14,0),MATCH('Program MW '!I$27,'Ex ante LI &amp; Eligibility Stats'!$A$5:$M$5,0))/1000)</f>
        <v>0</v>
      </c>
      <c r="J40" s="160">
        <f>H40*(INDEX('Ex post LI &amp; Eligibility Stats'!$A$6:$N$15,MATCH($A40,'Ex post LI &amp; Eligibility Stats'!$A$6:$A$15,0),MATCH('Program MW '!I$27,'Ex post LI &amp; Eligibility Stats'!$A$6:$N$6,0))/1000)</f>
        <v>0</v>
      </c>
      <c r="K40" s="33"/>
      <c r="L40" s="160">
        <f>K40*(INDEX('Ex ante LI &amp; Eligibility Stats'!$A$5:$M$14,MATCH($A40,'Ex ante LI &amp; Eligibility Stats'!$A$5:$A$14,0),MATCH('Program MW '!L$27,'Ex ante LI &amp; Eligibility Stats'!$A$5:$M$5,0))/1000)</f>
        <v>0</v>
      </c>
      <c r="M40" s="160">
        <f>K40*(INDEX('Ex post LI &amp; Eligibility Stats'!$A$6:$N$15,MATCH($A40,'Ex post LI &amp; Eligibility Stats'!$A$6:$A$15,0),MATCH('Program MW '!L$27,'Ex post LI &amp; Eligibility Stats'!$A$6:$N$6,0))/1000)</f>
        <v>0</v>
      </c>
      <c r="N40" s="33"/>
      <c r="O40" s="160">
        <f>N40*(INDEX('Ex ante LI &amp; Eligibility Stats'!$A$5:$M$14,MATCH($A40,'Ex ante LI &amp; Eligibility Stats'!$A$5:$A$14,0),MATCH('Program MW '!O$27,'Ex ante LI &amp; Eligibility Stats'!$A$5:$M$5,0))/1000)</f>
        <v>0</v>
      </c>
      <c r="P40" s="160">
        <f>N40*(INDEX('Ex post LI &amp; Eligibility Stats'!$A$6:$N$15,MATCH($A40,'Ex post LI &amp; Eligibility Stats'!$A$6:$A$15,0),MATCH('Program MW '!O$27,'Ex post LI &amp; Eligibility Stats'!$A$6:$N$6,0))/1000)</f>
        <v>0</v>
      </c>
      <c r="Q40" s="33"/>
      <c r="R40" s="160">
        <f>Q40*(INDEX('Ex ante LI &amp; Eligibility Stats'!$A$5:$M$14,MATCH($A40,'Ex ante LI &amp; Eligibility Stats'!$A$5:$A$14,0),MATCH('Program MW '!R$27,'Ex ante LI &amp; Eligibility Stats'!$A$5:$M$5,0))/1000)</f>
        <v>0</v>
      </c>
      <c r="S40" s="398">
        <f>Q40*(INDEX('Ex post LI &amp; Eligibility Stats'!$A$6:$N$15,MATCH($A40,'Ex post LI &amp; Eligibility Stats'!$A$6:$A$15,0),MATCH('Program MW '!R$27,'Ex post LI &amp; Eligibility Stats'!$A$6:$N$6,0))/1000)</f>
        <v>0</v>
      </c>
      <c r="T40" s="34">
        <v>162482</v>
      </c>
      <c r="U40" s="69"/>
    </row>
    <row r="41" spans="1:26" s="63" customFormat="1" ht="13.5" thickBot="1" x14ac:dyDescent="0.25">
      <c r="A41" s="35" t="s">
        <v>34</v>
      </c>
      <c r="B41" s="71">
        <f t="shared" ref="B41:S41" si="4">SUM(B33:B40)</f>
        <v>102002</v>
      </c>
      <c r="C41" s="39">
        <f t="shared" si="4"/>
        <v>61.857904463437372</v>
      </c>
      <c r="D41" s="38">
        <f t="shared" si="4"/>
        <v>67.961224398968824</v>
      </c>
      <c r="E41" s="71">
        <f t="shared" si="4"/>
        <v>0</v>
      </c>
      <c r="F41" s="39">
        <f t="shared" si="4"/>
        <v>0</v>
      </c>
      <c r="G41" s="38">
        <f t="shared" si="4"/>
        <v>0</v>
      </c>
      <c r="H41" s="71">
        <f t="shared" si="4"/>
        <v>0</v>
      </c>
      <c r="I41" s="39">
        <f t="shared" si="4"/>
        <v>0</v>
      </c>
      <c r="J41" s="38">
        <f t="shared" si="4"/>
        <v>0</v>
      </c>
      <c r="K41" s="71">
        <f t="shared" si="4"/>
        <v>0</v>
      </c>
      <c r="L41" s="39">
        <f t="shared" si="4"/>
        <v>0</v>
      </c>
      <c r="M41" s="38">
        <f t="shared" si="4"/>
        <v>0</v>
      </c>
      <c r="N41" s="71">
        <f t="shared" si="4"/>
        <v>0</v>
      </c>
      <c r="O41" s="39">
        <f t="shared" si="4"/>
        <v>0</v>
      </c>
      <c r="P41" s="38">
        <f t="shared" si="4"/>
        <v>0</v>
      </c>
      <c r="Q41" s="71">
        <f t="shared" si="4"/>
        <v>0</v>
      </c>
      <c r="R41" s="39">
        <f t="shared" si="4"/>
        <v>0</v>
      </c>
      <c r="S41" s="38">
        <f t="shared" si="4"/>
        <v>0</v>
      </c>
      <c r="T41" s="54"/>
      <c r="U41" s="69"/>
    </row>
    <row r="42" spans="1:26" ht="14.25" thickTop="1" thickBot="1" x14ac:dyDescent="0.25">
      <c r="A42" s="49" t="s">
        <v>23</v>
      </c>
      <c r="B42" s="52">
        <f t="shared" ref="B42:S42" si="5">+B31+B41</f>
        <v>102009</v>
      </c>
      <c r="C42" s="72">
        <f t="shared" si="5"/>
        <v>62.240439699801009</v>
      </c>
      <c r="D42" s="53">
        <f t="shared" si="5"/>
        <v>68.470315308059739</v>
      </c>
      <c r="E42" s="52">
        <f t="shared" si="5"/>
        <v>0</v>
      </c>
      <c r="F42" s="72">
        <f t="shared" si="5"/>
        <v>0</v>
      </c>
      <c r="G42" s="53">
        <f t="shared" si="5"/>
        <v>0</v>
      </c>
      <c r="H42" s="52">
        <f t="shared" si="5"/>
        <v>0</v>
      </c>
      <c r="I42" s="72">
        <f t="shared" si="5"/>
        <v>0</v>
      </c>
      <c r="J42" s="53">
        <f t="shared" si="5"/>
        <v>0</v>
      </c>
      <c r="K42" s="52">
        <f t="shared" si="5"/>
        <v>0</v>
      </c>
      <c r="L42" s="72">
        <f t="shared" si="5"/>
        <v>0</v>
      </c>
      <c r="M42" s="53">
        <f t="shared" si="5"/>
        <v>0</v>
      </c>
      <c r="N42" s="52">
        <f t="shared" si="5"/>
        <v>0</v>
      </c>
      <c r="O42" s="72">
        <f t="shared" si="5"/>
        <v>0</v>
      </c>
      <c r="P42" s="53">
        <f t="shared" si="5"/>
        <v>0</v>
      </c>
      <c r="Q42" s="73">
        <f t="shared" si="5"/>
        <v>0</v>
      </c>
      <c r="R42" s="72">
        <f t="shared" si="5"/>
        <v>0</v>
      </c>
      <c r="S42" s="53">
        <f t="shared" si="5"/>
        <v>0</v>
      </c>
      <c r="T42" s="60"/>
      <c r="U42" s="74"/>
    </row>
    <row r="43" spans="1:26" ht="13.5" thickTop="1" x14ac:dyDescent="0.2">
      <c r="A43" s="55"/>
      <c r="B43" s="75"/>
      <c r="C43" s="75"/>
      <c r="D43" s="45"/>
      <c r="E43" s="75"/>
      <c r="F43" s="75"/>
      <c r="G43" s="75"/>
      <c r="H43" s="45"/>
      <c r="I43" s="75"/>
      <c r="J43" s="75"/>
      <c r="K43" s="75"/>
      <c r="L43" s="75"/>
      <c r="M43" s="45"/>
      <c r="N43" s="75"/>
      <c r="O43" s="75"/>
      <c r="P43" s="75"/>
      <c r="Q43" s="45"/>
      <c r="R43" s="75"/>
      <c r="S43" s="75"/>
      <c r="T43" s="75"/>
      <c r="U43" s="45"/>
      <c r="V43" s="75"/>
      <c r="W43" s="75"/>
      <c r="X43" s="48"/>
      <c r="Y43" s="76"/>
      <c r="Z43" s="76"/>
    </row>
    <row r="44" spans="1:26" ht="15" x14ac:dyDescent="0.25">
      <c r="A44" s="55"/>
      <c r="B44" s="45"/>
      <c r="C44" s="45"/>
      <c r="D44" s="45"/>
      <c r="E44" s="75"/>
      <c r="F44" s="45"/>
      <c r="G44" s="75"/>
      <c r="H44" s="75"/>
      <c r="I44" s="45"/>
      <c r="J44" s="45"/>
      <c r="K44" s="75"/>
      <c r="L44" s="422"/>
      <c r="M44" s="45"/>
      <c r="N44" s="45"/>
      <c r="O44" s="45"/>
      <c r="P44" s="156"/>
      <c r="Q44" s="45"/>
      <c r="R44" s="45"/>
      <c r="S44" s="45"/>
      <c r="T44" s="75"/>
      <c r="U44" s="45"/>
      <c r="V44" s="45"/>
      <c r="W44" s="75"/>
      <c r="X44" s="48"/>
      <c r="Y44" s="48"/>
      <c r="Z44" s="76"/>
    </row>
    <row r="45" spans="1:26" ht="15" x14ac:dyDescent="0.25">
      <c r="A45" s="327" t="s">
        <v>25</v>
      </c>
      <c r="B45" s="77"/>
      <c r="C45" s="77"/>
      <c r="D45" s="77"/>
      <c r="E45" s="77"/>
      <c r="F45" s="155"/>
      <c r="G45" s="77"/>
      <c r="H45" s="155"/>
      <c r="I45" s="77"/>
      <c r="J45" s="77"/>
      <c r="K45" s="77"/>
      <c r="L45" s="77"/>
      <c r="M45" s="77"/>
      <c r="N45" s="77"/>
      <c r="O45" s="77"/>
      <c r="P45" s="15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x14ac:dyDescent="0.2">
      <c r="A46" s="465" t="s">
        <v>156</v>
      </c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</row>
    <row r="47" spans="1:26" x14ac:dyDescent="0.2">
      <c r="A47" s="462" t="s">
        <v>161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464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27.75" customHeight="1" x14ac:dyDescent="0.2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460" t="s">
        <v>284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25.5" customHeight="1" x14ac:dyDescent="0.2">
      <c r="A51" s="461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79"/>
      <c r="U52" s="79"/>
      <c r="V52" s="79"/>
      <c r="W52" s="79"/>
      <c r="X52" s="79"/>
      <c r="Y52" s="79"/>
      <c r="Z52" s="79"/>
    </row>
    <row r="53" spans="1:26" ht="6" customHeight="1" x14ac:dyDescent="0.2">
      <c r="A53" s="458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</row>
    <row r="54" spans="1:26" ht="87.75" customHeight="1" x14ac:dyDescent="0.2">
      <c r="A54" s="459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</row>
    <row r="56" spans="1:26" x14ac:dyDescent="0.2">
      <c r="A56" s="81"/>
    </row>
    <row r="57" spans="1:26" x14ac:dyDescent="0.2">
      <c r="A57" s="79"/>
    </row>
  </sheetData>
  <mergeCells count="4">
    <mergeCell ref="A53:N54"/>
    <mergeCell ref="A50:N51"/>
    <mergeCell ref="A47:N49"/>
    <mergeCell ref="A46:Z46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JULY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P19" sqref="P19"/>
    </sheetView>
  </sheetViews>
  <sheetFormatPr defaultColWidth="9.140625" defaultRowHeight="12.75" x14ac:dyDescent="0.2"/>
  <cols>
    <col min="1" max="1" width="39.42578125" style="194" customWidth="1"/>
    <col min="2" max="2" width="11" style="194" customWidth="1"/>
    <col min="3" max="3" width="9.7109375" style="194" customWidth="1"/>
    <col min="4" max="4" width="11" style="194" customWidth="1"/>
    <col min="5" max="5" width="11.7109375" style="194" customWidth="1"/>
    <col min="6" max="8" width="11" style="194" customWidth="1"/>
    <col min="9" max="9" width="3.85546875" style="194" customWidth="1"/>
    <col min="10" max="10" width="10.28515625" style="194" bestFit="1" customWidth="1"/>
    <col min="11" max="11" width="2.85546875" style="194" bestFit="1" customWidth="1"/>
    <col min="12" max="12" width="11" style="194" customWidth="1"/>
    <col min="13" max="13" width="3.42578125" style="194" bestFit="1" customWidth="1"/>
    <col min="14" max="16" width="11" style="194" customWidth="1"/>
    <col min="17" max="17" width="15.7109375" style="194" bestFit="1" customWidth="1"/>
    <col min="18" max="18" width="9.7109375" style="194" bestFit="1" customWidth="1"/>
    <col min="19" max="19" width="9.140625" style="194"/>
    <col min="20" max="20" width="22.28515625" style="194" customWidth="1"/>
    <col min="21" max="16384" width="9.140625" style="194"/>
  </cols>
  <sheetData>
    <row r="2" spans="1:18" ht="13.5" thickBot="1" x14ac:dyDescent="0.25">
      <c r="A2" s="285"/>
    </row>
    <row r="3" spans="1:18" ht="31.7" customHeight="1" x14ac:dyDescent="0.2">
      <c r="A3" s="286" t="s">
        <v>17</v>
      </c>
      <c r="B3" s="287" t="s">
        <v>0</v>
      </c>
      <c r="C3" s="287" t="s">
        <v>1</v>
      </c>
      <c r="D3" s="287" t="s">
        <v>2</v>
      </c>
      <c r="E3" s="287" t="s">
        <v>3</v>
      </c>
      <c r="F3" s="287" t="s">
        <v>4</v>
      </c>
      <c r="G3" s="287" t="s">
        <v>5</v>
      </c>
      <c r="H3" s="287" t="s">
        <v>6</v>
      </c>
      <c r="I3" s="287"/>
      <c r="J3" s="287" t="s">
        <v>7</v>
      </c>
      <c r="K3" s="287"/>
      <c r="L3" s="287" t="s">
        <v>8</v>
      </c>
      <c r="M3" s="287"/>
      <c r="N3" s="287" t="s">
        <v>9</v>
      </c>
      <c r="O3" s="287" t="s">
        <v>10</v>
      </c>
      <c r="P3" s="287" t="s">
        <v>11</v>
      </c>
      <c r="Q3" s="288" t="s">
        <v>16</v>
      </c>
    </row>
    <row r="4" spans="1:18" ht="16.5" x14ac:dyDescent="0.25">
      <c r="A4" s="289" t="s">
        <v>77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1"/>
    </row>
    <row r="5" spans="1:18" ht="6" customHeight="1" x14ac:dyDescent="0.2">
      <c r="A5" s="292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</row>
    <row r="6" spans="1:18" x14ac:dyDescent="0.2">
      <c r="A6" s="292" t="s">
        <v>78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</row>
    <row r="7" spans="1:18" x14ac:dyDescent="0.2">
      <c r="A7" s="293" t="s">
        <v>79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/>
      <c r="J7" s="294">
        <v>0</v>
      </c>
      <c r="K7" s="294"/>
      <c r="L7" s="294">
        <v>0</v>
      </c>
      <c r="M7" s="294"/>
      <c r="N7" s="294">
        <v>0</v>
      </c>
      <c r="O7" s="294">
        <v>0</v>
      </c>
      <c r="P7" s="294">
        <v>0</v>
      </c>
      <c r="Q7" s="297">
        <f t="shared" ref="Q7:Q12" si="0">SUM(B7:P7)</f>
        <v>0</v>
      </c>
    </row>
    <row r="8" spans="1:18" ht="14.25" customHeight="1" x14ac:dyDescent="0.2">
      <c r="A8" s="293" t="s">
        <v>67</v>
      </c>
      <c r="B8" s="294">
        <v>9.6489999999999991</v>
      </c>
      <c r="C8" s="294">
        <v>10.776</v>
      </c>
      <c r="D8" s="294">
        <v>11.037000000000001</v>
      </c>
      <c r="E8" s="294">
        <v>13.5</v>
      </c>
      <c r="F8" s="294">
        <v>13.776</v>
      </c>
      <c r="G8" s="294">
        <v>9.6440000000000001</v>
      </c>
      <c r="H8" s="294">
        <v>12.529</v>
      </c>
      <c r="I8" s="294"/>
      <c r="J8" s="294">
        <v>0</v>
      </c>
      <c r="K8" s="294"/>
      <c r="L8" s="294">
        <v>0</v>
      </c>
      <c r="M8" s="294"/>
      <c r="N8" s="294">
        <v>0</v>
      </c>
      <c r="O8" s="294">
        <v>0</v>
      </c>
      <c r="P8" s="294">
        <v>0</v>
      </c>
      <c r="Q8" s="297">
        <f t="shared" si="0"/>
        <v>80.911000000000001</v>
      </c>
    </row>
    <row r="9" spans="1:18" x14ac:dyDescent="0.2">
      <c r="A9" s="293" t="s">
        <v>28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/>
      <c r="J9" s="294">
        <v>0</v>
      </c>
      <c r="K9" s="294"/>
      <c r="L9" s="294">
        <v>0</v>
      </c>
      <c r="M9" s="294"/>
      <c r="N9" s="294">
        <v>0</v>
      </c>
      <c r="O9" s="294">
        <v>0</v>
      </c>
      <c r="P9" s="294">
        <v>0</v>
      </c>
      <c r="Q9" s="297">
        <f t="shared" si="0"/>
        <v>0</v>
      </c>
    </row>
    <row r="10" spans="1:18" x14ac:dyDescent="0.2">
      <c r="A10" s="293" t="s">
        <v>80</v>
      </c>
      <c r="B10" s="294">
        <v>0.56899999999999995</v>
      </c>
      <c r="C10" s="294">
        <v>0.56699999999999995</v>
      </c>
      <c r="D10" s="294">
        <v>0.56799999999999995</v>
      </c>
      <c r="E10" s="294">
        <v>4.7</v>
      </c>
      <c r="F10" s="294">
        <v>4.7430000000000003</v>
      </c>
      <c r="G10" s="294">
        <v>2.8759999999999999</v>
      </c>
      <c r="H10" s="294">
        <v>2.5649999999999999</v>
      </c>
      <c r="I10" s="294"/>
      <c r="J10" s="294">
        <v>0</v>
      </c>
      <c r="K10" s="294"/>
      <c r="L10" s="294">
        <v>0</v>
      </c>
      <c r="M10" s="294"/>
      <c r="N10" s="294">
        <v>0</v>
      </c>
      <c r="O10" s="294">
        <v>0</v>
      </c>
      <c r="P10" s="294">
        <v>0</v>
      </c>
      <c r="Q10" s="297">
        <f t="shared" si="0"/>
        <v>16.588000000000001</v>
      </c>
    </row>
    <row r="11" spans="1:18" x14ac:dyDescent="0.2">
      <c r="A11" s="293" t="s">
        <v>14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/>
      <c r="J11" s="294">
        <v>0</v>
      </c>
      <c r="K11" s="294"/>
      <c r="L11" s="294">
        <v>0</v>
      </c>
      <c r="M11" s="294"/>
      <c r="N11" s="294">
        <v>0</v>
      </c>
      <c r="O11" s="294">
        <v>0</v>
      </c>
      <c r="P11" s="294">
        <v>0</v>
      </c>
      <c r="Q11" s="297">
        <f t="shared" si="0"/>
        <v>0</v>
      </c>
      <c r="R11" s="298"/>
    </row>
    <row r="12" spans="1:18" x14ac:dyDescent="0.2">
      <c r="A12" s="256" t="s">
        <v>81</v>
      </c>
      <c r="B12" s="299">
        <f t="shared" ref="B12:H12" si="1">SUM(B7:B11)</f>
        <v>10.218</v>
      </c>
      <c r="C12" s="299">
        <f t="shared" si="1"/>
        <v>11.343</v>
      </c>
      <c r="D12" s="299">
        <f t="shared" si="1"/>
        <v>11.605</v>
      </c>
      <c r="E12" s="299">
        <f t="shared" si="1"/>
        <v>18.2</v>
      </c>
      <c r="F12" s="299">
        <f t="shared" si="1"/>
        <v>18.518999999999998</v>
      </c>
      <c r="G12" s="299">
        <f t="shared" si="1"/>
        <v>12.52</v>
      </c>
      <c r="H12" s="299">
        <f t="shared" si="1"/>
        <v>15.093999999999999</v>
      </c>
      <c r="I12" s="299"/>
      <c r="J12" s="299">
        <f>SUM(J7:J11)</f>
        <v>0</v>
      </c>
      <c r="K12" s="299"/>
      <c r="L12" s="299">
        <f>SUM(L7:L11)</f>
        <v>0</v>
      </c>
      <c r="M12" s="299"/>
      <c r="N12" s="299">
        <f>SUM(N7:N11)</f>
        <v>0</v>
      </c>
      <c r="O12" s="299">
        <f>SUM(O7:O11)</f>
        <v>0</v>
      </c>
      <c r="P12" s="299">
        <f>SUM(P7:P11)</f>
        <v>0</v>
      </c>
      <c r="Q12" s="300">
        <f t="shared" si="0"/>
        <v>97.498999999999981</v>
      </c>
    </row>
    <row r="13" spans="1:18" x14ac:dyDescent="0.2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7"/>
    </row>
    <row r="14" spans="1:18" x14ac:dyDescent="0.2">
      <c r="A14" s="292" t="s">
        <v>82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7"/>
    </row>
    <row r="15" spans="1:18" x14ac:dyDescent="0.2">
      <c r="A15" s="293" t="s">
        <v>83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/>
      <c r="J15" s="294">
        <v>0</v>
      </c>
      <c r="K15" s="294"/>
      <c r="L15" s="294">
        <v>0</v>
      </c>
      <c r="M15" s="294"/>
      <c r="N15" s="294">
        <v>0</v>
      </c>
      <c r="O15" s="294">
        <v>0</v>
      </c>
      <c r="P15" s="294">
        <v>0</v>
      </c>
      <c r="Q15" s="297">
        <f>SUM(B15:P15)</f>
        <v>0</v>
      </c>
    </row>
    <row r="16" spans="1:18" x14ac:dyDescent="0.2">
      <c r="A16" s="256" t="s">
        <v>84</v>
      </c>
      <c r="B16" s="299">
        <f t="shared" ref="B16:H16" si="2">SUM(B15:B15)</f>
        <v>0</v>
      </c>
      <c r="C16" s="299">
        <f t="shared" si="2"/>
        <v>0</v>
      </c>
      <c r="D16" s="299">
        <f t="shared" si="2"/>
        <v>0</v>
      </c>
      <c r="E16" s="299">
        <f t="shared" si="2"/>
        <v>0</v>
      </c>
      <c r="F16" s="299">
        <f t="shared" si="2"/>
        <v>0</v>
      </c>
      <c r="G16" s="299">
        <f t="shared" si="2"/>
        <v>0</v>
      </c>
      <c r="H16" s="299">
        <f t="shared" si="2"/>
        <v>0</v>
      </c>
      <c r="I16" s="299"/>
      <c r="J16" s="299">
        <f>SUM(J15:J15)</f>
        <v>0</v>
      </c>
      <c r="K16" s="299"/>
      <c r="L16" s="299">
        <f>SUM(L15:L15)</f>
        <v>0</v>
      </c>
      <c r="M16" s="299"/>
      <c r="N16" s="299">
        <f>SUM(N15:N15)</f>
        <v>0</v>
      </c>
      <c r="O16" s="299">
        <f>SUM(O15:O15)</f>
        <v>0</v>
      </c>
      <c r="P16" s="299">
        <f>SUM(P15:P15)</f>
        <v>0</v>
      </c>
      <c r="Q16" s="300">
        <f>SUM(B16:P16)</f>
        <v>0</v>
      </c>
    </row>
    <row r="17" spans="1:22" x14ac:dyDescent="0.2">
      <c r="A17" s="271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01"/>
    </row>
    <row r="18" spans="1:22" x14ac:dyDescent="0.2">
      <c r="A18" s="292" t="s">
        <v>85</v>
      </c>
      <c r="B18" s="294" t="s">
        <v>13</v>
      </c>
      <c r="C18" s="294" t="s">
        <v>13</v>
      </c>
      <c r="D18" s="294" t="s">
        <v>13</v>
      </c>
      <c r="E18" s="294"/>
      <c r="F18" s="294" t="s">
        <v>13</v>
      </c>
      <c r="G18" s="290"/>
      <c r="H18" s="294" t="s">
        <v>13</v>
      </c>
      <c r="I18" s="294"/>
      <c r="J18" s="294" t="s">
        <v>13</v>
      </c>
      <c r="K18" s="294"/>
      <c r="L18" s="294" t="s">
        <v>13</v>
      </c>
      <c r="M18" s="294"/>
      <c r="N18" s="294" t="s">
        <v>13</v>
      </c>
      <c r="O18" s="294" t="s">
        <v>13</v>
      </c>
      <c r="P18" s="294" t="s">
        <v>13</v>
      </c>
      <c r="Q18" s="297" t="s">
        <v>13</v>
      </c>
    </row>
    <row r="19" spans="1:22" x14ac:dyDescent="0.2">
      <c r="A19" s="293" t="s">
        <v>86</v>
      </c>
      <c r="B19" s="295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5">
        <v>0</v>
      </c>
      <c r="I19" s="295"/>
      <c r="J19" s="296">
        <v>0</v>
      </c>
      <c r="K19" s="296"/>
      <c r="L19" s="302">
        <v>0</v>
      </c>
      <c r="M19" s="302"/>
      <c r="N19" s="296">
        <v>0</v>
      </c>
      <c r="O19" s="302">
        <v>0</v>
      </c>
      <c r="P19" s="296">
        <v>0</v>
      </c>
      <c r="Q19" s="297">
        <f>SUM(B19:P19)</f>
        <v>0</v>
      </c>
    </row>
    <row r="20" spans="1:22" x14ac:dyDescent="0.2">
      <c r="A20" s="268" t="s">
        <v>87</v>
      </c>
      <c r="B20" s="299">
        <f t="shared" ref="B20:H20" si="3">SUM(B19:B19)</f>
        <v>0</v>
      </c>
      <c r="C20" s="299">
        <f t="shared" si="3"/>
        <v>0</v>
      </c>
      <c r="D20" s="299">
        <f t="shared" si="3"/>
        <v>0</v>
      </c>
      <c r="E20" s="299">
        <f t="shared" si="3"/>
        <v>0</v>
      </c>
      <c r="F20" s="299">
        <f t="shared" si="3"/>
        <v>0</v>
      </c>
      <c r="G20" s="299">
        <f t="shared" si="3"/>
        <v>0</v>
      </c>
      <c r="H20" s="299">
        <f t="shared" si="3"/>
        <v>0</v>
      </c>
      <c r="I20" s="299"/>
      <c r="J20" s="299">
        <f>SUM(J19:J19)</f>
        <v>0</v>
      </c>
      <c r="K20" s="299"/>
      <c r="L20" s="299">
        <f>SUM(L19:L19)</f>
        <v>0</v>
      </c>
      <c r="M20" s="299"/>
      <c r="N20" s="299">
        <f>SUM(N19:N19)</f>
        <v>0</v>
      </c>
      <c r="O20" s="299">
        <f>SUM(O19:O19)</f>
        <v>0</v>
      </c>
      <c r="P20" s="299">
        <f>SUM(P19:P19)</f>
        <v>0</v>
      </c>
      <c r="Q20" s="300">
        <f>SUM(B20:P20)</f>
        <v>0</v>
      </c>
    </row>
    <row r="21" spans="1:22" x14ac:dyDescent="0.2">
      <c r="A21" s="303"/>
      <c r="B21" s="295"/>
      <c r="C21" s="295"/>
      <c r="D21" s="295"/>
      <c r="E21" s="295"/>
      <c r="F21" s="295"/>
      <c r="G21" s="304"/>
      <c r="H21" s="295"/>
      <c r="I21" s="295"/>
      <c r="J21" s="304"/>
      <c r="K21" s="295"/>
      <c r="L21" s="295"/>
      <c r="M21" s="295"/>
      <c r="N21" s="295"/>
      <c r="O21" s="304"/>
      <c r="P21" s="295"/>
      <c r="Q21" s="301"/>
    </row>
    <row r="22" spans="1:22" x14ac:dyDescent="0.2">
      <c r="A22" s="305" t="s">
        <v>88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01"/>
    </row>
    <row r="23" spans="1:22" x14ac:dyDescent="0.2">
      <c r="A23" s="293" t="s">
        <v>89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/>
      <c r="J23" s="302">
        <v>0</v>
      </c>
      <c r="K23" s="302"/>
      <c r="L23" s="302">
        <v>0</v>
      </c>
      <c r="M23" s="302"/>
      <c r="N23" s="302">
        <v>0</v>
      </c>
      <c r="O23" s="302">
        <v>0</v>
      </c>
      <c r="P23" s="302">
        <v>0</v>
      </c>
      <c r="Q23" s="301">
        <f>SUM(B23:P23)</f>
        <v>0</v>
      </c>
    </row>
    <row r="24" spans="1:22" x14ac:dyDescent="0.2">
      <c r="A24" s="293" t="s">
        <v>12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/>
      <c r="J24" s="302">
        <v>0</v>
      </c>
      <c r="K24" s="302"/>
      <c r="L24" s="302">
        <v>0</v>
      </c>
      <c r="M24" s="302"/>
      <c r="N24" s="302">
        <v>0</v>
      </c>
      <c r="O24" s="302">
        <v>0</v>
      </c>
      <c r="P24" s="302">
        <v>0</v>
      </c>
      <c r="Q24" s="301">
        <f>SUM(B24:P24)</f>
        <v>0</v>
      </c>
    </row>
    <row r="25" spans="1:22" x14ac:dyDescent="0.2">
      <c r="A25" s="293" t="s">
        <v>28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/>
      <c r="J25" s="302">
        <v>0</v>
      </c>
      <c r="K25" s="302"/>
      <c r="L25" s="302">
        <v>0</v>
      </c>
      <c r="M25" s="302"/>
      <c r="N25" s="302">
        <v>0</v>
      </c>
      <c r="O25" s="302">
        <v>0</v>
      </c>
      <c r="P25" s="302">
        <v>0</v>
      </c>
      <c r="Q25" s="301">
        <f>SUM(B25:P25)</f>
        <v>0</v>
      </c>
    </row>
    <row r="26" spans="1:22" x14ac:dyDescent="0.2">
      <c r="A26" s="293" t="s">
        <v>80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/>
      <c r="J26" s="302">
        <v>0</v>
      </c>
      <c r="K26" s="302"/>
      <c r="L26" s="302">
        <v>0</v>
      </c>
      <c r="M26" s="302"/>
      <c r="N26" s="302">
        <v>0</v>
      </c>
      <c r="O26" s="302">
        <v>0</v>
      </c>
      <c r="P26" s="306">
        <v>0</v>
      </c>
      <c r="Q26" s="301">
        <f>SUM(B26:P26)</f>
        <v>0</v>
      </c>
    </row>
    <row r="27" spans="1:22" x14ac:dyDescent="0.2">
      <c r="A27" s="307" t="s">
        <v>90</v>
      </c>
      <c r="B27" s="299">
        <f t="shared" ref="B27:H27" si="4">SUM(B23:B26)</f>
        <v>0</v>
      </c>
      <c r="C27" s="299">
        <f t="shared" si="4"/>
        <v>0</v>
      </c>
      <c r="D27" s="299">
        <f t="shared" si="4"/>
        <v>0</v>
      </c>
      <c r="E27" s="299">
        <f t="shared" si="4"/>
        <v>0</v>
      </c>
      <c r="F27" s="299">
        <f t="shared" si="4"/>
        <v>0</v>
      </c>
      <c r="G27" s="299">
        <f t="shared" si="4"/>
        <v>0</v>
      </c>
      <c r="H27" s="299">
        <f t="shared" si="4"/>
        <v>0</v>
      </c>
      <c r="I27" s="299"/>
      <c r="J27" s="299">
        <f>SUM(J22:J26)</f>
        <v>0</v>
      </c>
      <c r="K27" s="299"/>
      <c r="L27" s="299">
        <f>SUM(L23:L26)</f>
        <v>0</v>
      </c>
      <c r="M27" s="299"/>
      <c r="N27" s="299">
        <f>SUM(N23:N26)</f>
        <v>0</v>
      </c>
      <c r="O27" s="299">
        <f>SUM(O23:O26)</f>
        <v>0</v>
      </c>
      <c r="P27" s="299">
        <f>SUM(P23:P26)</f>
        <v>0</v>
      </c>
      <c r="Q27" s="300">
        <f>SUM(B27:P27)</f>
        <v>0</v>
      </c>
      <c r="R27" s="298"/>
    </row>
    <row r="28" spans="1:22" ht="10.15" customHeight="1" x14ac:dyDescent="0.2">
      <c r="A28" s="308"/>
      <c r="B28" s="304"/>
      <c r="C28" s="304"/>
      <c r="D28" s="304"/>
      <c r="E28" s="304"/>
      <c r="F28" s="304"/>
      <c r="G28" s="304"/>
      <c r="H28" s="304"/>
      <c r="I28" s="304"/>
      <c r="J28" s="304"/>
      <c r="K28" s="299"/>
      <c r="L28" s="304"/>
      <c r="M28" s="299"/>
      <c r="N28" s="304"/>
      <c r="O28" s="304"/>
      <c r="P28" s="304"/>
      <c r="Q28" s="309"/>
    </row>
    <row r="29" spans="1:22" ht="15" customHeight="1" x14ac:dyDescent="0.2">
      <c r="A29" s="310" t="s">
        <v>91</v>
      </c>
      <c r="B29" s="311">
        <v>0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2"/>
      <c r="J29" s="311">
        <v>0</v>
      </c>
      <c r="K29" s="313"/>
      <c r="L29" s="299">
        <v>0</v>
      </c>
      <c r="M29" s="313"/>
      <c r="N29" s="299">
        <v>0</v>
      </c>
      <c r="O29" s="314">
        <v>0</v>
      </c>
      <c r="P29" s="315">
        <v>0</v>
      </c>
      <c r="Q29" s="316">
        <f>SUM(B29:P29)</f>
        <v>0</v>
      </c>
      <c r="R29" s="302"/>
      <c r="S29" s="302"/>
      <c r="T29" s="302"/>
      <c r="U29" s="302"/>
      <c r="V29" s="317"/>
    </row>
    <row r="30" spans="1:22" ht="28.15" customHeight="1" thickBot="1" x14ac:dyDescent="0.25">
      <c r="A30" s="279" t="s">
        <v>92</v>
      </c>
      <c r="B30" s="318">
        <f t="shared" ref="B30:H30" si="5">B12+B16+B20+B27+B29</f>
        <v>10.218</v>
      </c>
      <c r="C30" s="318">
        <f t="shared" si="5"/>
        <v>11.343</v>
      </c>
      <c r="D30" s="318">
        <f t="shared" si="5"/>
        <v>11.605</v>
      </c>
      <c r="E30" s="318">
        <f t="shared" si="5"/>
        <v>18.2</v>
      </c>
      <c r="F30" s="318">
        <f t="shared" si="5"/>
        <v>18.518999999999998</v>
      </c>
      <c r="G30" s="318">
        <f t="shared" si="5"/>
        <v>12.52</v>
      </c>
      <c r="H30" s="318">
        <f t="shared" si="5"/>
        <v>15.093999999999999</v>
      </c>
      <c r="I30" s="318"/>
      <c r="J30" s="318">
        <f>J12+J16+J20+J27+J29</f>
        <v>0</v>
      </c>
      <c r="K30" s="318"/>
      <c r="L30" s="318">
        <f>L12+L16+L20+L27+L29</f>
        <v>0</v>
      </c>
      <c r="M30" s="318"/>
      <c r="N30" s="318">
        <f>N12+N16+N20+N27+N29</f>
        <v>0</v>
      </c>
      <c r="O30" s="318">
        <f>O12+O16+O20+O27+O29</f>
        <v>0</v>
      </c>
      <c r="P30" s="318">
        <f>P12+P16+P20+P27+P29</f>
        <v>0</v>
      </c>
      <c r="Q30" s="319">
        <f>SUM(B30:P30)</f>
        <v>97.498999999999981</v>
      </c>
      <c r="R30" s="298"/>
    </row>
    <row r="31" spans="1:22" ht="11.45" customHeight="1" x14ac:dyDescent="0.2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</row>
    <row r="32" spans="1:22" ht="11.45" customHeight="1" x14ac:dyDescent="0.2">
      <c r="A32" s="322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</row>
    <row r="33" spans="1:17" ht="11.45" customHeight="1" x14ac:dyDescent="0.2">
      <c r="A33" s="484" t="s">
        <v>93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</row>
    <row r="34" spans="1:17" x14ac:dyDescent="0.2">
      <c r="A34" s="254"/>
    </row>
    <row r="36" spans="1:17" x14ac:dyDescent="0.2">
      <c r="H36" s="298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tabSelected="1" view="pageBreakPreview" topLeftCell="A4" zoomScaleNormal="100" zoomScaleSheetLayoutView="100" workbookViewId="0">
      <selection activeCell="D11" sqref="D11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7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66" t="s">
        <v>127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 t="s">
        <v>230</v>
      </c>
      <c r="O4" s="6"/>
    </row>
    <row r="5" spans="1:16" ht="38.25" customHeight="1" x14ac:dyDescent="0.2">
      <c r="A5" s="84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68"/>
      <c r="O5" s="83" t="s">
        <v>128</v>
      </c>
    </row>
    <row r="6" spans="1:16" ht="42.75" customHeight="1" x14ac:dyDescent="0.2">
      <c r="A6" s="2" t="s">
        <v>66</v>
      </c>
      <c r="B6" s="402">
        <v>94.894363636363636</v>
      </c>
      <c r="C6" s="402">
        <v>88.041827272727275</v>
      </c>
      <c r="D6" s="402">
        <v>96.583727272727273</v>
      </c>
      <c r="E6" s="402">
        <v>73.459327272727279</v>
      </c>
      <c r="F6" s="402">
        <v>81.496763636363625</v>
      </c>
      <c r="G6" s="402">
        <v>65.225336363636359</v>
      </c>
      <c r="H6" s="402">
        <v>54.647890909090904</v>
      </c>
      <c r="I6" s="402">
        <v>53.384436363636361</v>
      </c>
      <c r="J6" s="402">
        <v>50.857599999999991</v>
      </c>
      <c r="K6" s="402">
        <v>52.957925000000003</v>
      </c>
      <c r="L6" s="402">
        <v>44.45558333333333</v>
      </c>
      <c r="M6" s="402">
        <v>33.060249999999996</v>
      </c>
      <c r="N6" s="408">
        <v>5276</v>
      </c>
      <c r="O6" s="454" t="s">
        <v>72</v>
      </c>
    </row>
    <row r="7" spans="1:16" ht="41.25" customHeight="1" x14ac:dyDescent="0.2">
      <c r="A7" s="454" t="s">
        <v>67</v>
      </c>
      <c r="B7" s="401">
        <v>4.5184788097385029</v>
      </c>
      <c r="C7" s="401">
        <v>4.5508422001803428</v>
      </c>
      <c r="D7" s="401">
        <v>4.5108557258791704</v>
      </c>
      <c r="E7" s="401">
        <v>13.805256988277726</v>
      </c>
      <c r="F7" s="401">
        <v>13.18034265103697</v>
      </c>
      <c r="G7" s="411">
        <v>13.168196573489629</v>
      </c>
      <c r="H7" s="401">
        <v>14.71385933273219</v>
      </c>
      <c r="I7" s="401">
        <v>14.762714156898106</v>
      </c>
      <c r="J7" s="401">
        <v>15.39648331830478</v>
      </c>
      <c r="K7" s="401">
        <v>14.101127141568981</v>
      </c>
      <c r="L7" s="401">
        <v>5.2578124436429219</v>
      </c>
      <c r="M7" s="401">
        <v>4.4341848512173128</v>
      </c>
      <c r="N7" s="408">
        <v>138123</v>
      </c>
      <c r="O7" s="454" t="s">
        <v>73</v>
      </c>
    </row>
    <row r="8" spans="1:16" ht="41.25" customHeight="1" x14ac:dyDescent="0.2">
      <c r="A8" s="454" t="s">
        <v>68</v>
      </c>
      <c r="B8" s="401">
        <v>0</v>
      </c>
      <c r="C8" s="401">
        <v>0</v>
      </c>
      <c r="D8" s="401">
        <v>0</v>
      </c>
      <c r="E8" s="401">
        <v>0</v>
      </c>
      <c r="F8" s="401">
        <v>9.2601166774701371E-2</v>
      </c>
      <c r="G8" s="401">
        <v>0.18520233354940274</v>
      </c>
      <c r="H8" s="401">
        <v>0.37040466709880548</v>
      </c>
      <c r="I8" s="401">
        <v>0.27780350032410411</v>
      </c>
      <c r="J8" s="401">
        <v>0.4630058338735068</v>
      </c>
      <c r="K8" s="401">
        <v>0.27780350032410411</v>
      </c>
      <c r="L8" s="401">
        <v>0</v>
      </c>
      <c r="M8" s="401">
        <v>0</v>
      </c>
      <c r="N8" s="408">
        <v>663393.5</v>
      </c>
      <c r="O8" s="454" t="s">
        <v>75</v>
      </c>
      <c r="P8" s="1"/>
    </row>
    <row r="9" spans="1:16" ht="41.25" customHeight="1" x14ac:dyDescent="0.2">
      <c r="A9" s="454" t="s">
        <v>69</v>
      </c>
      <c r="B9" s="401">
        <v>0</v>
      </c>
      <c r="C9" s="401">
        <v>0</v>
      </c>
      <c r="D9" s="401">
        <v>0</v>
      </c>
      <c r="E9" s="401">
        <v>0</v>
      </c>
      <c r="F9" s="401">
        <v>0.14651477967840007</v>
      </c>
      <c r="G9" s="401">
        <v>0.18314347459800007</v>
      </c>
      <c r="H9" s="401">
        <v>0.43954433903520018</v>
      </c>
      <c r="I9" s="401">
        <v>0.43954433903520018</v>
      </c>
      <c r="J9" s="401">
        <v>0.58605911871360028</v>
      </c>
      <c r="K9" s="401">
        <v>0.29302955935680014</v>
      </c>
      <c r="L9" s="401">
        <v>0</v>
      </c>
      <c r="M9" s="401">
        <v>0</v>
      </c>
      <c r="N9" s="408">
        <v>157189</v>
      </c>
      <c r="O9" s="454" t="s">
        <v>76</v>
      </c>
      <c r="P9" s="1"/>
    </row>
    <row r="10" spans="1:16" ht="58.5" customHeight="1" x14ac:dyDescent="0.2">
      <c r="A10" s="454" t="s">
        <v>70</v>
      </c>
      <c r="B10" s="403">
        <v>0</v>
      </c>
      <c r="C10" s="403">
        <v>0</v>
      </c>
      <c r="D10" s="403">
        <v>0</v>
      </c>
      <c r="E10" s="403">
        <v>0</v>
      </c>
      <c r="F10" s="401">
        <v>61.386374165030084</v>
      </c>
      <c r="G10" s="401">
        <v>62.01837343328139</v>
      </c>
      <c r="H10" s="401">
        <v>56.196641921997077</v>
      </c>
      <c r="I10" s="401">
        <v>56.833503526799817</v>
      </c>
      <c r="J10" s="401">
        <v>50.852099586935601</v>
      </c>
      <c r="K10" s="401">
        <v>42.540105651406684</v>
      </c>
      <c r="L10" s="403">
        <v>0</v>
      </c>
      <c r="M10" s="403">
        <v>0</v>
      </c>
      <c r="N10" s="408">
        <v>18875</v>
      </c>
      <c r="O10" s="454" t="s">
        <v>231</v>
      </c>
    </row>
    <row r="11" spans="1:16" ht="41.25" customHeight="1" x14ac:dyDescent="0.2">
      <c r="A11" s="454" t="s">
        <v>71</v>
      </c>
      <c r="B11" s="404">
        <v>0</v>
      </c>
      <c r="C11" s="404">
        <v>0</v>
      </c>
      <c r="D11" s="404">
        <v>0</v>
      </c>
      <c r="E11" s="404">
        <v>0</v>
      </c>
      <c r="F11" s="404">
        <v>17.529256278221762</v>
      </c>
      <c r="G11" s="404">
        <v>17.61213600088697</v>
      </c>
      <c r="H11" s="404">
        <v>19.306179011633638</v>
      </c>
      <c r="I11" s="404">
        <v>19.151461889984411</v>
      </c>
      <c r="J11" s="404">
        <v>19.605242177980752</v>
      </c>
      <c r="K11" s="404">
        <v>18.585740185658867</v>
      </c>
      <c r="L11" s="404">
        <v>0</v>
      </c>
      <c r="M11" s="404">
        <v>0</v>
      </c>
      <c r="N11" s="408">
        <v>18875</v>
      </c>
      <c r="O11" s="454" t="s">
        <v>231</v>
      </c>
    </row>
    <row r="12" spans="1:16" ht="41.25" customHeight="1" x14ac:dyDescent="0.2">
      <c r="A12" s="454" t="s">
        <v>229</v>
      </c>
      <c r="B12" s="438">
        <v>6.8341120880277984E-4</v>
      </c>
      <c r="C12" s="438">
        <v>7.0954232257555022E-4</v>
      </c>
      <c r="D12" s="438">
        <v>5.6043874052332323E-4</v>
      </c>
      <c r="E12" s="438">
        <v>1.5866235719174478E-3</v>
      </c>
      <c r="F12" s="438">
        <v>6.8697750568389893E-2</v>
      </c>
      <c r="G12" s="438">
        <v>7.0340965475354872E-2</v>
      </c>
      <c r="H12" s="438">
        <v>0.11306135995047432</v>
      </c>
      <c r="I12" s="438">
        <v>0.10836756229400635</v>
      </c>
      <c r="J12" s="438">
        <v>0.12986207008361816</v>
      </c>
      <c r="K12" s="438">
        <v>9.0669521263667521E-2</v>
      </c>
      <c r="L12" s="438">
        <v>7.844310998916626E-2</v>
      </c>
      <c r="M12" s="438">
        <v>5.0869039126804898E-2</v>
      </c>
      <c r="N12" s="408">
        <v>1215616</v>
      </c>
      <c r="O12" s="454" t="s">
        <v>232</v>
      </c>
      <c r="P12" s="1"/>
    </row>
    <row r="13" spans="1:16" ht="41.25" customHeight="1" x14ac:dyDescent="0.2">
      <c r="A13" s="454" t="s">
        <v>220</v>
      </c>
      <c r="B13" s="401">
        <v>2.0833333333333332E-2</v>
      </c>
      <c r="C13" s="401">
        <v>2.0833333333333332E-2</v>
      </c>
      <c r="D13" s="401">
        <v>2.0833333333333332E-2</v>
      </c>
      <c r="E13" s="401">
        <v>2.0833333333333332E-2</v>
      </c>
      <c r="F13" s="401">
        <v>2.0833333333333332E-2</v>
      </c>
      <c r="G13" s="401">
        <v>2.0833333333333332E-2</v>
      </c>
      <c r="H13" s="401">
        <v>2.0833333333333332E-2</v>
      </c>
      <c r="I13" s="401">
        <v>2.0833333333333332E-2</v>
      </c>
      <c r="J13" s="401">
        <v>2.0833333333333332E-2</v>
      </c>
      <c r="K13" s="401">
        <v>2.0833333333333332E-2</v>
      </c>
      <c r="L13" s="401">
        <v>2.0833333333333332E-2</v>
      </c>
      <c r="M13" s="401">
        <v>2.0833333333333332E-2</v>
      </c>
      <c r="N13" s="408">
        <v>1215616</v>
      </c>
      <c r="O13" s="454"/>
      <c r="P13" s="1"/>
    </row>
    <row r="14" spans="1:16" ht="41.25" customHeight="1" x14ac:dyDescent="0.2">
      <c r="A14" s="454" t="s">
        <v>142</v>
      </c>
      <c r="B14" s="401">
        <v>285.59676666666661</v>
      </c>
      <c r="C14" s="401">
        <v>188.21453</v>
      </c>
      <c r="D14" s="401">
        <v>407.8024666666667</v>
      </c>
      <c r="E14" s="401">
        <v>762.80273333333332</v>
      </c>
      <c r="F14" s="401">
        <v>560.57623333333345</v>
      </c>
      <c r="G14" s="401">
        <v>528.31623333333323</v>
      </c>
      <c r="H14" s="401">
        <v>619.28450000000009</v>
      </c>
      <c r="I14" s="401">
        <v>766.94086666666647</v>
      </c>
      <c r="J14" s="401">
        <v>922.61116666666669</v>
      </c>
      <c r="K14" s="401">
        <v>829.03436666666653</v>
      </c>
      <c r="L14" s="401">
        <v>493.95000000000005</v>
      </c>
      <c r="M14" s="401">
        <v>178.20893666666669</v>
      </c>
      <c r="N14" s="408">
        <v>5</v>
      </c>
      <c r="O14" s="457" t="s">
        <v>257</v>
      </c>
      <c r="P14" s="1"/>
    </row>
    <row r="16" spans="1:16" x14ac:dyDescent="0.2">
      <c r="A16" s="469" t="s">
        <v>255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</row>
    <row r="17" spans="1:26" x14ac:dyDescent="0.2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</row>
    <row r="18" spans="1:26" ht="15" x14ac:dyDescent="0.25">
      <c r="A18" s="327" t="s">
        <v>25</v>
      </c>
      <c r="B18" s="77"/>
      <c r="C18" s="77"/>
      <c r="D18" s="77"/>
      <c r="E18" s="77"/>
      <c r="F18" s="155"/>
      <c r="G18" s="77"/>
      <c r="H18" s="155"/>
      <c r="I18" s="77"/>
      <c r="J18" s="77"/>
      <c r="K18" s="77"/>
      <c r="L18" s="77"/>
      <c r="M18" s="77"/>
      <c r="N18" s="410"/>
      <c r="O18" s="77"/>
      <c r="P18" s="15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465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</row>
    <row r="27" spans="1:26" x14ac:dyDescent="0.2">
      <c r="D27"/>
      <c r="E27"/>
      <c r="F27"/>
      <c r="G27"/>
      <c r="H27"/>
      <c r="I27"/>
      <c r="J27"/>
      <c r="K27"/>
      <c r="L27"/>
      <c r="M27"/>
      <c r="N27" s="409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09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09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topLeftCell="A7" zoomScaleNormal="100" zoomScaleSheetLayoutView="100" workbookViewId="0">
      <selection activeCell="F10" sqref="F10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7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66" t="s">
        <v>129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71" t="s">
        <v>256</v>
      </c>
      <c r="O5" s="6"/>
    </row>
    <row r="6" spans="1:16" ht="39.950000000000003" customHeight="1" x14ac:dyDescent="0.2">
      <c r="A6" s="84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72"/>
      <c r="O6" s="455" t="s">
        <v>128</v>
      </c>
    </row>
    <row r="7" spans="1:16" ht="39.950000000000003" customHeight="1" x14ac:dyDescent="0.2">
      <c r="A7" s="454" t="s">
        <v>66</v>
      </c>
      <c r="B7" s="401">
        <v>72.727272727272734</v>
      </c>
      <c r="C7" s="401">
        <v>72.727272727272734</v>
      </c>
      <c r="D7" s="401">
        <v>72.727272727272734</v>
      </c>
      <c r="E7" s="401">
        <v>72.727272727272734</v>
      </c>
      <c r="F7" s="401">
        <v>72.727272727272734</v>
      </c>
      <c r="G7" s="401">
        <v>72.727272727272734</v>
      </c>
      <c r="H7" s="401">
        <v>72.727272727272734</v>
      </c>
      <c r="I7" s="401">
        <v>72.727272727272734</v>
      </c>
      <c r="J7" s="401">
        <v>72.727272727272734</v>
      </c>
      <c r="K7" s="401">
        <v>72.727272727272734</v>
      </c>
      <c r="L7" s="401">
        <v>72.727272727272734</v>
      </c>
      <c r="M7" s="401">
        <v>72.727272727272734</v>
      </c>
      <c r="N7" s="408">
        <v>5276</v>
      </c>
      <c r="O7" s="454" t="s">
        <v>72</v>
      </c>
    </row>
    <row r="8" spans="1:16" ht="39.950000000000003" customHeight="1" x14ac:dyDescent="0.2">
      <c r="A8" s="454" t="s">
        <v>67</v>
      </c>
      <c r="B8" s="401">
        <v>16.32100991884581</v>
      </c>
      <c r="C8" s="401">
        <v>16.32100991884581</v>
      </c>
      <c r="D8" s="401">
        <v>16.32100991884581</v>
      </c>
      <c r="E8" s="401">
        <v>16.32100991884581</v>
      </c>
      <c r="F8" s="401">
        <v>16.32100991884581</v>
      </c>
      <c r="G8" s="401">
        <v>16.32100991884581</v>
      </c>
      <c r="H8" s="401">
        <v>16.32100991884581</v>
      </c>
      <c r="I8" s="401">
        <v>16.32100991884581</v>
      </c>
      <c r="J8" s="401">
        <v>16.32100991884581</v>
      </c>
      <c r="K8" s="401">
        <v>16.32100991884581</v>
      </c>
      <c r="L8" s="401">
        <v>16.32100991884581</v>
      </c>
      <c r="M8" s="401">
        <v>16.32100991884581</v>
      </c>
      <c r="N8" s="408">
        <v>138123</v>
      </c>
      <c r="O8" s="454" t="s">
        <v>73</v>
      </c>
    </row>
    <row r="9" spans="1:16" ht="39.950000000000003" customHeight="1" x14ac:dyDescent="0.2">
      <c r="A9" s="454" t="s">
        <v>68</v>
      </c>
      <c r="B9" s="401">
        <v>0.43954433903520018</v>
      </c>
      <c r="C9" s="401">
        <v>0.43954433903520018</v>
      </c>
      <c r="D9" s="401">
        <v>0.43954433903520018</v>
      </c>
      <c r="E9" s="401">
        <v>0.43954433903520018</v>
      </c>
      <c r="F9" s="401">
        <v>0.43954433903520018</v>
      </c>
      <c r="G9" s="401">
        <v>0.43954433903520018</v>
      </c>
      <c r="H9" s="401">
        <v>0.43954433903520018</v>
      </c>
      <c r="I9" s="401">
        <v>0.43954433903520018</v>
      </c>
      <c r="J9" s="401">
        <v>0.43954433903520018</v>
      </c>
      <c r="K9" s="401">
        <v>0.43954433903520018</v>
      </c>
      <c r="L9" s="401">
        <v>0.43954433903520018</v>
      </c>
      <c r="M9" s="401">
        <v>0.43954433903520018</v>
      </c>
      <c r="N9" s="408">
        <v>663393.5</v>
      </c>
      <c r="O9" s="454" t="s">
        <v>75</v>
      </c>
    </row>
    <row r="10" spans="1:16" ht="39.950000000000003" customHeight="1" x14ac:dyDescent="0.2">
      <c r="A10" s="454" t="s">
        <v>69</v>
      </c>
      <c r="B10" s="401">
        <v>0.37040466709880548</v>
      </c>
      <c r="C10" s="401">
        <v>0.37040466709880548</v>
      </c>
      <c r="D10" s="401">
        <v>0.37040466709880548</v>
      </c>
      <c r="E10" s="401">
        <v>0.37040466709880548</v>
      </c>
      <c r="F10" s="401">
        <v>0.37040466709880548</v>
      </c>
      <c r="G10" s="401">
        <v>0.37040466709880548</v>
      </c>
      <c r="H10" s="401">
        <v>0.37040466709880548</v>
      </c>
      <c r="I10" s="401">
        <v>0.37040466709880548</v>
      </c>
      <c r="J10" s="401">
        <v>0.37040466709880548</v>
      </c>
      <c r="K10" s="401">
        <v>0.37040466709880548</v>
      </c>
      <c r="L10" s="401">
        <v>0.37040466709880548</v>
      </c>
      <c r="M10" s="401">
        <v>0.37040466709880548</v>
      </c>
      <c r="N10" s="408">
        <v>157189</v>
      </c>
      <c r="O10" s="454" t="s">
        <v>76</v>
      </c>
    </row>
    <row r="11" spans="1:16" ht="39.950000000000003" customHeight="1" x14ac:dyDescent="0.2">
      <c r="A11" s="454" t="s">
        <v>70</v>
      </c>
      <c r="B11" s="403">
        <v>53.67647058823529</v>
      </c>
      <c r="C11" s="403">
        <v>53.67647058823529</v>
      </c>
      <c r="D11" s="403">
        <v>53.67647058823529</v>
      </c>
      <c r="E11" s="403">
        <v>53.67647058823529</v>
      </c>
      <c r="F11" s="403">
        <v>53.67647058823529</v>
      </c>
      <c r="G11" s="403">
        <v>53.67647058823529</v>
      </c>
      <c r="H11" s="403">
        <v>53.67647058823529</v>
      </c>
      <c r="I11" s="403">
        <v>53.67647058823529</v>
      </c>
      <c r="J11" s="403">
        <v>53.67647058823529</v>
      </c>
      <c r="K11" s="403">
        <v>53.67647058823529</v>
      </c>
      <c r="L11" s="403">
        <v>53.67647058823529</v>
      </c>
      <c r="M11" s="403">
        <v>53.67647058823529</v>
      </c>
      <c r="N11" s="408">
        <v>18875</v>
      </c>
      <c r="O11" s="454" t="s">
        <v>231</v>
      </c>
    </row>
    <row r="12" spans="1:16" ht="39.950000000000003" customHeight="1" x14ac:dyDescent="0.2">
      <c r="A12" s="454" t="s">
        <v>71</v>
      </c>
      <c r="B12" s="406">
        <v>21.651376146788991</v>
      </c>
      <c r="C12" s="406">
        <v>21.651376146788991</v>
      </c>
      <c r="D12" s="406">
        <v>21.651376146788991</v>
      </c>
      <c r="E12" s="406">
        <v>21.651376146788991</v>
      </c>
      <c r="F12" s="406">
        <v>21.651376146788991</v>
      </c>
      <c r="G12" s="406">
        <v>21.651376146788991</v>
      </c>
      <c r="H12" s="406">
        <v>21.651376146788991</v>
      </c>
      <c r="I12" s="406">
        <v>21.651376146788991</v>
      </c>
      <c r="J12" s="406">
        <v>21.651376146788991</v>
      </c>
      <c r="K12" s="406">
        <v>21.651376146788991</v>
      </c>
      <c r="L12" s="406">
        <v>21.651376146788991</v>
      </c>
      <c r="M12" s="406">
        <v>21.651376146788991</v>
      </c>
      <c r="N12" s="408">
        <v>18875</v>
      </c>
      <c r="O12" s="454" t="s">
        <v>231</v>
      </c>
    </row>
    <row r="13" spans="1:16" ht="39.950000000000003" customHeight="1" x14ac:dyDescent="0.2">
      <c r="A13" s="454" t="s">
        <v>229</v>
      </c>
      <c r="B13" s="401">
        <v>2.3033589554596187E-3</v>
      </c>
      <c r="C13" s="401">
        <v>2.3033589554596187E-3</v>
      </c>
      <c r="D13" s="401">
        <v>2.3033589554596187E-3</v>
      </c>
      <c r="E13" s="401">
        <v>2.3033589554596187E-3</v>
      </c>
      <c r="F13" s="401">
        <v>0.11560028571428564</v>
      </c>
      <c r="G13" s="401">
        <v>0.11560028571428564</v>
      </c>
      <c r="H13" s="405">
        <v>0.11560028571428564</v>
      </c>
      <c r="I13" s="405">
        <v>0.11560028571428564</v>
      </c>
      <c r="J13" s="405">
        <v>0.11560028571428564</v>
      </c>
      <c r="K13" s="405">
        <v>0.11560028571428564</v>
      </c>
      <c r="L13" s="405">
        <v>0.11560028571428564</v>
      </c>
      <c r="M13" s="405">
        <v>0.11560028571428564</v>
      </c>
      <c r="N13" s="408">
        <v>1215616</v>
      </c>
      <c r="O13" s="454" t="s">
        <v>232</v>
      </c>
      <c r="P13" s="1"/>
    </row>
    <row r="14" spans="1:16" ht="39.950000000000003" customHeight="1" x14ac:dyDescent="0.2">
      <c r="A14" s="454" t="s">
        <v>246</v>
      </c>
      <c r="B14" s="401">
        <v>2.0833333333333332E-2</v>
      </c>
      <c r="C14" s="401">
        <v>2.0833333333333332E-2</v>
      </c>
      <c r="D14" s="401">
        <v>2.0833333333333332E-2</v>
      </c>
      <c r="E14" s="401">
        <v>2.0833333333333332E-2</v>
      </c>
      <c r="F14" s="401">
        <v>2.0833333333333332E-2</v>
      </c>
      <c r="G14" s="401">
        <v>2.0833333333333332E-2</v>
      </c>
      <c r="H14" s="401">
        <v>2.0833333333333332E-2</v>
      </c>
      <c r="I14" s="401">
        <v>2.0833333333333332E-2</v>
      </c>
      <c r="J14" s="401">
        <v>2.0833333333333332E-2</v>
      </c>
      <c r="K14" s="401">
        <v>2.0833333333333332E-2</v>
      </c>
      <c r="L14" s="401">
        <v>2.0833333333333332E-2</v>
      </c>
      <c r="M14" s="401">
        <v>2.0833333333333332E-2</v>
      </c>
      <c r="N14" s="408">
        <v>1215616</v>
      </c>
      <c r="O14" s="454"/>
      <c r="P14" s="1"/>
    </row>
    <row r="15" spans="1:16" ht="39.950000000000003" customHeight="1" x14ac:dyDescent="0.2">
      <c r="A15" s="454" t="s">
        <v>142</v>
      </c>
      <c r="B15" s="401">
        <v>850</v>
      </c>
      <c r="C15" s="401">
        <v>850</v>
      </c>
      <c r="D15" s="401">
        <v>850</v>
      </c>
      <c r="E15" s="401">
        <v>850</v>
      </c>
      <c r="F15" s="401">
        <v>850</v>
      </c>
      <c r="G15" s="401">
        <v>850</v>
      </c>
      <c r="H15" s="401">
        <v>850</v>
      </c>
      <c r="I15" s="401">
        <v>850</v>
      </c>
      <c r="J15" s="401">
        <v>850</v>
      </c>
      <c r="K15" s="401">
        <v>850</v>
      </c>
      <c r="L15" s="401">
        <v>850</v>
      </c>
      <c r="M15" s="401">
        <v>850</v>
      </c>
      <c r="N15" s="408">
        <v>6</v>
      </c>
      <c r="O15" s="456" t="s">
        <v>257</v>
      </c>
      <c r="P15" s="1"/>
    </row>
    <row r="16" spans="1:16" customFormat="1" ht="39.950000000000003" customHeight="1" x14ac:dyDescent="0.2">
      <c r="N16" s="409"/>
    </row>
    <row r="17" spans="1:26" customFormat="1" ht="39.950000000000003" customHeight="1" x14ac:dyDescent="0.2">
      <c r="N17" s="409"/>
    </row>
    <row r="18" spans="1:26" customFormat="1" ht="39.950000000000003" customHeight="1" x14ac:dyDescent="0.2">
      <c r="N18" s="409"/>
    </row>
    <row r="20" spans="1:26" ht="39.950000000000003" customHeight="1" x14ac:dyDescent="0.2">
      <c r="A20" s="469" t="s">
        <v>152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</row>
    <row r="21" spans="1:26" ht="39.950000000000003" customHeight="1" x14ac:dyDescent="0.2">
      <c r="A21" s="470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</row>
    <row r="22" spans="1:26" ht="39.950000000000003" customHeight="1" x14ac:dyDescent="0.25">
      <c r="A22" s="327" t="s">
        <v>25</v>
      </c>
      <c r="B22" s="77"/>
      <c r="C22" s="77"/>
      <c r="D22" s="77"/>
      <c r="E22" s="77"/>
      <c r="F22" s="155"/>
      <c r="G22" s="77"/>
      <c r="H22" s="155"/>
      <c r="I22" s="77"/>
      <c r="J22" s="77"/>
      <c r="K22" s="77"/>
      <c r="L22" s="77"/>
      <c r="M22" s="77"/>
      <c r="N22" s="410"/>
      <c r="O22" s="77"/>
      <c r="P22" s="15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39.950000000000003" customHeight="1" x14ac:dyDescent="0.2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topLeftCell="A7" zoomScale="75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6" customWidth="1"/>
    <col min="2" max="3" width="10.85546875" style="86" customWidth="1"/>
    <col min="4" max="4" width="10.7109375" style="86" customWidth="1"/>
    <col min="5" max="5" width="12.7109375" style="86" customWidth="1"/>
    <col min="6" max="8" width="10.5703125" style="86" customWidth="1"/>
    <col min="9" max="9" width="12.7109375" style="86" customWidth="1"/>
    <col min="10" max="12" width="10.7109375" style="86" customWidth="1"/>
    <col min="13" max="13" width="12.7109375" style="86" customWidth="1"/>
    <col min="14" max="16" width="10.7109375" style="86" customWidth="1"/>
    <col min="17" max="17" width="12.7109375" style="86" customWidth="1"/>
    <col min="18" max="20" width="10.7109375" style="86" customWidth="1"/>
    <col min="21" max="21" width="12.7109375" style="86" customWidth="1"/>
    <col min="22" max="24" width="10.7109375" style="86" customWidth="1"/>
    <col min="25" max="25" width="12.7109375" style="86" customWidth="1"/>
    <col min="26" max="16384" width="9.140625" style="86"/>
  </cols>
  <sheetData>
    <row r="1" spans="1:25" x14ac:dyDescent="0.2">
      <c r="A1" s="85" t="s">
        <v>130</v>
      </c>
    </row>
    <row r="3" spans="1:25" ht="21.75" customHeight="1" x14ac:dyDescent="0.2">
      <c r="A3" s="87">
        <v>2014</v>
      </c>
      <c r="B3" s="473" t="s">
        <v>0</v>
      </c>
      <c r="C3" s="473"/>
      <c r="D3" s="473"/>
      <c r="E3" s="473"/>
      <c r="F3" s="473" t="s">
        <v>1</v>
      </c>
      <c r="G3" s="473"/>
      <c r="H3" s="473"/>
      <c r="I3" s="473"/>
      <c r="J3" s="473" t="s">
        <v>2</v>
      </c>
      <c r="K3" s="473"/>
      <c r="L3" s="473"/>
      <c r="M3" s="473"/>
      <c r="N3" s="473" t="s">
        <v>3</v>
      </c>
      <c r="O3" s="473"/>
      <c r="P3" s="473"/>
      <c r="Q3" s="473"/>
      <c r="R3" s="473" t="s">
        <v>4</v>
      </c>
      <c r="S3" s="473"/>
      <c r="T3" s="473"/>
      <c r="U3" s="473"/>
      <c r="V3" s="473" t="s">
        <v>5</v>
      </c>
      <c r="W3" s="473"/>
      <c r="X3" s="473"/>
      <c r="Y3" s="473"/>
    </row>
    <row r="4" spans="1:25" ht="79.5" customHeight="1" x14ac:dyDescent="0.2">
      <c r="A4" s="88" t="s">
        <v>43</v>
      </c>
      <c r="B4" s="89" t="s">
        <v>131</v>
      </c>
      <c r="C4" s="89" t="s">
        <v>132</v>
      </c>
      <c r="D4" s="89" t="s">
        <v>133</v>
      </c>
      <c r="E4" s="89" t="s">
        <v>134</v>
      </c>
      <c r="F4" s="89" t="s">
        <v>131</v>
      </c>
      <c r="G4" s="89" t="s">
        <v>132</v>
      </c>
      <c r="H4" s="89" t="s">
        <v>133</v>
      </c>
      <c r="I4" s="89" t="s">
        <v>134</v>
      </c>
      <c r="J4" s="89" t="s">
        <v>131</v>
      </c>
      <c r="K4" s="89" t="s">
        <v>132</v>
      </c>
      <c r="L4" s="89" t="s">
        <v>133</v>
      </c>
      <c r="M4" s="89" t="s">
        <v>134</v>
      </c>
      <c r="N4" s="89" t="s">
        <v>131</v>
      </c>
      <c r="O4" s="89" t="s">
        <v>132</v>
      </c>
      <c r="P4" s="89" t="s">
        <v>133</v>
      </c>
      <c r="Q4" s="89" t="s">
        <v>134</v>
      </c>
      <c r="R4" s="89" t="s">
        <v>131</v>
      </c>
      <c r="S4" s="89" t="s">
        <v>132</v>
      </c>
      <c r="T4" s="89" t="s">
        <v>133</v>
      </c>
      <c r="U4" s="89" t="s">
        <v>134</v>
      </c>
      <c r="V4" s="89" t="s">
        <v>131</v>
      </c>
      <c r="W4" s="89" t="s">
        <v>132</v>
      </c>
      <c r="X4" s="89" t="s">
        <v>133</v>
      </c>
      <c r="Y4" s="89" t="s">
        <v>134</v>
      </c>
    </row>
    <row r="5" spans="1:25" x14ac:dyDescent="0.2">
      <c r="A5" s="90" t="s">
        <v>67</v>
      </c>
      <c r="B5" s="91"/>
      <c r="C5" s="92">
        <v>0</v>
      </c>
      <c r="D5" s="92"/>
      <c r="E5" s="93">
        <f>SUM(B5:D5)</f>
        <v>0</v>
      </c>
      <c r="F5" s="90"/>
      <c r="G5" s="94">
        <v>0</v>
      </c>
      <c r="H5" s="94">
        <v>0</v>
      </c>
      <c r="I5" s="95">
        <f>SUM(G5:H5)</f>
        <v>0</v>
      </c>
      <c r="J5" s="90"/>
      <c r="K5" s="94">
        <v>0</v>
      </c>
      <c r="L5" s="94">
        <v>0</v>
      </c>
      <c r="M5" s="95">
        <f>SUM(K5:L5)</f>
        <v>0</v>
      </c>
      <c r="N5" s="90"/>
      <c r="O5" s="94">
        <v>0</v>
      </c>
      <c r="P5" s="94">
        <v>0</v>
      </c>
      <c r="Q5" s="95">
        <f>SUM(O5:P5)</f>
        <v>0</v>
      </c>
      <c r="R5" s="90"/>
      <c r="S5" s="94">
        <v>0</v>
      </c>
      <c r="T5" s="94">
        <v>0</v>
      </c>
      <c r="U5" s="95">
        <f>SUM(S5:T5)</f>
        <v>0</v>
      </c>
      <c r="V5" s="90"/>
      <c r="W5" s="94">
        <v>0</v>
      </c>
      <c r="X5" s="94">
        <v>0</v>
      </c>
      <c r="Y5" s="95">
        <f>SUM(W5:X5)</f>
        <v>0</v>
      </c>
    </row>
    <row r="6" spans="1:25" x14ac:dyDescent="0.2">
      <c r="A6" s="90" t="s">
        <v>68</v>
      </c>
      <c r="B6" s="91"/>
      <c r="C6" s="92"/>
      <c r="D6" s="92"/>
      <c r="E6" s="93" t="s">
        <v>13</v>
      </c>
      <c r="F6" s="90"/>
      <c r="G6" s="94"/>
      <c r="H6" s="94"/>
      <c r="I6" s="93" t="s">
        <v>13</v>
      </c>
      <c r="J6" s="90"/>
      <c r="K6" s="94"/>
      <c r="L6" s="94"/>
      <c r="M6" s="93" t="s">
        <v>13</v>
      </c>
      <c r="N6" s="90"/>
      <c r="O6" s="94"/>
      <c r="P6" s="94"/>
      <c r="Q6" s="93" t="s">
        <v>13</v>
      </c>
      <c r="R6" s="90"/>
      <c r="S6" s="94"/>
      <c r="T6" s="94"/>
      <c r="U6" s="93" t="s">
        <v>13</v>
      </c>
      <c r="V6" s="90"/>
      <c r="W6" s="94"/>
      <c r="X6" s="94"/>
      <c r="Y6" s="93" t="s">
        <v>13</v>
      </c>
    </row>
    <row r="7" spans="1:25" x14ac:dyDescent="0.2">
      <c r="A7" s="90" t="s">
        <v>69</v>
      </c>
      <c r="B7" s="91"/>
      <c r="C7" s="92"/>
      <c r="D7" s="92"/>
      <c r="E7" s="93" t="s">
        <v>13</v>
      </c>
      <c r="F7" s="90"/>
      <c r="G7" s="94"/>
      <c r="H7" s="94"/>
      <c r="I7" s="93" t="s">
        <v>13</v>
      </c>
      <c r="J7" s="90"/>
      <c r="K7" s="94"/>
      <c r="L7" s="94"/>
      <c r="M7" s="93" t="s">
        <v>13</v>
      </c>
      <c r="N7" s="90"/>
      <c r="O7" s="94"/>
      <c r="P7" s="94"/>
      <c r="Q7" s="93" t="s">
        <v>13</v>
      </c>
      <c r="R7" s="90"/>
      <c r="S7" s="94"/>
      <c r="T7" s="94"/>
      <c r="U7" s="93" t="s">
        <v>13</v>
      </c>
      <c r="V7" s="90"/>
      <c r="W7" s="94"/>
      <c r="X7" s="94"/>
      <c r="Y7" s="93" t="s">
        <v>13</v>
      </c>
    </row>
    <row r="8" spans="1:25" x14ac:dyDescent="0.2">
      <c r="A8" s="90" t="s">
        <v>135</v>
      </c>
      <c r="B8" s="97"/>
      <c r="C8" s="97" t="s">
        <v>136</v>
      </c>
      <c r="D8" s="92">
        <v>0</v>
      </c>
      <c r="E8" s="93">
        <f>SUM(B8:D8)</f>
        <v>0</v>
      </c>
      <c r="F8" s="90"/>
      <c r="G8" s="94">
        <v>0</v>
      </c>
      <c r="H8" s="98"/>
      <c r="I8" s="95">
        <f>SUM(G8:H8)</f>
        <v>0</v>
      </c>
      <c r="J8" s="96"/>
      <c r="K8" s="94">
        <v>0</v>
      </c>
      <c r="L8" s="98">
        <v>0</v>
      </c>
      <c r="M8" s="95">
        <f>SUM(K8:L8)</f>
        <v>0</v>
      </c>
      <c r="N8" s="96"/>
      <c r="O8" s="94">
        <v>0</v>
      </c>
      <c r="P8" s="98">
        <v>0</v>
      </c>
      <c r="Q8" s="95">
        <f>SUM(O8:P8)</f>
        <v>0</v>
      </c>
      <c r="R8" s="96"/>
      <c r="S8" s="94">
        <v>0</v>
      </c>
      <c r="T8" s="98">
        <v>0</v>
      </c>
      <c r="U8" s="95">
        <f>SUM(S8:T8)</f>
        <v>0</v>
      </c>
      <c r="V8" s="96"/>
      <c r="W8" s="94">
        <v>0</v>
      </c>
      <c r="X8" s="98">
        <v>0</v>
      </c>
      <c r="Y8" s="95">
        <f>SUM(W8:X8)</f>
        <v>0</v>
      </c>
    </row>
    <row r="9" spans="1:25" x14ac:dyDescent="0.2">
      <c r="A9" s="90" t="s">
        <v>65</v>
      </c>
      <c r="B9" s="91"/>
      <c r="C9" s="92">
        <v>0</v>
      </c>
      <c r="D9" s="92"/>
      <c r="E9" s="93">
        <f>SUM(B9:D9)</f>
        <v>0</v>
      </c>
      <c r="F9" s="90"/>
      <c r="G9" s="92">
        <v>0</v>
      </c>
      <c r="H9" s="94"/>
      <c r="I9" s="93"/>
      <c r="J9" s="90"/>
      <c r="K9" s="92">
        <v>0</v>
      </c>
      <c r="L9" s="94"/>
      <c r="M9" s="95">
        <f>SUM(K9:L9)</f>
        <v>0</v>
      </c>
      <c r="N9" s="90"/>
      <c r="O9" s="92">
        <v>0</v>
      </c>
      <c r="P9" s="94"/>
      <c r="Q9" s="95">
        <f>SUM(O9:P9)</f>
        <v>0</v>
      </c>
      <c r="R9" s="90"/>
      <c r="S9" s="92">
        <v>0</v>
      </c>
      <c r="T9" s="94"/>
      <c r="U9" s="95">
        <f>SUM(S9:T9)</f>
        <v>0</v>
      </c>
      <c r="V9" s="90"/>
      <c r="W9" s="92">
        <v>0</v>
      </c>
      <c r="X9" s="94"/>
      <c r="Y9" s="95">
        <f>SUM(W9:X9)</f>
        <v>0</v>
      </c>
    </row>
    <row r="10" spans="1:25" x14ac:dyDescent="0.2">
      <c r="A10" s="90" t="s">
        <v>32</v>
      </c>
      <c r="B10" s="97"/>
      <c r="C10" s="92" t="s">
        <v>13</v>
      </c>
      <c r="D10" s="92" t="s">
        <v>13</v>
      </c>
      <c r="E10" s="93" t="s">
        <v>137</v>
      </c>
      <c r="F10" s="97"/>
      <c r="G10" s="92">
        <v>0</v>
      </c>
      <c r="H10" s="92">
        <v>0</v>
      </c>
      <c r="I10" s="93">
        <f>SUM(F10:H10)</f>
        <v>0</v>
      </c>
      <c r="J10" s="96"/>
      <c r="K10" s="92">
        <v>0</v>
      </c>
      <c r="L10" s="92">
        <v>0</v>
      </c>
      <c r="M10" s="95">
        <f>SUM(K10:L10)</f>
        <v>0</v>
      </c>
      <c r="N10" s="96"/>
      <c r="O10" s="92">
        <v>0</v>
      </c>
      <c r="P10" s="92">
        <v>0</v>
      </c>
      <c r="Q10" s="95">
        <f>SUM(O10:P10)</f>
        <v>0</v>
      </c>
      <c r="R10" s="96"/>
      <c r="S10" s="92">
        <v>0</v>
      </c>
      <c r="T10" s="92">
        <v>0</v>
      </c>
      <c r="U10" s="95">
        <f>SUM(S10:T10)</f>
        <v>0</v>
      </c>
      <c r="V10" s="96"/>
      <c r="W10" s="92">
        <v>0</v>
      </c>
      <c r="X10" s="92">
        <v>0</v>
      </c>
      <c r="Y10" s="95">
        <f>SUM(W10:X10)</f>
        <v>0</v>
      </c>
    </row>
    <row r="11" spans="1:25" s="85" customFormat="1" x14ac:dyDescent="0.2">
      <c r="A11" s="99" t="s">
        <v>58</v>
      </c>
      <c r="B11" s="100"/>
      <c r="C11" s="101">
        <f>SUM(C5:C10)</f>
        <v>0</v>
      </c>
      <c r="D11" s="101">
        <f>SUM(D5:D10)</f>
        <v>0</v>
      </c>
      <c r="E11" s="101">
        <f>SUM(E5:E10)</f>
        <v>0</v>
      </c>
      <c r="F11" s="99"/>
      <c r="G11" s="95">
        <f>SUM(G5:G10)</f>
        <v>0</v>
      </c>
      <c r="H11" s="95">
        <f t="shared" ref="H11:M11" si="0">SUM(H5:H10)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ref="N11:U11" si="1">SUM(N5:N10)</f>
        <v>0</v>
      </c>
      <c r="O11" s="95">
        <f t="shared" si="1"/>
        <v>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S11" s="95">
        <f t="shared" si="1"/>
        <v>0</v>
      </c>
      <c r="T11" s="95">
        <f t="shared" si="1"/>
        <v>0</v>
      </c>
      <c r="U11" s="95">
        <f t="shared" si="1"/>
        <v>0</v>
      </c>
      <c r="V11" s="95">
        <f>SUM(V5:V10)</f>
        <v>0</v>
      </c>
      <c r="W11" s="95">
        <f>SUM(W5:W10)</f>
        <v>0</v>
      </c>
      <c r="X11" s="95">
        <f>SUM(X5:X10)</f>
        <v>0</v>
      </c>
      <c r="Y11" s="95">
        <f>SUM(Y5:Y10)</f>
        <v>0</v>
      </c>
    </row>
    <row r="12" spans="1:25" ht="3.95" customHeight="1" x14ac:dyDescent="0.2">
      <c r="A12" s="99"/>
      <c r="B12" s="99"/>
      <c r="C12" s="103"/>
      <c r="D12" s="103"/>
      <c r="E12" s="104"/>
      <c r="F12" s="99"/>
      <c r="G12" s="96"/>
      <c r="H12" s="96"/>
      <c r="I12" s="95"/>
      <c r="J12" s="102"/>
      <c r="K12" s="96"/>
      <c r="L12" s="105"/>
      <c r="M12" s="95"/>
      <c r="N12" s="102"/>
      <c r="O12" s="96"/>
      <c r="P12" s="105"/>
      <c r="Q12" s="95"/>
      <c r="R12" s="102"/>
      <c r="S12" s="96"/>
      <c r="T12" s="105"/>
      <c r="U12" s="95"/>
      <c r="V12" s="102"/>
      <c r="W12" s="96"/>
      <c r="X12" s="105"/>
      <c r="Y12" s="95"/>
    </row>
    <row r="13" spans="1:25" x14ac:dyDescent="0.2">
      <c r="A13" s="106" t="s">
        <v>22</v>
      </c>
      <c r="B13" s="106"/>
      <c r="C13" s="89"/>
      <c r="D13" s="89"/>
      <c r="E13" s="88"/>
      <c r="F13" s="106"/>
      <c r="G13" s="107"/>
      <c r="H13" s="108"/>
      <c r="I13" s="108"/>
      <c r="J13" s="109"/>
      <c r="K13" s="107"/>
      <c r="L13" s="108"/>
      <c r="M13" s="95">
        <f>SUM(K13:L13)</f>
        <v>0</v>
      </c>
      <c r="N13" s="109"/>
      <c r="O13" s="107"/>
      <c r="P13" s="108"/>
      <c r="Q13" s="95">
        <f>SUM(O13:P13)</f>
        <v>0</v>
      </c>
      <c r="R13" s="109"/>
      <c r="S13" s="107"/>
      <c r="T13" s="108"/>
      <c r="U13" s="95">
        <f>SUM(S13:T13)</f>
        <v>0</v>
      </c>
      <c r="V13" s="109"/>
      <c r="W13" s="107"/>
      <c r="X13" s="108"/>
      <c r="Y13" s="95">
        <f>SUM(W13:X13)</f>
        <v>0</v>
      </c>
    </row>
    <row r="14" spans="1:25" x14ac:dyDescent="0.2">
      <c r="A14" s="90" t="s">
        <v>12</v>
      </c>
      <c r="B14" s="97"/>
      <c r="C14" s="97"/>
      <c r="D14" s="92">
        <v>0</v>
      </c>
      <c r="E14" s="93">
        <f>SUM(B14:D14)</f>
        <v>0</v>
      </c>
      <c r="F14" s="90"/>
      <c r="G14" s="94"/>
      <c r="H14" s="92">
        <v>0</v>
      </c>
      <c r="I14" s="93">
        <f>SUM(F14:H14)</f>
        <v>0</v>
      </c>
      <c r="J14" s="96"/>
      <c r="K14" s="92" t="s">
        <v>13</v>
      </c>
      <c r="L14" s="92">
        <v>0</v>
      </c>
      <c r="M14" s="95">
        <f>SUM(K14:L14)</f>
        <v>0</v>
      </c>
      <c r="N14" s="96"/>
      <c r="O14" s="92" t="s">
        <v>13</v>
      </c>
      <c r="P14" s="92">
        <v>0</v>
      </c>
      <c r="Q14" s="95">
        <f>SUM(O14:P14)</f>
        <v>0</v>
      </c>
      <c r="R14" s="96"/>
      <c r="S14" s="92" t="s">
        <v>13</v>
      </c>
      <c r="T14" s="92">
        <v>0</v>
      </c>
      <c r="U14" s="95">
        <f>SUM(S14:T14)</f>
        <v>0</v>
      </c>
      <c r="V14" s="96"/>
      <c r="W14" s="92" t="s">
        <v>13</v>
      </c>
      <c r="X14" s="92">
        <v>0</v>
      </c>
      <c r="Y14" s="95">
        <f>SUM(W14:X14)</f>
        <v>0</v>
      </c>
    </row>
    <row r="15" spans="1:25" x14ac:dyDescent="0.2">
      <c r="A15" s="90" t="s">
        <v>14</v>
      </c>
      <c r="B15" s="97"/>
      <c r="C15" s="97"/>
      <c r="D15" s="92">
        <v>0</v>
      </c>
      <c r="E15" s="93">
        <f>SUM(B15:D15)</f>
        <v>0</v>
      </c>
      <c r="F15" s="90"/>
      <c r="G15" s="94"/>
      <c r="H15" s="94"/>
      <c r="I15" s="96"/>
      <c r="J15" s="96"/>
      <c r="K15" s="94"/>
      <c r="L15" s="94"/>
      <c r="M15" s="95">
        <f>SUM(K15:L15)</f>
        <v>0</v>
      </c>
      <c r="N15" s="96"/>
      <c r="O15" s="94"/>
      <c r="P15" s="94"/>
      <c r="Q15" s="95">
        <f>SUM(O15:P15)</f>
        <v>0</v>
      </c>
      <c r="R15" s="96"/>
      <c r="S15" s="94"/>
      <c r="T15" s="94"/>
      <c r="U15" s="95">
        <f>SUM(S15:T15)</f>
        <v>0</v>
      </c>
      <c r="V15" s="96"/>
      <c r="W15" s="94"/>
      <c r="X15" s="94"/>
      <c r="Y15" s="95">
        <f>SUM(W15:X15)</f>
        <v>0</v>
      </c>
    </row>
    <row r="16" spans="1:25" x14ac:dyDescent="0.2">
      <c r="A16" s="90" t="s">
        <v>28</v>
      </c>
      <c r="B16" s="97"/>
      <c r="C16" s="97"/>
      <c r="D16" s="92">
        <v>0.03</v>
      </c>
      <c r="E16" s="93">
        <f>SUM(B16:D16)</f>
        <v>0.03</v>
      </c>
      <c r="F16" s="90"/>
      <c r="G16" s="94"/>
      <c r="H16" s="94"/>
      <c r="I16" s="96"/>
      <c r="J16" s="96"/>
      <c r="K16" s="94"/>
      <c r="L16" s="94"/>
      <c r="M16" s="95">
        <f>SUM(K16:L16)</f>
        <v>0</v>
      </c>
      <c r="N16" s="96"/>
      <c r="O16" s="94"/>
      <c r="P16" s="94"/>
      <c r="Q16" s="95">
        <f>SUM(O16:P16)</f>
        <v>0</v>
      </c>
      <c r="R16" s="96"/>
      <c r="S16" s="94"/>
      <c r="T16" s="94"/>
      <c r="U16" s="95">
        <f>SUM(S16:T16)</f>
        <v>0</v>
      </c>
      <c r="V16" s="96"/>
      <c r="W16" s="94"/>
      <c r="X16" s="94"/>
      <c r="Y16" s="95">
        <f>SUM(W16:X16)</f>
        <v>0</v>
      </c>
    </row>
    <row r="17" spans="1:25" x14ac:dyDescent="0.2">
      <c r="A17" s="90"/>
      <c r="B17" s="91"/>
      <c r="C17" s="92"/>
      <c r="D17" s="92"/>
      <c r="E17" s="110"/>
      <c r="F17" s="90"/>
      <c r="G17" s="94"/>
      <c r="H17" s="94"/>
      <c r="I17" s="96"/>
      <c r="J17" s="96"/>
      <c r="K17" s="94"/>
      <c r="L17" s="94"/>
      <c r="M17" s="95" t="s">
        <v>13</v>
      </c>
      <c r="N17" s="96"/>
      <c r="O17" s="94"/>
      <c r="P17" s="94"/>
      <c r="Q17" s="95" t="s">
        <v>13</v>
      </c>
      <c r="R17" s="96"/>
      <c r="S17" s="94"/>
      <c r="T17" s="94"/>
      <c r="U17" s="95" t="s">
        <v>13</v>
      </c>
      <c r="V17" s="96"/>
      <c r="W17" s="94"/>
      <c r="X17" s="94"/>
      <c r="Y17" s="95" t="s">
        <v>13</v>
      </c>
    </row>
    <row r="18" spans="1:25" s="85" customFormat="1" x14ac:dyDescent="0.2">
      <c r="A18" s="99" t="s">
        <v>58</v>
      </c>
      <c r="B18" s="100"/>
      <c r="C18" s="101"/>
      <c r="D18" s="101">
        <f>SUM(D14:D17)</f>
        <v>0.03</v>
      </c>
      <c r="E18" s="101">
        <f>SUM(E14:E17)</f>
        <v>0.03</v>
      </c>
      <c r="F18" s="99"/>
      <c r="G18" s="111">
        <f>SUM(G13:G17)</f>
        <v>0</v>
      </c>
      <c r="H18" s="111">
        <f>SUM(H13:H17)</f>
        <v>0</v>
      </c>
      <c r="I18" s="95">
        <f>SUM(I13:I17)</f>
        <v>0</v>
      </c>
      <c r="J18" s="102"/>
      <c r="K18" s="111">
        <f>SUM(K13:K17)</f>
        <v>0</v>
      </c>
      <c r="L18" s="111">
        <f>SUM(L13:L17)</f>
        <v>0</v>
      </c>
      <c r="M18" s="95">
        <f>SUM(M13:M17)</f>
        <v>0</v>
      </c>
      <c r="N18" s="102"/>
      <c r="O18" s="111">
        <f>SUM(O13:O17)</f>
        <v>0</v>
      </c>
      <c r="P18" s="111">
        <f>SUM(P13:P17)</f>
        <v>0</v>
      </c>
      <c r="Q18" s="95">
        <f>SUM(Q13:Q17)</f>
        <v>0</v>
      </c>
      <c r="R18" s="102"/>
      <c r="S18" s="111">
        <f>SUM(S13:S17)</f>
        <v>0</v>
      </c>
      <c r="T18" s="111">
        <f>SUM(T13:T17)</f>
        <v>0</v>
      </c>
      <c r="U18" s="95">
        <f>SUM(U13:U17)</f>
        <v>0</v>
      </c>
      <c r="V18" s="102"/>
      <c r="W18" s="111">
        <f>SUM(W13:W17)</f>
        <v>0</v>
      </c>
      <c r="X18" s="111">
        <f>SUM(X13:X17)</f>
        <v>0</v>
      </c>
      <c r="Y18" s="95">
        <f>SUM(Y13:Y17)</f>
        <v>0</v>
      </c>
    </row>
    <row r="19" spans="1:25" ht="3.95" customHeight="1" x14ac:dyDescent="0.2">
      <c r="A19" s="99"/>
      <c r="B19" s="99"/>
      <c r="C19" s="103"/>
      <c r="D19" s="103"/>
      <c r="E19" s="104"/>
      <c r="F19" s="99"/>
      <c r="G19" s="96"/>
      <c r="H19" s="105"/>
      <c r="I19" s="95"/>
      <c r="J19" s="102"/>
      <c r="K19" s="96"/>
      <c r="L19" s="105"/>
      <c r="M19" s="95">
        <f>SUM(M13:M17)</f>
        <v>0</v>
      </c>
      <c r="N19" s="102"/>
      <c r="O19" s="96"/>
      <c r="P19" s="105"/>
      <c r="Q19" s="95">
        <f>SUM(Q13:Q17)</f>
        <v>0</v>
      </c>
      <c r="R19" s="102"/>
      <c r="S19" s="96"/>
      <c r="T19" s="105"/>
      <c r="U19" s="95">
        <f>SUM(U13:U17)</f>
        <v>0</v>
      </c>
      <c r="V19" s="102"/>
      <c r="W19" s="96"/>
      <c r="X19" s="105"/>
      <c r="Y19" s="95">
        <f>SUM(Y13:Y17)</f>
        <v>0</v>
      </c>
    </row>
    <row r="20" spans="1:25" s="85" customFormat="1" ht="17.25" customHeight="1" x14ac:dyDescent="0.2">
      <c r="A20" s="99" t="s">
        <v>134</v>
      </c>
      <c r="B20" s="99"/>
      <c r="C20" s="101">
        <f>C11+C18</f>
        <v>0</v>
      </c>
      <c r="D20" s="101">
        <f>D11+D18</f>
        <v>0.03</v>
      </c>
      <c r="E20" s="101">
        <f>E11+E18</f>
        <v>0.03</v>
      </c>
      <c r="F20" s="99"/>
      <c r="G20" s="95">
        <f>G11+G18</f>
        <v>0</v>
      </c>
      <c r="H20" s="111">
        <f>H11+H18</f>
        <v>0</v>
      </c>
      <c r="I20" s="95">
        <f>I11+I18</f>
        <v>0</v>
      </c>
      <c r="J20" s="102"/>
      <c r="K20" s="95">
        <f>K11+K18</f>
        <v>0</v>
      </c>
      <c r="L20" s="111">
        <f>L11+L18</f>
        <v>0</v>
      </c>
      <c r="M20" s="95">
        <f>M11+M18</f>
        <v>0</v>
      </c>
      <c r="N20" s="102"/>
      <c r="O20" s="95">
        <f>O11+O18</f>
        <v>0</v>
      </c>
      <c r="P20" s="111">
        <f>P11+P18</f>
        <v>0</v>
      </c>
      <c r="Q20" s="95">
        <f>Q11+Q18</f>
        <v>0</v>
      </c>
      <c r="R20" s="102"/>
      <c r="S20" s="95">
        <f>S11+S18</f>
        <v>0</v>
      </c>
      <c r="T20" s="111">
        <f>T11+T18</f>
        <v>0</v>
      </c>
      <c r="U20" s="95">
        <f>U11+U18</f>
        <v>0</v>
      </c>
      <c r="V20" s="102"/>
      <c r="W20" s="95">
        <f>W11+W18</f>
        <v>0</v>
      </c>
      <c r="X20" s="111">
        <f>X11+X18</f>
        <v>0</v>
      </c>
      <c r="Y20" s="95">
        <f>Y11+Y18</f>
        <v>0</v>
      </c>
    </row>
    <row r="21" spans="1:25" ht="17.25" customHeight="1" x14ac:dyDescent="0.2">
      <c r="A21" s="112"/>
      <c r="B21" s="113"/>
      <c r="C21" s="114"/>
      <c r="D21" s="114"/>
      <c r="E21" s="115"/>
      <c r="F21" s="113"/>
      <c r="G21" s="116"/>
      <c r="H21" s="117"/>
      <c r="I21" s="118"/>
      <c r="J21" s="118"/>
      <c r="K21" s="116"/>
      <c r="L21" s="117"/>
      <c r="M21" s="118"/>
      <c r="N21" s="118"/>
      <c r="O21" s="116"/>
      <c r="P21" s="117"/>
      <c r="Q21" s="118"/>
      <c r="R21" s="118"/>
      <c r="S21" s="116"/>
      <c r="T21" s="117"/>
      <c r="U21" s="118"/>
      <c r="V21" s="118"/>
      <c r="W21" s="116"/>
      <c r="X21" s="117"/>
      <c r="Y21" s="118"/>
    </row>
    <row r="22" spans="1:25" x14ac:dyDescent="0.2">
      <c r="A22" s="88" t="s">
        <v>64</v>
      </c>
      <c r="B22" s="119"/>
      <c r="C22" s="120"/>
      <c r="D22" s="120"/>
      <c r="E22" s="121"/>
      <c r="F22" s="122"/>
      <c r="G22" s="123"/>
      <c r="H22" s="123"/>
      <c r="I22" s="124"/>
      <c r="J22" s="124"/>
      <c r="K22" s="123"/>
      <c r="L22" s="123"/>
      <c r="M22" s="124"/>
      <c r="N22" s="124"/>
      <c r="O22" s="123"/>
      <c r="P22" s="123"/>
      <c r="Q22" s="124"/>
      <c r="R22" s="124"/>
      <c r="S22" s="123"/>
      <c r="T22" s="123"/>
      <c r="U22" s="124"/>
      <c r="V22" s="124"/>
      <c r="W22" s="123"/>
      <c r="X22" s="123"/>
      <c r="Y22" s="125"/>
    </row>
    <row r="23" spans="1:25" x14ac:dyDescent="0.2">
      <c r="A23" s="126" t="s">
        <v>138</v>
      </c>
      <c r="B23" s="91">
        <v>0</v>
      </c>
      <c r="C23" s="97"/>
      <c r="D23" s="97"/>
      <c r="E23" s="110"/>
      <c r="F23" s="91">
        <v>0</v>
      </c>
      <c r="G23" s="94"/>
      <c r="H23" s="94"/>
      <c r="I23" s="96"/>
      <c r="J23" s="91">
        <v>0</v>
      </c>
      <c r="K23" s="94"/>
      <c r="L23" s="94"/>
      <c r="M23" s="96"/>
      <c r="N23" s="91">
        <v>0</v>
      </c>
      <c r="O23" s="94"/>
      <c r="P23" s="94"/>
      <c r="Q23" s="96"/>
      <c r="R23" s="91">
        <v>0</v>
      </c>
      <c r="S23" s="94"/>
      <c r="T23" s="94"/>
      <c r="U23" s="96"/>
      <c r="V23" s="96"/>
      <c r="W23" s="94"/>
      <c r="X23" s="94"/>
      <c r="Y23" s="96"/>
    </row>
    <row r="24" spans="1:25" x14ac:dyDescent="0.2">
      <c r="A24" s="90"/>
      <c r="B24" s="90"/>
      <c r="C24" s="127"/>
      <c r="D24" s="127"/>
      <c r="E24" s="128"/>
      <c r="F24" s="90"/>
      <c r="G24" s="94"/>
      <c r="H24" s="94"/>
      <c r="I24" s="96"/>
      <c r="J24" s="96"/>
      <c r="K24" s="94"/>
      <c r="L24" s="94"/>
      <c r="M24" s="96"/>
      <c r="N24" s="96"/>
      <c r="O24" s="94"/>
      <c r="P24" s="94"/>
      <c r="Q24" s="96"/>
      <c r="R24" s="96"/>
      <c r="S24" s="94"/>
      <c r="T24" s="94"/>
      <c r="U24" s="96"/>
      <c r="V24" s="96"/>
      <c r="W24" s="94"/>
      <c r="X24" s="94"/>
      <c r="Y24" s="96"/>
    </row>
    <row r="25" spans="1:25" s="85" customFormat="1" x14ac:dyDescent="0.2">
      <c r="A25" s="129" t="s">
        <v>58</v>
      </c>
      <c r="B25" s="101">
        <f>SUM(B23:B24)</f>
        <v>0</v>
      </c>
      <c r="C25" s="101"/>
      <c r="D25" s="101"/>
      <c r="E25" s="101"/>
      <c r="F25" s="130">
        <f>SUM(F23:F24)</f>
        <v>0</v>
      </c>
      <c r="G25" s="131"/>
      <c r="H25" s="131"/>
      <c r="I25" s="95"/>
      <c r="J25" s="95">
        <f>SUM(J23:J24)</f>
        <v>0</v>
      </c>
      <c r="K25" s="131"/>
      <c r="L25" s="131"/>
      <c r="M25" s="95"/>
      <c r="N25" s="95">
        <f>SUM(N23:N24)</f>
        <v>0</v>
      </c>
      <c r="O25" s="131"/>
      <c r="P25" s="131"/>
      <c r="Q25" s="95"/>
      <c r="R25" s="95">
        <f>SUM(R23:R24)</f>
        <v>0</v>
      </c>
      <c r="S25" s="131"/>
      <c r="T25" s="131"/>
      <c r="U25" s="95"/>
      <c r="V25" s="95">
        <f>SUM(V23:V24)</f>
        <v>0</v>
      </c>
      <c r="W25" s="131"/>
      <c r="X25" s="131"/>
      <c r="Y25" s="95"/>
    </row>
    <row r="26" spans="1:25" ht="3.95" customHeight="1" x14ac:dyDescent="0.2">
      <c r="A26" s="99"/>
      <c r="B26" s="103"/>
      <c r="C26" s="103"/>
      <c r="D26" s="103"/>
      <c r="E26" s="104"/>
      <c r="F26" s="99"/>
      <c r="G26" s="96"/>
      <c r="H26" s="105"/>
      <c r="I26" s="95"/>
      <c r="J26" s="102"/>
      <c r="K26" s="96"/>
      <c r="L26" s="105"/>
      <c r="M26" s="95"/>
      <c r="N26" s="102"/>
      <c r="O26" s="96"/>
      <c r="P26" s="105"/>
      <c r="Q26" s="95"/>
      <c r="R26" s="102"/>
      <c r="S26" s="96"/>
      <c r="T26" s="105"/>
      <c r="U26" s="95"/>
      <c r="V26" s="102"/>
      <c r="W26" s="96"/>
      <c r="X26" s="105"/>
      <c r="Y26" s="95"/>
    </row>
    <row r="27" spans="1:25" s="85" customFormat="1" x14ac:dyDescent="0.2">
      <c r="A27" s="99" t="s">
        <v>139</v>
      </c>
      <c r="B27" s="132">
        <f>B25</f>
        <v>0</v>
      </c>
      <c r="C27" s="132" t="s">
        <v>140</v>
      </c>
      <c r="D27" s="132" t="s">
        <v>140</v>
      </c>
      <c r="E27" s="133" t="s">
        <v>140</v>
      </c>
      <c r="F27" s="130">
        <f>F25</f>
        <v>0</v>
      </c>
      <c r="G27" s="132" t="s">
        <v>140</v>
      </c>
      <c r="H27" s="132" t="s">
        <v>140</v>
      </c>
      <c r="I27" s="133" t="s">
        <v>140</v>
      </c>
      <c r="J27" s="102">
        <f>J25</f>
        <v>0</v>
      </c>
      <c r="K27" s="132" t="s">
        <v>140</v>
      </c>
      <c r="L27" s="132" t="s">
        <v>140</v>
      </c>
      <c r="M27" s="133" t="s">
        <v>140</v>
      </c>
      <c r="N27" s="102">
        <f>N25</f>
        <v>0</v>
      </c>
      <c r="O27" s="132" t="s">
        <v>140</v>
      </c>
      <c r="P27" s="132" t="s">
        <v>140</v>
      </c>
      <c r="Q27" s="133" t="s">
        <v>140</v>
      </c>
      <c r="R27" s="102">
        <f>R25</f>
        <v>0</v>
      </c>
      <c r="S27" s="132" t="s">
        <v>140</v>
      </c>
      <c r="T27" s="132" t="s">
        <v>140</v>
      </c>
      <c r="U27" s="133" t="s">
        <v>140</v>
      </c>
      <c r="V27" s="102">
        <f>V25</f>
        <v>0</v>
      </c>
      <c r="W27" s="132" t="s">
        <v>140</v>
      </c>
      <c r="X27" s="132" t="s">
        <v>140</v>
      </c>
      <c r="Y27" s="133" t="s">
        <v>140</v>
      </c>
    </row>
    <row r="28" spans="1:25" x14ac:dyDescent="0.2">
      <c r="A28" s="134"/>
      <c r="B28" s="134"/>
      <c r="C28" s="135"/>
      <c r="D28" s="135"/>
      <c r="E28" s="136"/>
      <c r="F28" s="134"/>
      <c r="G28" s="135"/>
      <c r="H28" s="136"/>
      <c r="I28" s="134"/>
      <c r="J28" s="134"/>
      <c r="K28" s="135"/>
      <c r="L28" s="136"/>
      <c r="M28" s="134"/>
      <c r="N28" s="134"/>
      <c r="O28" s="135"/>
      <c r="P28" s="136"/>
      <c r="Q28" s="134"/>
      <c r="R28" s="134"/>
      <c r="S28" s="135"/>
      <c r="T28" s="136"/>
      <c r="U28" s="134"/>
      <c r="V28" s="134"/>
      <c r="W28" s="135"/>
      <c r="X28" s="136"/>
      <c r="Y28" s="134"/>
    </row>
    <row r="30" spans="1:25" x14ac:dyDescent="0.2">
      <c r="A30" s="137"/>
      <c r="B30" s="473" t="s">
        <v>6</v>
      </c>
      <c r="C30" s="473"/>
      <c r="D30" s="473"/>
      <c r="E30" s="473"/>
      <c r="F30" s="473" t="s">
        <v>7</v>
      </c>
      <c r="G30" s="473"/>
      <c r="H30" s="473"/>
      <c r="I30" s="473" t="s">
        <v>6</v>
      </c>
      <c r="J30" s="473" t="s">
        <v>8</v>
      </c>
      <c r="K30" s="473"/>
      <c r="L30" s="473"/>
      <c r="M30" s="473" t="s">
        <v>6</v>
      </c>
      <c r="N30" s="473" t="s">
        <v>9</v>
      </c>
      <c r="O30" s="473"/>
      <c r="P30" s="473"/>
      <c r="Q30" s="473" t="s">
        <v>6</v>
      </c>
      <c r="R30" s="473" t="s">
        <v>10</v>
      </c>
      <c r="S30" s="473"/>
      <c r="T30" s="473"/>
      <c r="U30" s="473" t="s">
        <v>6</v>
      </c>
      <c r="V30" s="473" t="s">
        <v>11</v>
      </c>
      <c r="W30" s="473"/>
      <c r="X30" s="473"/>
      <c r="Y30" s="473" t="s">
        <v>6</v>
      </c>
    </row>
    <row r="31" spans="1:25" ht="38.25" x14ac:dyDescent="0.2">
      <c r="A31" s="88" t="s">
        <v>43</v>
      </c>
      <c r="B31" s="89" t="s">
        <v>131</v>
      </c>
      <c r="C31" s="89" t="s">
        <v>132</v>
      </c>
      <c r="D31" s="89" t="s">
        <v>133</v>
      </c>
      <c r="E31" s="89" t="s">
        <v>134</v>
      </c>
      <c r="F31" s="89" t="s">
        <v>131</v>
      </c>
      <c r="G31" s="89" t="s">
        <v>132</v>
      </c>
      <c r="H31" s="89" t="s">
        <v>133</v>
      </c>
      <c r="I31" s="89" t="s">
        <v>134</v>
      </c>
      <c r="J31" s="89" t="s">
        <v>131</v>
      </c>
      <c r="K31" s="89" t="s">
        <v>132</v>
      </c>
      <c r="L31" s="89" t="s">
        <v>133</v>
      </c>
      <c r="M31" s="89" t="s">
        <v>134</v>
      </c>
      <c r="N31" s="89" t="s">
        <v>131</v>
      </c>
      <c r="O31" s="89" t="s">
        <v>132</v>
      </c>
      <c r="P31" s="89" t="s">
        <v>133</v>
      </c>
      <c r="Q31" s="89" t="s">
        <v>134</v>
      </c>
      <c r="R31" s="89" t="s">
        <v>131</v>
      </c>
      <c r="S31" s="89" t="s">
        <v>132</v>
      </c>
      <c r="T31" s="89" t="s">
        <v>133</v>
      </c>
      <c r="U31" s="89" t="s">
        <v>134</v>
      </c>
      <c r="V31" s="89" t="s">
        <v>131</v>
      </c>
      <c r="W31" s="89" t="s">
        <v>132</v>
      </c>
      <c r="X31" s="89" t="s">
        <v>133</v>
      </c>
      <c r="Y31" s="89" t="s">
        <v>134</v>
      </c>
    </row>
    <row r="32" spans="1:25" x14ac:dyDescent="0.2">
      <c r="A32" s="90" t="s">
        <v>141</v>
      </c>
      <c r="B32" s="138"/>
      <c r="C32" s="138"/>
      <c r="D32" s="94"/>
      <c r="E32" s="139">
        <f>SUM(B32:D32)</f>
        <v>0</v>
      </c>
      <c r="F32" s="96"/>
      <c r="G32" s="94"/>
      <c r="H32" s="98"/>
      <c r="I32" s="95">
        <f t="shared" ref="I32:I37" si="2">SUM(G32:H32)</f>
        <v>0</v>
      </c>
      <c r="J32" s="96"/>
      <c r="K32" s="94"/>
      <c r="L32" s="98"/>
      <c r="M32" s="95">
        <f t="shared" ref="M32:M37" si="3">SUM(K32:L32)</f>
        <v>0</v>
      </c>
      <c r="N32" s="96"/>
      <c r="O32" s="94"/>
      <c r="P32" s="98"/>
      <c r="Q32" s="95">
        <f t="shared" ref="Q32:Q37" si="4">SUM(O32:P32)</f>
        <v>0</v>
      </c>
      <c r="R32" s="96"/>
      <c r="S32" s="94"/>
      <c r="T32" s="98"/>
      <c r="U32" s="95">
        <f t="shared" ref="U32:U37" si="5">SUM(S32:T32)</f>
        <v>0</v>
      </c>
      <c r="V32" s="96"/>
      <c r="W32" s="94"/>
      <c r="X32" s="98"/>
      <c r="Y32" s="95">
        <f t="shared" ref="Y32:Y37" si="6">SUM(W32:X32)</f>
        <v>0</v>
      </c>
    </row>
    <row r="33" spans="1:25" x14ac:dyDescent="0.2">
      <c r="A33" s="90" t="s">
        <v>135</v>
      </c>
      <c r="B33" s="138"/>
      <c r="C33" s="138"/>
      <c r="D33" s="94"/>
      <c r="E33" s="139">
        <f>SUM(B33:D33)</f>
        <v>0</v>
      </c>
      <c r="F33" s="96"/>
      <c r="G33" s="94"/>
      <c r="H33" s="98"/>
      <c r="I33" s="95">
        <f t="shared" si="2"/>
        <v>0</v>
      </c>
      <c r="J33" s="96"/>
      <c r="K33" s="94"/>
      <c r="L33" s="98"/>
      <c r="M33" s="95">
        <f t="shared" si="3"/>
        <v>0</v>
      </c>
      <c r="N33" s="96"/>
      <c r="O33" s="94"/>
      <c r="P33" s="98"/>
      <c r="Q33" s="95">
        <f t="shared" si="4"/>
        <v>0</v>
      </c>
      <c r="R33" s="96"/>
      <c r="S33" s="94"/>
      <c r="T33" s="98"/>
      <c r="U33" s="95">
        <f t="shared" si="5"/>
        <v>0</v>
      </c>
      <c r="V33" s="96"/>
      <c r="W33" s="94"/>
      <c r="X33" s="98"/>
      <c r="Y33" s="95">
        <f t="shared" si="6"/>
        <v>0</v>
      </c>
    </row>
    <row r="34" spans="1:25" x14ac:dyDescent="0.2">
      <c r="A34" s="90" t="s">
        <v>142</v>
      </c>
      <c r="B34" s="138"/>
      <c r="C34" s="94"/>
      <c r="D34" s="94"/>
      <c r="E34" s="139">
        <f>SUM(B34:D34)</f>
        <v>0</v>
      </c>
      <c r="F34" s="96"/>
      <c r="G34" s="94"/>
      <c r="H34" s="98"/>
      <c r="I34" s="95">
        <f t="shared" si="2"/>
        <v>0</v>
      </c>
      <c r="J34" s="96"/>
      <c r="K34" s="94"/>
      <c r="L34" s="98"/>
      <c r="M34" s="95">
        <f t="shared" si="3"/>
        <v>0</v>
      </c>
      <c r="N34" s="96"/>
      <c r="O34" s="94"/>
      <c r="P34" s="98"/>
      <c r="Q34" s="95">
        <f t="shared" si="4"/>
        <v>0</v>
      </c>
      <c r="R34" s="96"/>
      <c r="S34" s="94"/>
      <c r="T34" s="98"/>
      <c r="U34" s="95">
        <f t="shared" si="5"/>
        <v>0</v>
      </c>
      <c r="V34" s="96"/>
      <c r="W34" s="94"/>
      <c r="X34" s="98"/>
      <c r="Y34" s="95">
        <f t="shared" si="6"/>
        <v>0</v>
      </c>
    </row>
    <row r="35" spans="1:25" x14ac:dyDescent="0.2">
      <c r="A35" s="90" t="s">
        <v>143</v>
      </c>
      <c r="B35" s="138"/>
      <c r="C35" s="94"/>
      <c r="D35" s="94"/>
      <c r="E35" s="139">
        <f>SUM(B35:D35)</f>
        <v>0</v>
      </c>
      <c r="F35" s="96"/>
      <c r="G35" s="140"/>
      <c r="H35" s="140"/>
      <c r="I35" s="95">
        <f t="shared" si="2"/>
        <v>0</v>
      </c>
      <c r="J35" s="96"/>
      <c r="K35" s="140"/>
      <c r="L35" s="140"/>
      <c r="M35" s="95">
        <f t="shared" si="3"/>
        <v>0</v>
      </c>
      <c r="N35" s="96"/>
      <c r="O35" s="140"/>
      <c r="P35" s="140"/>
      <c r="Q35" s="95">
        <f t="shared" si="4"/>
        <v>0</v>
      </c>
      <c r="R35" s="96"/>
      <c r="S35" s="140"/>
      <c r="T35" s="140"/>
      <c r="U35" s="95">
        <f t="shared" si="5"/>
        <v>0</v>
      </c>
      <c r="V35" s="96"/>
      <c r="W35" s="140"/>
      <c r="X35" s="140"/>
      <c r="Y35" s="95">
        <f t="shared" si="6"/>
        <v>0</v>
      </c>
    </row>
    <row r="36" spans="1:25" x14ac:dyDescent="0.2">
      <c r="A36" s="90" t="s">
        <v>144</v>
      </c>
      <c r="B36" s="138"/>
      <c r="C36" s="94"/>
      <c r="D36" s="94"/>
      <c r="E36" s="139">
        <f>SUM(B36:D36)</f>
        <v>0</v>
      </c>
      <c r="F36" s="96"/>
      <c r="G36" s="140"/>
      <c r="H36" s="140"/>
      <c r="I36" s="95">
        <f t="shared" si="2"/>
        <v>0</v>
      </c>
      <c r="J36" s="96"/>
      <c r="K36" s="140"/>
      <c r="L36" s="140"/>
      <c r="M36" s="95">
        <f t="shared" si="3"/>
        <v>0</v>
      </c>
      <c r="N36" s="96"/>
      <c r="O36" s="140"/>
      <c r="P36" s="140"/>
      <c r="Q36" s="95">
        <f t="shared" si="4"/>
        <v>0</v>
      </c>
      <c r="R36" s="96"/>
      <c r="S36" s="140"/>
      <c r="T36" s="140"/>
      <c r="U36" s="95">
        <f t="shared" si="5"/>
        <v>0</v>
      </c>
      <c r="V36" s="96"/>
      <c r="W36" s="140"/>
      <c r="X36" s="140"/>
      <c r="Y36" s="95">
        <f t="shared" si="6"/>
        <v>0</v>
      </c>
    </row>
    <row r="37" spans="1:25" x14ac:dyDescent="0.2">
      <c r="A37" s="90"/>
      <c r="B37" s="96"/>
      <c r="C37" s="94"/>
      <c r="D37" s="94"/>
      <c r="E37" s="131"/>
      <c r="F37" s="96"/>
      <c r="G37" s="94"/>
      <c r="H37" s="94"/>
      <c r="I37" s="95">
        <f t="shared" si="2"/>
        <v>0</v>
      </c>
      <c r="J37" s="96"/>
      <c r="K37" s="94"/>
      <c r="L37" s="94"/>
      <c r="M37" s="95">
        <f t="shared" si="3"/>
        <v>0</v>
      </c>
      <c r="N37" s="96"/>
      <c r="O37" s="94"/>
      <c r="P37" s="94"/>
      <c r="Q37" s="95">
        <f t="shared" si="4"/>
        <v>0</v>
      </c>
      <c r="R37" s="96"/>
      <c r="S37" s="94"/>
      <c r="T37" s="94"/>
      <c r="U37" s="95">
        <f t="shared" si="5"/>
        <v>0</v>
      </c>
      <c r="V37" s="96"/>
      <c r="W37" s="94"/>
      <c r="X37" s="94"/>
      <c r="Y37" s="95">
        <f t="shared" si="6"/>
        <v>0</v>
      </c>
    </row>
    <row r="38" spans="1:25" s="85" customFormat="1" x14ac:dyDescent="0.2">
      <c r="A38" s="99" t="s">
        <v>58</v>
      </c>
      <c r="B38" s="141"/>
      <c r="C38" s="102">
        <f>SUM(C32:C37)</f>
        <v>0</v>
      </c>
      <c r="D38" s="102">
        <f>SUM(D32:D37)</f>
        <v>0</v>
      </c>
      <c r="E38" s="102">
        <f>SUM(E32:E37)</f>
        <v>0</v>
      </c>
      <c r="F38" s="102"/>
      <c r="G38" s="95">
        <f>SUM(G32:G37)</f>
        <v>0</v>
      </c>
      <c r="H38" s="95">
        <f>SUM(H32:H37)</f>
        <v>0</v>
      </c>
      <c r="I38" s="95">
        <f>SUM(I32:I37)</f>
        <v>0</v>
      </c>
      <c r="J38" s="102"/>
      <c r="K38" s="95">
        <f>SUM(K32:K37)</f>
        <v>0</v>
      </c>
      <c r="L38" s="95">
        <f>SUM(L32:L37)</f>
        <v>0</v>
      </c>
      <c r="M38" s="95">
        <f>SUM(M32:M37)</f>
        <v>0</v>
      </c>
      <c r="N38" s="102"/>
      <c r="O38" s="95">
        <f>SUM(O32:O37)</f>
        <v>0</v>
      </c>
      <c r="P38" s="95">
        <f>SUM(P32:P37)</f>
        <v>0</v>
      </c>
      <c r="Q38" s="95">
        <f>SUM(Q32:Q37)</f>
        <v>0</v>
      </c>
      <c r="R38" s="102"/>
      <c r="S38" s="95">
        <f>SUM(S32:S37)</f>
        <v>0</v>
      </c>
      <c r="T38" s="95">
        <f>SUM(T32:T37)</f>
        <v>0</v>
      </c>
      <c r="U38" s="95">
        <f>SUM(U32:U37)</f>
        <v>0</v>
      </c>
      <c r="V38" s="102"/>
      <c r="W38" s="95">
        <f>SUM(W32:W37)</f>
        <v>0</v>
      </c>
      <c r="X38" s="95">
        <f>SUM(X32:X37)</f>
        <v>0</v>
      </c>
      <c r="Y38" s="95">
        <f>SUM(Y32:Y37)</f>
        <v>0</v>
      </c>
    </row>
    <row r="39" spans="1:25" ht="3.95" customHeight="1" x14ac:dyDescent="0.2">
      <c r="A39" s="99"/>
      <c r="B39" s="102"/>
      <c r="C39" s="96"/>
      <c r="D39" s="96"/>
      <c r="E39" s="111"/>
      <c r="F39" s="102"/>
      <c r="G39" s="96"/>
      <c r="H39" s="105"/>
      <c r="I39" s="95"/>
      <c r="J39" s="102"/>
      <c r="K39" s="96"/>
      <c r="L39" s="105"/>
      <c r="M39" s="95"/>
      <c r="N39" s="102"/>
      <c r="O39" s="96"/>
      <c r="P39" s="105"/>
      <c r="Q39" s="95"/>
      <c r="R39" s="102"/>
      <c r="S39" s="96"/>
      <c r="T39" s="105"/>
      <c r="U39" s="95"/>
      <c r="V39" s="102"/>
      <c r="W39" s="96"/>
      <c r="X39" s="105"/>
      <c r="Y39" s="95"/>
    </row>
    <row r="40" spans="1:25" x14ac:dyDescent="0.2">
      <c r="A40" s="106" t="s">
        <v>22</v>
      </c>
      <c r="B40" s="109"/>
      <c r="C40" s="107"/>
      <c r="D40" s="107"/>
      <c r="E40" s="108"/>
      <c r="F40" s="109"/>
      <c r="G40" s="107"/>
      <c r="H40" s="108"/>
      <c r="I40" s="95">
        <f>SUM(G40:H40)</f>
        <v>0</v>
      </c>
      <c r="J40" s="109"/>
      <c r="K40" s="107"/>
      <c r="L40" s="108"/>
      <c r="M40" s="95">
        <f>SUM(K40:L40)</f>
        <v>0</v>
      </c>
      <c r="N40" s="109"/>
      <c r="O40" s="107"/>
      <c r="P40" s="108"/>
      <c r="Q40" s="95">
        <f>SUM(O40:P40)</f>
        <v>0</v>
      </c>
      <c r="R40" s="109"/>
      <c r="S40" s="107"/>
      <c r="T40" s="108"/>
      <c r="U40" s="95">
        <f>SUM(S40:T40)</f>
        <v>0</v>
      </c>
      <c r="V40" s="109"/>
      <c r="W40" s="107"/>
      <c r="X40" s="108"/>
      <c r="Y40" s="95">
        <f>SUM(W40:X40)</f>
        <v>0</v>
      </c>
    </row>
    <row r="41" spans="1:25" x14ac:dyDescent="0.2">
      <c r="A41" s="90" t="s">
        <v>12</v>
      </c>
      <c r="B41" s="138"/>
      <c r="C41" s="138"/>
      <c r="D41" s="94"/>
      <c r="E41" s="139">
        <f>SUM(B41:D41)</f>
        <v>0</v>
      </c>
      <c r="F41" s="96"/>
      <c r="G41" s="94"/>
      <c r="H41" s="94"/>
      <c r="I41" s="95">
        <f>SUM(G41:H41)</f>
        <v>0</v>
      </c>
      <c r="J41" s="96"/>
      <c r="K41" s="94"/>
      <c r="L41" s="94"/>
      <c r="M41" s="95">
        <f>SUM(K41:L41)</f>
        <v>0</v>
      </c>
      <c r="N41" s="96"/>
      <c r="O41" s="94"/>
      <c r="P41" s="94"/>
      <c r="Q41" s="95">
        <f>SUM(O41:P41)</f>
        <v>0</v>
      </c>
      <c r="R41" s="96"/>
      <c r="S41" s="94"/>
      <c r="T41" s="94"/>
      <c r="U41" s="95">
        <f>SUM(S41:T41)</f>
        <v>0</v>
      </c>
      <c r="V41" s="96"/>
      <c r="W41" s="94"/>
      <c r="X41" s="94"/>
      <c r="Y41" s="95">
        <f>SUM(W41:X41)</f>
        <v>0</v>
      </c>
    </row>
    <row r="42" spans="1:25" x14ac:dyDescent="0.2">
      <c r="A42" s="90" t="s">
        <v>14</v>
      </c>
      <c r="B42" s="138"/>
      <c r="C42" s="138"/>
      <c r="D42" s="94"/>
      <c r="E42" s="139">
        <f>SUM(B42:D42)</f>
        <v>0</v>
      </c>
      <c r="F42" s="96"/>
      <c r="G42" s="94"/>
      <c r="H42" s="94"/>
      <c r="I42" s="95">
        <f>SUM(G42:H42)</f>
        <v>0</v>
      </c>
      <c r="J42" s="96"/>
      <c r="K42" s="94"/>
      <c r="L42" s="94"/>
      <c r="M42" s="95">
        <f>SUM(K42:L42)</f>
        <v>0</v>
      </c>
      <c r="N42" s="96"/>
      <c r="O42" s="94"/>
      <c r="P42" s="94"/>
      <c r="Q42" s="95">
        <f>SUM(O42:P42)</f>
        <v>0</v>
      </c>
      <c r="R42" s="96"/>
      <c r="S42" s="94"/>
      <c r="T42" s="94"/>
      <c r="U42" s="95">
        <f>SUM(S42:T42)</f>
        <v>0</v>
      </c>
      <c r="V42" s="96"/>
      <c r="W42" s="94"/>
      <c r="X42" s="94"/>
      <c r="Y42" s="95">
        <f>SUM(W42:X42)</f>
        <v>0</v>
      </c>
    </row>
    <row r="43" spans="1:25" x14ac:dyDescent="0.2">
      <c r="A43" s="90" t="s">
        <v>28</v>
      </c>
      <c r="B43" s="138"/>
      <c r="C43" s="138"/>
      <c r="D43" s="94"/>
      <c r="E43" s="139">
        <f>SUM(B43:D43)</f>
        <v>0</v>
      </c>
      <c r="F43" s="96"/>
      <c r="G43" s="94"/>
      <c r="H43" s="94"/>
      <c r="I43" s="95">
        <f>SUM(G43:H43)</f>
        <v>0</v>
      </c>
      <c r="J43" s="96"/>
      <c r="K43" s="94"/>
      <c r="L43" s="94"/>
      <c r="M43" s="95">
        <f>SUM(K43:L43)</f>
        <v>0</v>
      </c>
      <c r="N43" s="96"/>
      <c r="O43" s="94"/>
      <c r="P43" s="94"/>
      <c r="Q43" s="95">
        <f>SUM(O43:P43)</f>
        <v>0</v>
      </c>
      <c r="R43" s="96"/>
      <c r="S43" s="94"/>
      <c r="T43" s="94"/>
      <c r="U43" s="95">
        <f>SUM(S43:T43)</f>
        <v>0</v>
      </c>
      <c r="V43" s="96"/>
      <c r="W43" s="94"/>
      <c r="X43" s="94"/>
      <c r="Y43" s="95">
        <f>SUM(W43:X43)</f>
        <v>0</v>
      </c>
    </row>
    <row r="44" spans="1:25" x14ac:dyDescent="0.2">
      <c r="A44" s="90"/>
      <c r="B44" s="96"/>
      <c r="C44" s="94"/>
      <c r="D44" s="94"/>
      <c r="E44" s="131"/>
      <c r="F44" s="96"/>
      <c r="G44" s="94"/>
      <c r="H44" s="94"/>
      <c r="I44" s="95">
        <f>SUM(G44:H44)</f>
        <v>0</v>
      </c>
      <c r="J44" s="96"/>
      <c r="K44" s="94"/>
      <c r="L44" s="94"/>
      <c r="M44" s="95">
        <f>SUM(K44:L44)</f>
        <v>0</v>
      </c>
      <c r="N44" s="96"/>
      <c r="O44" s="94"/>
      <c r="P44" s="94"/>
      <c r="Q44" s="95">
        <f>SUM(O44:P44)</f>
        <v>0</v>
      </c>
      <c r="R44" s="96"/>
      <c r="S44" s="94"/>
      <c r="T44" s="94"/>
      <c r="U44" s="95">
        <f>SUM(S44:T44)</f>
        <v>0</v>
      </c>
      <c r="V44" s="96"/>
      <c r="W44" s="94"/>
      <c r="X44" s="94"/>
      <c r="Y44" s="95">
        <f>SUM(W44:X44)</f>
        <v>0</v>
      </c>
    </row>
    <row r="45" spans="1:25" s="85" customFormat="1" x14ac:dyDescent="0.2">
      <c r="A45" s="99" t="s">
        <v>58</v>
      </c>
      <c r="B45" s="141"/>
      <c r="C45" s="102">
        <f>SUM(C40:C44)</f>
        <v>0</v>
      </c>
      <c r="D45" s="102">
        <f>SUM(D41:D44)</f>
        <v>0</v>
      </c>
      <c r="E45" s="102">
        <f>SUM(E41:E44)</f>
        <v>0</v>
      </c>
      <c r="F45" s="102"/>
      <c r="G45" s="111">
        <f>SUM(G40:G44)</f>
        <v>0</v>
      </c>
      <c r="H45" s="111">
        <f>SUM(H40:H44)</f>
        <v>0</v>
      </c>
      <c r="I45" s="95">
        <f>SUM(I40:I44)</f>
        <v>0</v>
      </c>
      <c r="J45" s="102"/>
      <c r="K45" s="111">
        <f>SUM(K40:K44)</f>
        <v>0</v>
      </c>
      <c r="L45" s="111">
        <f>SUM(L40:L44)</f>
        <v>0</v>
      </c>
      <c r="M45" s="95">
        <f>SUM(M40:M44)</f>
        <v>0</v>
      </c>
      <c r="N45" s="102"/>
      <c r="O45" s="111">
        <f>SUM(O40:O44)</f>
        <v>0</v>
      </c>
      <c r="P45" s="111">
        <f>SUM(P40:P44)</f>
        <v>0</v>
      </c>
      <c r="Q45" s="95">
        <f>SUM(Q40:Q44)</f>
        <v>0</v>
      </c>
      <c r="R45" s="102"/>
      <c r="S45" s="111">
        <f>SUM(S40:S44)</f>
        <v>0</v>
      </c>
      <c r="T45" s="111">
        <f>SUM(T40:T44)</f>
        <v>0</v>
      </c>
      <c r="U45" s="95">
        <f>SUM(U40:U44)</f>
        <v>0</v>
      </c>
      <c r="V45" s="102"/>
      <c r="W45" s="111">
        <f>SUM(W40:W44)</f>
        <v>0</v>
      </c>
      <c r="X45" s="111">
        <f>SUM(X40:X44)</f>
        <v>0</v>
      </c>
      <c r="Y45" s="95">
        <f>SUM(Y40:Y44)</f>
        <v>0</v>
      </c>
    </row>
    <row r="46" spans="1:25" ht="3.95" customHeight="1" x14ac:dyDescent="0.2">
      <c r="A46" s="99"/>
      <c r="B46" s="102"/>
      <c r="C46" s="96"/>
      <c r="D46" s="96"/>
      <c r="E46" s="111"/>
      <c r="F46" s="102"/>
      <c r="G46" s="96"/>
      <c r="H46" s="105"/>
      <c r="I46" s="95">
        <f>SUM(I40:I44)</f>
        <v>0</v>
      </c>
      <c r="J46" s="102"/>
      <c r="K46" s="96"/>
      <c r="L46" s="105"/>
      <c r="M46" s="95">
        <f>SUM(M40:M44)</f>
        <v>0</v>
      </c>
      <c r="N46" s="102"/>
      <c r="O46" s="96"/>
      <c r="P46" s="105"/>
      <c r="Q46" s="95">
        <f>SUM(Q40:Q44)</f>
        <v>0</v>
      </c>
      <c r="R46" s="102"/>
      <c r="S46" s="96"/>
      <c r="T46" s="105"/>
      <c r="U46" s="95">
        <f>SUM(U40:U44)</f>
        <v>0</v>
      </c>
      <c r="V46" s="102"/>
      <c r="W46" s="96"/>
      <c r="X46" s="105"/>
      <c r="Y46" s="95">
        <f>SUM(Y40:Y44)</f>
        <v>0</v>
      </c>
    </row>
    <row r="47" spans="1:25" ht="17.25" customHeight="1" x14ac:dyDescent="0.2">
      <c r="A47" s="99" t="s">
        <v>134</v>
      </c>
      <c r="B47" s="102"/>
      <c r="C47" s="102">
        <f>C38+C45</f>
        <v>0</v>
      </c>
      <c r="D47" s="102">
        <f>D38+D45</f>
        <v>0</v>
      </c>
      <c r="E47" s="102">
        <f>E38+E45</f>
        <v>0</v>
      </c>
      <c r="F47" s="102"/>
      <c r="G47" s="95">
        <f>G38+G45</f>
        <v>0</v>
      </c>
      <c r="H47" s="111">
        <f>H38+H45</f>
        <v>0</v>
      </c>
      <c r="I47" s="95">
        <f>I38+I45</f>
        <v>0</v>
      </c>
      <c r="J47" s="102"/>
      <c r="K47" s="95">
        <f>K38+K45</f>
        <v>0</v>
      </c>
      <c r="L47" s="111">
        <f>L38+L45</f>
        <v>0</v>
      </c>
      <c r="M47" s="95">
        <f>M38+M45</f>
        <v>0</v>
      </c>
      <c r="N47" s="102"/>
      <c r="O47" s="95">
        <f>O38+O45</f>
        <v>0</v>
      </c>
      <c r="P47" s="111">
        <f>P38+P45</f>
        <v>0</v>
      </c>
      <c r="Q47" s="95">
        <f>Q38+Q45</f>
        <v>0</v>
      </c>
      <c r="R47" s="102"/>
      <c r="S47" s="95">
        <f>S38+S45</f>
        <v>0</v>
      </c>
      <c r="T47" s="111">
        <f>T38+T45</f>
        <v>0</v>
      </c>
      <c r="U47" s="95">
        <f>U38+U45</f>
        <v>0</v>
      </c>
      <c r="V47" s="102"/>
      <c r="W47" s="95">
        <f>W38+W45</f>
        <v>0</v>
      </c>
      <c r="X47" s="111">
        <f>X38+X45</f>
        <v>0</v>
      </c>
      <c r="Y47" s="95">
        <f>Y38+Y45</f>
        <v>0</v>
      </c>
    </row>
    <row r="48" spans="1:25" ht="17.25" customHeight="1" x14ac:dyDescent="0.2">
      <c r="A48" s="112"/>
      <c r="B48" s="118"/>
      <c r="C48" s="116"/>
      <c r="D48" s="116"/>
      <c r="E48" s="142"/>
      <c r="F48" s="118"/>
      <c r="G48" s="116"/>
      <c r="H48" s="117"/>
      <c r="I48" s="118"/>
      <c r="J48" s="118"/>
      <c r="K48" s="116"/>
      <c r="L48" s="117"/>
      <c r="M48" s="118"/>
      <c r="N48" s="118"/>
      <c r="O48" s="116"/>
      <c r="P48" s="117"/>
      <c r="Q48" s="118"/>
      <c r="R48" s="118"/>
      <c r="S48" s="116"/>
      <c r="T48" s="117"/>
      <c r="U48" s="118"/>
      <c r="V48" s="118"/>
      <c r="W48" s="116"/>
      <c r="X48" s="117"/>
      <c r="Y48" s="118"/>
    </row>
    <row r="49" spans="1:25" x14ac:dyDescent="0.2">
      <c r="A49" s="88" t="s">
        <v>64</v>
      </c>
      <c r="B49" s="143"/>
      <c r="C49" s="123"/>
      <c r="D49" s="123"/>
      <c r="E49" s="144"/>
      <c r="F49" s="124"/>
      <c r="G49" s="123"/>
      <c r="H49" s="123"/>
      <c r="I49" s="124"/>
      <c r="J49" s="124"/>
      <c r="K49" s="123"/>
      <c r="L49" s="123"/>
      <c r="M49" s="124"/>
      <c r="N49" s="124"/>
      <c r="O49" s="123"/>
      <c r="P49" s="123"/>
      <c r="Q49" s="124"/>
      <c r="R49" s="124"/>
      <c r="S49" s="123"/>
      <c r="T49" s="123"/>
      <c r="U49" s="124"/>
      <c r="V49" s="124"/>
      <c r="W49" s="123"/>
      <c r="X49" s="123"/>
      <c r="Y49" s="125"/>
    </row>
    <row r="50" spans="1:25" x14ac:dyDescent="0.2">
      <c r="A50" s="126" t="s">
        <v>138</v>
      </c>
      <c r="B50" s="96"/>
      <c r="C50" s="138"/>
      <c r="D50" s="138"/>
      <c r="E50" s="131"/>
      <c r="F50" s="96"/>
      <c r="G50" s="138"/>
      <c r="H50" s="138"/>
      <c r="I50" s="131"/>
      <c r="J50" s="96"/>
      <c r="K50" s="138"/>
      <c r="L50" s="138"/>
      <c r="M50" s="131"/>
      <c r="N50" s="96"/>
      <c r="O50" s="138"/>
      <c r="P50" s="138"/>
      <c r="Q50" s="131"/>
      <c r="R50" s="96"/>
      <c r="S50" s="138"/>
      <c r="T50" s="138"/>
      <c r="U50" s="131"/>
      <c r="V50" s="96"/>
      <c r="W50" s="138"/>
      <c r="X50" s="138"/>
      <c r="Y50" s="131"/>
    </row>
    <row r="51" spans="1:25" x14ac:dyDescent="0.2">
      <c r="A51" s="90"/>
      <c r="B51" s="96"/>
      <c r="C51" s="94"/>
      <c r="D51" s="94"/>
      <c r="E51" s="131"/>
      <c r="F51" s="96"/>
      <c r="G51" s="94"/>
      <c r="H51" s="94"/>
      <c r="I51" s="131"/>
      <c r="J51" s="96"/>
      <c r="K51" s="94"/>
      <c r="L51" s="94"/>
      <c r="M51" s="131"/>
      <c r="N51" s="96"/>
      <c r="O51" s="94"/>
      <c r="P51" s="94"/>
      <c r="Q51" s="131"/>
      <c r="R51" s="96"/>
      <c r="S51" s="94"/>
      <c r="T51" s="94"/>
      <c r="U51" s="131"/>
      <c r="V51" s="96"/>
      <c r="W51" s="94"/>
      <c r="X51" s="94"/>
      <c r="Y51" s="131"/>
    </row>
    <row r="52" spans="1:25" s="85" customFormat="1" x14ac:dyDescent="0.2">
      <c r="A52" s="129" t="s">
        <v>58</v>
      </c>
      <c r="B52" s="102">
        <f>SUM(B50:B51)</f>
        <v>0</v>
      </c>
      <c r="C52" s="102"/>
      <c r="D52" s="102"/>
      <c r="E52" s="102"/>
      <c r="F52" s="102">
        <f>SUM(F50:F51)</f>
        <v>0</v>
      </c>
      <c r="G52" s="102"/>
      <c r="H52" s="102"/>
      <c r="I52" s="102"/>
      <c r="J52" s="102">
        <f>SUM(J50:J51)</f>
        <v>0</v>
      </c>
      <c r="K52" s="102"/>
      <c r="L52" s="102"/>
      <c r="M52" s="102"/>
      <c r="N52" s="102">
        <f>SUM(N50:N51)</f>
        <v>0</v>
      </c>
      <c r="O52" s="102"/>
      <c r="P52" s="102"/>
      <c r="Q52" s="102"/>
      <c r="R52" s="102">
        <f>SUM(R50:R51)</f>
        <v>0</v>
      </c>
      <c r="S52" s="102"/>
      <c r="T52" s="102"/>
      <c r="U52" s="102"/>
      <c r="V52" s="102">
        <f>SUM(V50:V51)</f>
        <v>0</v>
      </c>
      <c r="W52" s="102"/>
      <c r="X52" s="102"/>
      <c r="Y52" s="95"/>
    </row>
    <row r="53" spans="1:25" ht="3.95" customHeight="1" x14ac:dyDescent="0.2">
      <c r="A53" s="99"/>
      <c r="B53" s="96"/>
      <c r="C53" s="96"/>
      <c r="D53" s="96"/>
      <c r="E53" s="111"/>
      <c r="F53" s="96"/>
      <c r="G53" s="96"/>
      <c r="H53" s="96"/>
      <c r="I53" s="111"/>
      <c r="J53" s="96"/>
      <c r="K53" s="96"/>
      <c r="L53" s="96"/>
      <c r="M53" s="111"/>
      <c r="N53" s="96"/>
      <c r="O53" s="96"/>
      <c r="P53" s="96"/>
      <c r="Q53" s="111"/>
      <c r="R53" s="96"/>
      <c r="S53" s="96"/>
      <c r="T53" s="96"/>
      <c r="U53" s="111"/>
      <c r="V53" s="96"/>
      <c r="W53" s="96"/>
      <c r="X53" s="96"/>
      <c r="Y53" s="111"/>
    </row>
    <row r="54" spans="1:25" s="146" customFormat="1" x14ac:dyDescent="0.2">
      <c r="A54" s="99" t="s">
        <v>139</v>
      </c>
      <c r="B54" s="145">
        <f>B52</f>
        <v>0</v>
      </c>
      <c r="C54" s="145" t="s">
        <v>140</v>
      </c>
      <c r="D54" s="145" t="s">
        <v>140</v>
      </c>
      <c r="E54" s="145" t="s">
        <v>140</v>
      </c>
      <c r="F54" s="145">
        <f>F52</f>
        <v>0</v>
      </c>
      <c r="G54" s="145" t="s">
        <v>140</v>
      </c>
      <c r="H54" s="145" t="s">
        <v>140</v>
      </c>
      <c r="I54" s="145" t="s">
        <v>140</v>
      </c>
      <c r="J54" s="145">
        <f>J52</f>
        <v>0</v>
      </c>
      <c r="K54" s="145" t="s">
        <v>140</v>
      </c>
      <c r="L54" s="145" t="s">
        <v>140</v>
      </c>
      <c r="M54" s="145" t="s">
        <v>140</v>
      </c>
      <c r="N54" s="145">
        <f>N52</f>
        <v>0</v>
      </c>
      <c r="O54" s="145" t="s">
        <v>140</v>
      </c>
      <c r="P54" s="145" t="s">
        <v>140</v>
      </c>
      <c r="Q54" s="145" t="s">
        <v>140</v>
      </c>
      <c r="R54" s="145">
        <f>R52</f>
        <v>0</v>
      </c>
      <c r="S54" s="145" t="s">
        <v>140</v>
      </c>
      <c r="T54" s="145" t="s">
        <v>140</v>
      </c>
      <c r="U54" s="145" t="s">
        <v>140</v>
      </c>
      <c r="V54" s="145">
        <f>V52</f>
        <v>0</v>
      </c>
      <c r="W54" s="145" t="s">
        <v>140</v>
      </c>
      <c r="X54" s="145" t="s">
        <v>140</v>
      </c>
      <c r="Y54" s="145" t="s">
        <v>140</v>
      </c>
    </row>
    <row r="55" spans="1:25" s="152" customFormat="1" x14ac:dyDescent="0.2">
      <c r="A55" s="134"/>
      <c r="B55" s="147"/>
      <c r="C55" s="147"/>
      <c r="D55" s="147"/>
      <c r="E55" s="148"/>
      <c r="F55" s="149"/>
      <c r="G55" s="150"/>
      <c r="H55" s="151"/>
      <c r="I55" s="149"/>
      <c r="J55" s="149"/>
      <c r="K55" s="150"/>
      <c r="L55" s="151"/>
      <c r="M55" s="149"/>
      <c r="N55" s="149"/>
      <c r="O55" s="150"/>
      <c r="P55" s="151"/>
      <c r="Q55" s="149"/>
      <c r="R55" s="149"/>
      <c r="S55" s="150"/>
      <c r="T55" s="151"/>
      <c r="U55" s="149"/>
      <c r="V55" s="149"/>
      <c r="W55" s="150"/>
      <c r="X55" s="151"/>
      <c r="Y55" s="149"/>
    </row>
    <row r="56" spans="1:25" x14ac:dyDescent="0.2">
      <c r="A56" s="134" t="s">
        <v>25</v>
      </c>
      <c r="B56" s="134"/>
      <c r="C56" s="136"/>
      <c r="D56" s="136"/>
      <c r="E56" s="136"/>
      <c r="F56" s="134"/>
      <c r="G56" s="136"/>
      <c r="H56" s="136"/>
      <c r="I56" s="134"/>
      <c r="J56" s="134"/>
      <c r="K56" s="136"/>
      <c r="L56" s="136"/>
      <c r="M56" s="134"/>
      <c r="N56" s="134"/>
      <c r="O56" s="136"/>
      <c r="P56" s="136"/>
      <c r="Q56" s="134"/>
      <c r="R56" s="134"/>
      <c r="S56" s="136"/>
      <c r="T56" s="136"/>
      <c r="U56" s="134"/>
      <c r="V56" s="134"/>
      <c r="W56" s="136"/>
      <c r="X56" s="136"/>
      <c r="Y56" s="134"/>
    </row>
    <row r="57" spans="1:25" x14ac:dyDescent="0.2">
      <c r="A57" s="134"/>
      <c r="B57" s="134"/>
      <c r="C57" s="136"/>
      <c r="D57" s="136"/>
      <c r="E57" s="136"/>
      <c r="F57" s="134"/>
      <c r="G57" s="136"/>
      <c r="H57" s="136"/>
      <c r="I57" s="134"/>
      <c r="J57" s="134"/>
      <c r="K57" s="136"/>
      <c r="L57" s="136"/>
      <c r="M57" s="134"/>
      <c r="N57" s="134"/>
      <c r="O57" s="136"/>
      <c r="P57" s="136"/>
      <c r="Q57" s="134"/>
      <c r="R57" s="134"/>
      <c r="S57" s="136"/>
      <c r="T57" s="136"/>
      <c r="U57" s="134"/>
      <c r="V57" s="134"/>
      <c r="W57" s="136"/>
      <c r="X57" s="136"/>
      <c r="Y57" s="134"/>
    </row>
    <row r="58" spans="1:25" x14ac:dyDescent="0.2">
      <c r="A58" s="134"/>
      <c r="B58" s="134"/>
      <c r="C58" s="136"/>
      <c r="D58" s="136"/>
      <c r="E58" s="136"/>
      <c r="F58" s="134"/>
      <c r="G58" s="136"/>
      <c r="H58" s="136"/>
      <c r="I58" s="134"/>
      <c r="J58" s="134"/>
      <c r="K58" s="136"/>
      <c r="L58" s="136"/>
      <c r="M58" s="134"/>
      <c r="N58" s="134"/>
      <c r="O58" s="136"/>
      <c r="P58" s="136"/>
      <c r="Q58" s="134"/>
      <c r="R58" s="134"/>
      <c r="S58" s="136"/>
      <c r="T58" s="136"/>
      <c r="U58" s="134"/>
      <c r="V58" s="134"/>
      <c r="W58" s="136"/>
      <c r="X58" s="136"/>
      <c r="Y58" s="134"/>
    </row>
    <row r="60" spans="1:25" x14ac:dyDescent="0.2">
      <c r="A60" s="134" t="s">
        <v>131</v>
      </c>
      <c r="B60" s="134" t="s">
        <v>145</v>
      </c>
      <c r="D60" s="136"/>
      <c r="G60" s="136"/>
      <c r="I60" s="134"/>
      <c r="K60" s="136"/>
      <c r="M60" s="134"/>
      <c r="N60" s="153"/>
      <c r="O60" s="136"/>
      <c r="P60" s="136"/>
      <c r="Q60" s="153"/>
      <c r="R60" s="153"/>
      <c r="S60" s="136"/>
      <c r="T60" s="136"/>
      <c r="U60" s="153"/>
      <c r="V60" s="153"/>
      <c r="W60" s="136"/>
      <c r="X60" s="136"/>
      <c r="Y60" s="153"/>
    </row>
    <row r="61" spans="1:25" x14ac:dyDescent="0.2">
      <c r="A61" s="134" t="s">
        <v>146</v>
      </c>
      <c r="B61" s="134" t="s">
        <v>147</v>
      </c>
      <c r="D61" s="136"/>
      <c r="G61" s="136"/>
      <c r="I61" s="134"/>
      <c r="K61" s="136"/>
      <c r="M61" s="134"/>
      <c r="N61" s="153"/>
      <c r="O61" s="136"/>
      <c r="P61" s="136"/>
      <c r="Q61" s="153"/>
      <c r="R61" s="153"/>
      <c r="S61" s="136"/>
      <c r="T61" s="136"/>
      <c r="U61" s="153"/>
      <c r="V61" s="153"/>
      <c r="W61" s="136"/>
      <c r="X61" s="136"/>
      <c r="Y61" s="153"/>
    </row>
    <row r="62" spans="1:25" x14ac:dyDescent="0.2">
      <c r="A62" s="134" t="s">
        <v>133</v>
      </c>
      <c r="B62" s="134" t="s">
        <v>148</v>
      </c>
      <c r="D62" s="136"/>
      <c r="G62" s="136"/>
      <c r="I62" s="134"/>
      <c r="K62" s="136"/>
      <c r="M62" s="134"/>
    </row>
    <row r="63" spans="1:25" x14ac:dyDescent="0.2">
      <c r="A63" s="134" t="s">
        <v>134</v>
      </c>
      <c r="B63" s="134" t="s">
        <v>149</v>
      </c>
      <c r="D63" s="136"/>
      <c r="F63" s="154"/>
      <c r="I63" s="154"/>
      <c r="J63" s="154"/>
      <c r="M63" s="154"/>
      <c r="N63" s="154"/>
      <c r="Q63" s="154"/>
      <c r="R63" s="154"/>
      <c r="U63" s="154"/>
      <c r="V63" s="154"/>
      <c r="Y63" s="154"/>
    </row>
    <row r="64" spans="1:25" x14ac:dyDescent="0.2">
      <c r="A64" s="134" t="s">
        <v>150</v>
      </c>
      <c r="B64" s="134" t="s">
        <v>151</v>
      </c>
      <c r="D64" s="136"/>
      <c r="G64" s="136"/>
      <c r="I64" s="134"/>
      <c r="K64" s="136"/>
      <c r="M64" s="134"/>
      <c r="N64" s="153"/>
      <c r="O64" s="136"/>
      <c r="P64" s="136"/>
      <c r="Q64" s="153"/>
      <c r="R64" s="153"/>
      <c r="S64" s="136"/>
      <c r="T64" s="136"/>
      <c r="U64" s="153"/>
      <c r="V64" s="153"/>
      <c r="W64" s="136"/>
      <c r="X64" s="136"/>
      <c r="Y64" s="153"/>
    </row>
    <row r="65" spans="1:25" x14ac:dyDescent="0.2">
      <c r="A65" s="154"/>
      <c r="B65" s="154"/>
      <c r="F65" s="154"/>
      <c r="I65" s="154"/>
      <c r="J65" s="154"/>
      <c r="M65" s="154"/>
      <c r="N65" s="154"/>
      <c r="Q65" s="154"/>
      <c r="R65" s="154"/>
      <c r="U65" s="154"/>
      <c r="V65" s="154"/>
      <c r="Y65" s="154"/>
    </row>
    <row r="66" spans="1:25" x14ac:dyDescent="0.2">
      <c r="A66" s="154"/>
      <c r="B66" s="154"/>
      <c r="F66" s="154"/>
      <c r="I66" s="154"/>
      <c r="J66" s="154"/>
      <c r="M66" s="154"/>
      <c r="N66" s="154"/>
      <c r="Q66" s="154"/>
      <c r="R66" s="154"/>
      <c r="U66" s="154"/>
      <c r="V66" s="154"/>
      <c r="Y66" s="154"/>
    </row>
    <row r="67" spans="1:25" x14ac:dyDescent="0.2">
      <c r="A67" s="154"/>
      <c r="B67" s="154"/>
      <c r="F67" s="154"/>
      <c r="I67" s="154"/>
      <c r="J67" s="154"/>
      <c r="M67" s="154"/>
      <c r="N67" s="154"/>
      <c r="Q67" s="154"/>
      <c r="R67" s="154"/>
      <c r="U67" s="154"/>
      <c r="V67" s="154"/>
      <c r="Y67" s="154"/>
    </row>
    <row r="68" spans="1:25" x14ac:dyDescent="0.2">
      <c r="A68" s="154"/>
      <c r="B68" s="154"/>
      <c r="F68" s="154"/>
      <c r="I68" s="154"/>
      <c r="J68" s="154"/>
      <c r="M68" s="154"/>
      <c r="N68" s="154"/>
      <c r="Q68" s="154"/>
      <c r="R68" s="154"/>
      <c r="U68" s="154"/>
      <c r="V68" s="154"/>
      <c r="Y68" s="154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JULY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zoomScale="80" zoomScaleNormal="85" zoomScaleSheetLayoutView="80" workbookViewId="0">
      <pane xSplit="1" topLeftCell="I1" activePane="topRight" state="frozen"/>
      <selection activeCell="I16" sqref="I16"/>
      <selection pane="topRight" activeCell="G49" sqref="G49"/>
    </sheetView>
  </sheetViews>
  <sheetFormatPr defaultColWidth="9.140625" defaultRowHeight="12.75" x14ac:dyDescent="0.2"/>
  <cols>
    <col min="1" max="1" width="60" style="194" customWidth="1"/>
    <col min="2" max="2" width="16.140625" style="194" customWidth="1"/>
    <col min="3" max="3" width="13" style="194" customWidth="1"/>
    <col min="4" max="4" width="11.42578125" style="194" customWidth="1"/>
    <col min="5" max="5" width="11.85546875" style="194" customWidth="1"/>
    <col min="6" max="6" width="12" style="194" customWidth="1"/>
    <col min="7" max="7" width="10.7109375" style="194" customWidth="1"/>
    <col min="8" max="10" width="11.7109375" style="194" bestFit="1" customWidth="1"/>
    <col min="11" max="11" width="12" style="194" customWidth="1"/>
    <col min="12" max="12" width="10.7109375" style="194" customWidth="1"/>
    <col min="13" max="13" width="11.85546875" style="194" customWidth="1"/>
    <col min="14" max="14" width="11.7109375" style="194" customWidth="1"/>
    <col min="15" max="15" width="14.28515625" style="194" bestFit="1" customWidth="1"/>
    <col min="16" max="16" width="16" style="194" customWidth="1"/>
    <col min="17" max="17" width="13.140625" style="163" bestFit="1" customWidth="1"/>
    <col min="18" max="18" width="14.7109375" style="163" customWidth="1"/>
    <col min="19" max="19" width="13.42578125" style="194" bestFit="1" customWidth="1"/>
    <col min="20" max="20" width="9.140625" style="194"/>
    <col min="21" max="21" width="12.5703125" style="194" customWidth="1"/>
    <col min="22" max="16384" width="9.140625" style="194"/>
  </cols>
  <sheetData>
    <row r="1" spans="1:19" s="163" customFormat="1" x14ac:dyDescent="0.2">
      <c r="A1" s="162" t="s">
        <v>62</v>
      </c>
    </row>
    <row r="2" spans="1:19" s="163" customFormat="1" ht="13.5" thickBot="1" x14ac:dyDescent="0.25"/>
    <row r="3" spans="1:19" s="163" customFormat="1" x14ac:dyDescent="0.2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8"/>
      <c r="R3" s="168"/>
      <c r="S3" s="168"/>
    </row>
    <row r="4" spans="1:19" s="163" customFormat="1" ht="7.5" customHeight="1" x14ac:dyDescent="0.2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72"/>
      <c r="P4" s="172"/>
      <c r="Q4" s="173"/>
      <c r="R4" s="173"/>
      <c r="S4" s="173"/>
    </row>
    <row r="5" spans="1:19" s="163" customFormat="1" ht="57.75" customHeight="1" x14ac:dyDescent="0.2">
      <c r="A5" s="174" t="s">
        <v>18</v>
      </c>
      <c r="B5" s="176" t="s">
        <v>247</v>
      </c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5</v>
      </c>
      <c r="I5" s="175" t="s">
        <v>6</v>
      </c>
      <c r="J5" s="175" t="s">
        <v>7</v>
      </c>
      <c r="K5" s="175" t="s">
        <v>8</v>
      </c>
      <c r="L5" s="175" t="s">
        <v>9</v>
      </c>
      <c r="M5" s="175" t="s">
        <v>10</v>
      </c>
      <c r="N5" s="175" t="s">
        <v>11</v>
      </c>
      <c r="O5" s="176" t="s">
        <v>262</v>
      </c>
      <c r="P5" s="176" t="s">
        <v>165</v>
      </c>
      <c r="Q5" s="176" t="s">
        <v>49</v>
      </c>
      <c r="R5" s="176" t="s">
        <v>60</v>
      </c>
      <c r="S5" s="176" t="s">
        <v>48</v>
      </c>
    </row>
    <row r="6" spans="1:19" s="163" customFormat="1" x14ac:dyDescent="0.2">
      <c r="A6" s="177" t="s">
        <v>166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80" t="s">
        <v>13</v>
      </c>
      <c r="Q6" s="181"/>
      <c r="R6" s="181"/>
      <c r="S6" s="181"/>
    </row>
    <row r="7" spans="1:19" s="163" customFormat="1" x14ac:dyDescent="0.2">
      <c r="A7" s="182" t="s">
        <v>119</v>
      </c>
      <c r="B7" s="183">
        <v>710437</v>
      </c>
      <c r="C7" s="179">
        <v>4211</v>
      </c>
      <c r="D7" s="179">
        <v>5309</v>
      </c>
      <c r="E7" s="179">
        <v>5849</v>
      </c>
      <c r="F7" s="179">
        <v>8180</v>
      </c>
      <c r="G7" s="179">
        <v>9427</v>
      </c>
      <c r="H7" s="179">
        <v>4068</v>
      </c>
      <c r="I7" s="179">
        <v>10895</v>
      </c>
      <c r="J7" s="179"/>
      <c r="K7" s="179"/>
      <c r="L7" s="179"/>
      <c r="M7" s="179"/>
      <c r="N7" s="179"/>
      <c r="O7" s="185">
        <f>SUM(C7:N7)</f>
        <v>47939</v>
      </c>
      <c r="P7" s="185">
        <f>+B7+O7</f>
        <v>758376</v>
      </c>
      <c r="Q7" s="186">
        <v>2214267</v>
      </c>
      <c r="R7" s="186">
        <v>-1800000</v>
      </c>
      <c r="S7" s="187">
        <f>+P7/Q7</f>
        <v>0.34249528173431659</v>
      </c>
    </row>
    <row r="8" spans="1:19" s="163" customFormat="1" x14ac:dyDescent="0.2">
      <c r="A8" s="182" t="s">
        <v>186</v>
      </c>
      <c r="B8" s="183">
        <v>54684</v>
      </c>
      <c r="C8" s="179">
        <v>662</v>
      </c>
      <c r="D8" s="179">
        <v>430</v>
      </c>
      <c r="E8" s="179">
        <v>1158</v>
      </c>
      <c r="F8" s="179">
        <v>3285</v>
      </c>
      <c r="G8" s="179">
        <v>3348</v>
      </c>
      <c r="H8" s="179">
        <v>2033</v>
      </c>
      <c r="I8" s="179">
        <v>2231</v>
      </c>
      <c r="J8" s="179"/>
      <c r="K8" s="179"/>
      <c r="L8" s="179"/>
      <c r="M8" s="179"/>
      <c r="N8" s="179"/>
      <c r="O8" s="185">
        <f>SUM(C8:N8)</f>
        <v>13147</v>
      </c>
      <c r="P8" s="185">
        <f>+B8+O8</f>
        <v>67831</v>
      </c>
      <c r="Q8" s="186">
        <v>1800000</v>
      </c>
      <c r="R8" s="186">
        <v>1800000</v>
      </c>
      <c r="S8" s="187"/>
    </row>
    <row r="9" spans="1:19" s="163" customFormat="1" x14ac:dyDescent="0.2">
      <c r="A9" s="189" t="s">
        <v>29</v>
      </c>
      <c r="B9" s="190">
        <f>SUM(B7:B8)</f>
        <v>765121</v>
      </c>
      <c r="C9" s="191">
        <f>SUM(C7:C8)</f>
        <v>4873</v>
      </c>
      <c r="D9" s="191">
        <f>SUM(D7:D8)</f>
        <v>5739</v>
      </c>
      <c r="E9" s="191">
        <f t="shared" ref="E9:S9" si="0">SUM(E7:E8)</f>
        <v>7007</v>
      </c>
      <c r="F9" s="191">
        <f t="shared" si="0"/>
        <v>11465</v>
      </c>
      <c r="G9" s="191">
        <f t="shared" si="0"/>
        <v>12775</v>
      </c>
      <c r="H9" s="191">
        <f t="shared" si="0"/>
        <v>6101</v>
      </c>
      <c r="I9" s="191">
        <f t="shared" si="0"/>
        <v>13126</v>
      </c>
      <c r="J9" s="191">
        <f t="shared" si="0"/>
        <v>0</v>
      </c>
      <c r="K9" s="191">
        <f t="shared" si="0"/>
        <v>0</v>
      </c>
      <c r="L9" s="191">
        <f t="shared" si="0"/>
        <v>0</v>
      </c>
      <c r="M9" s="191">
        <f t="shared" si="0"/>
        <v>0</v>
      </c>
      <c r="N9" s="191">
        <f t="shared" si="0"/>
        <v>0</v>
      </c>
      <c r="O9" s="192">
        <f t="shared" si="0"/>
        <v>61086</v>
      </c>
      <c r="P9" s="192">
        <f t="shared" si="0"/>
        <v>826207</v>
      </c>
      <c r="Q9" s="192">
        <f t="shared" si="0"/>
        <v>4014267</v>
      </c>
      <c r="R9" s="192">
        <f t="shared" si="0"/>
        <v>0</v>
      </c>
      <c r="S9" s="193">
        <f t="shared" si="0"/>
        <v>0.34249528173431659</v>
      </c>
    </row>
    <row r="10" spans="1:19" s="163" customFormat="1" x14ac:dyDescent="0.2">
      <c r="A10" s="182"/>
      <c r="B10" s="183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5"/>
      <c r="P10" s="185"/>
      <c r="Q10" s="186"/>
      <c r="R10" s="186"/>
      <c r="S10" s="187"/>
    </row>
    <row r="11" spans="1:19" s="163" customFormat="1" x14ac:dyDescent="0.2">
      <c r="A11" s="177" t="s">
        <v>35</v>
      </c>
      <c r="B11" s="183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5"/>
      <c r="P11" s="185"/>
      <c r="Q11" s="186"/>
      <c r="R11" s="186"/>
      <c r="S11" s="187"/>
    </row>
    <row r="12" spans="1:19" s="163" customFormat="1" x14ac:dyDescent="0.2">
      <c r="A12" s="195" t="s">
        <v>120</v>
      </c>
      <c r="B12" s="183">
        <v>3228085</v>
      </c>
      <c r="C12" s="179">
        <v>206235</v>
      </c>
      <c r="D12" s="179">
        <v>41192</v>
      </c>
      <c r="E12" s="179">
        <v>41375</v>
      </c>
      <c r="F12" s="179">
        <v>30934</v>
      </c>
      <c r="G12" s="179">
        <v>75818</v>
      </c>
      <c r="H12" s="179">
        <v>86139</v>
      </c>
      <c r="I12" s="179">
        <v>15844</v>
      </c>
      <c r="J12" s="179"/>
      <c r="K12" s="179"/>
      <c r="L12" s="179"/>
      <c r="M12" s="179"/>
      <c r="N12" s="179"/>
      <c r="O12" s="185">
        <f>SUM(C12:N12)</f>
        <v>497537</v>
      </c>
      <c r="P12" s="185">
        <f>B12+O12</f>
        <v>3725622</v>
      </c>
      <c r="Q12" s="185">
        <v>5389000</v>
      </c>
      <c r="R12" s="185">
        <v>-6400000</v>
      </c>
      <c r="S12" s="187">
        <f>+P12/Q12</f>
        <v>0.69133828168491374</v>
      </c>
    </row>
    <row r="13" spans="1:19" s="163" customFormat="1" x14ac:dyDescent="0.2">
      <c r="A13" s="195" t="s">
        <v>167</v>
      </c>
      <c r="B13" s="183">
        <v>1623598</v>
      </c>
      <c r="C13" s="179">
        <v>7638</v>
      </c>
      <c r="D13" s="179">
        <v>8900</v>
      </c>
      <c r="E13" s="179">
        <v>14246</v>
      </c>
      <c r="F13" s="179">
        <v>14043</v>
      </c>
      <c r="G13" s="179">
        <v>13612</v>
      </c>
      <c r="H13" s="179">
        <v>11614</v>
      </c>
      <c r="I13" s="179">
        <v>12117</v>
      </c>
      <c r="J13" s="179"/>
      <c r="K13" s="179"/>
      <c r="L13" s="179"/>
      <c r="M13" s="179"/>
      <c r="N13" s="179"/>
      <c r="O13" s="185">
        <f>SUM(C13:N13)</f>
        <v>82170</v>
      </c>
      <c r="P13" s="185">
        <f>B13+O13</f>
        <v>1705768</v>
      </c>
      <c r="Q13" s="186">
        <f>485000+6400000</f>
        <v>6885000</v>
      </c>
      <c r="R13" s="186">
        <v>6400000</v>
      </c>
      <c r="S13" s="187">
        <f>+P13/Q13</f>
        <v>0.2477513435003631</v>
      </c>
    </row>
    <row r="14" spans="1:19" s="163" customFormat="1" x14ac:dyDescent="0.2">
      <c r="A14" s="196" t="s">
        <v>30</v>
      </c>
      <c r="B14" s="190">
        <f>SUM(B12:B13)</f>
        <v>4851683</v>
      </c>
      <c r="C14" s="191">
        <f>SUM(C12:C13)</f>
        <v>213873</v>
      </c>
      <c r="D14" s="191">
        <f>SUM(D12:D13)</f>
        <v>50092</v>
      </c>
      <c r="E14" s="191">
        <f t="shared" ref="E14:S14" si="1">SUM(E12:E13)</f>
        <v>55621</v>
      </c>
      <c r="F14" s="191">
        <f t="shared" si="1"/>
        <v>44977</v>
      </c>
      <c r="G14" s="191">
        <f t="shared" si="1"/>
        <v>89430</v>
      </c>
      <c r="H14" s="191">
        <f t="shared" si="1"/>
        <v>97753</v>
      </c>
      <c r="I14" s="191">
        <f t="shared" si="1"/>
        <v>27961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2">
        <f t="shared" si="1"/>
        <v>579707</v>
      </c>
      <c r="P14" s="192">
        <f t="shared" si="1"/>
        <v>5431390</v>
      </c>
      <c r="Q14" s="192">
        <f t="shared" si="1"/>
        <v>12274000</v>
      </c>
      <c r="R14" s="192">
        <f t="shared" si="1"/>
        <v>0</v>
      </c>
      <c r="S14" s="199">
        <f t="shared" si="1"/>
        <v>0.93908962518527683</v>
      </c>
    </row>
    <row r="15" spans="1:19" s="163" customFormat="1" x14ac:dyDescent="0.2">
      <c r="A15" s="336"/>
      <c r="B15" s="18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5"/>
      <c r="P15" s="185"/>
      <c r="Q15" s="186"/>
      <c r="R15" s="186"/>
      <c r="S15" s="187"/>
    </row>
    <row r="16" spans="1:19" s="163" customFormat="1" x14ac:dyDescent="0.2">
      <c r="A16" s="177" t="s">
        <v>168</v>
      </c>
      <c r="B16" s="18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5"/>
      <c r="P16" s="185"/>
      <c r="Q16" s="186"/>
      <c r="R16" s="186"/>
      <c r="S16" s="187"/>
    </row>
    <row r="17" spans="1:19" s="163" customFormat="1" x14ac:dyDescent="0.2">
      <c r="A17" s="195" t="s">
        <v>123</v>
      </c>
      <c r="B17" s="183">
        <v>1095981</v>
      </c>
      <c r="C17" s="179">
        <v>51063</v>
      </c>
      <c r="D17" s="179">
        <v>45541</v>
      </c>
      <c r="E17" s="179">
        <v>21024</v>
      </c>
      <c r="F17" s="179">
        <v>31745</v>
      </c>
      <c r="G17" s="179">
        <v>71895</v>
      </c>
      <c r="H17" s="179">
        <v>9806</v>
      </c>
      <c r="I17" s="179">
        <v>30890</v>
      </c>
      <c r="J17" s="179"/>
      <c r="K17" s="179"/>
      <c r="L17" s="179"/>
      <c r="M17" s="179"/>
      <c r="N17" s="179"/>
      <c r="O17" s="185">
        <f>SUM(C17:N17)</f>
        <v>261964</v>
      </c>
      <c r="P17" s="185">
        <f>B17+O17</f>
        <v>1357945</v>
      </c>
      <c r="Q17" s="185">
        <v>2111000</v>
      </c>
      <c r="R17" s="185"/>
      <c r="S17" s="187">
        <f>P17/Q17</f>
        <v>0.64327096162955943</v>
      </c>
    </row>
    <row r="18" spans="1:19" s="163" customFormat="1" x14ac:dyDescent="0.2">
      <c r="A18" s="195" t="s">
        <v>169</v>
      </c>
      <c r="B18" s="183">
        <v>288785</v>
      </c>
      <c r="C18" s="179">
        <v>1595</v>
      </c>
      <c r="D18" s="179">
        <v>8889</v>
      </c>
      <c r="E18" s="179">
        <v>9917</v>
      </c>
      <c r="F18" s="179">
        <v>1380720</v>
      </c>
      <c r="G18" s="179">
        <v>76074</v>
      </c>
      <c r="H18" s="179">
        <v>-4569</v>
      </c>
      <c r="I18" s="179">
        <v>47748</v>
      </c>
      <c r="J18" s="179"/>
      <c r="K18" s="179"/>
      <c r="L18" s="179"/>
      <c r="M18" s="179"/>
      <c r="N18" s="179"/>
      <c r="O18" s="185">
        <f>SUM(C18:N18)</f>
        <v>1520374</v>
      </c>
      <c r="P18" s="185">
        <f>B18+O18</f>
        <v>1809159</v>
      </c>
      <c r="Q18" s="185">
        <v>9464167</v>
      </c>
      <c r="R18" s="185"/>
      <c r="S18" s="187">
        <f>P18/Q18</f>
        <v>0.19115882042233617</v>
      </c>
    </row>
    <row r="19" spans="1:19" s="163" customFormat="1" x14ac:dyDescent="0.2">
      <c r="A19" s="195" t="s">
        <v>122</v>
      </c>
      <c r="B19" s="183">
        <v>1224763</v>
      </c>
      <c r="C19" s="179">
        <v>27769</v>
      </c>
      <c r="D19" s="179">
        <v>24248</v>
      </c>
      <c r="E19" s="179">
        <v>19659</v>
      </c>
      <c r="F19" s="179">
        <v>60864</v>
      </c>
      <c r="G19" s="179">
        <v>34156</v>
      </c>
      <c r="H19" s="179">
        <v>90524</v>
      </c>
      <c r="I19" s="179">
        <v>28001</v>
      </c>
      <c r="J19" s="179"/>
      <c r="K19" s="179"/>
      <c r="L19" s="179"/>
      <c r="M19" s="179"/>
      <c r="N19" s="179"/>
      <c r="O19" s="185">
        <f>SUM(C19:N19)</f>
        <v>285221</v>
      </c>
      <c r="P19" s="185">
        <f>B19+O19</f>
        <v>1509984</v>
      </c>
      <c r="Q19" s="185">
        <v>8973000</v>
      </c>
      <c r="R19" s="185"/>
      <c r="S19" s="187">
        <f>P19/Q19</f>
        <v>0.16828084252758274</v>
      </c>
    </row>
    <row r="20" spans="1:19" s="163" customFormat="1" x14ac:dyDescent="0.2">
      <c r="A20" s="196" t="s">
        <v>36</v>
      </c>
      <c r="B20" s="190">
        <f t="shared" ref="B20:R20" si="2">SUM(B17:B19)</f>
        <v>2609529</v>
      </c>
      <c r="C20" s="191">
        <f t="shared" si="2"/>
        <v>80427</v>
      </c>
      <c r="D20" s="191">
        <f t="shared" si="2"/>
        <v>78678</v>
      </c>
      <c r="E20" s="191">
        <f t="shared" si="2"/>
        <v>50600</v>
      </c>
      <c r="F20" s="191">
        <f t="shared" si="2"/>
        <v>1473329</v>
      </c>
      <c r="G20" s="191">
        <f t="shared" si="2"/>
        <v>182125</v>
      </c>
      <c r="H20" s="191">
        <f t="shared" si="2"/>
        <v>95761</v>
      </c>
      <c r="I20" s="191">
        <f t="shared" si="2"/>
        <v>106639</v>
      </c>
      <c r="J20" s="191">
        <f t="shared" si="2"/>
        <v>0</v>
      </c>
      <c r="K20" s="191">
        <f t="shared" si="2"/>
        <v>0</v>
      </c>
      <c r="L20" s="191">
        <f t="shared" si="2"/>
        <v>0</v>
      </c>
      <c r="M20" s="191">
        <f t="shared" si="2"/>
        <v>0</v>
      </c>
      <c r="N20" s="191">
        <f t="shared" si="2"/>
        <v>0</v>
      </c>
      <c r="O20" s="192">
        <f t="shared" si="2"/>
        <v>2067559</v>
      </c>
      <c r="P20" s="192">
        <f t="shared" si="2"/>
        <v>4677088</v>
      </c>
      <c r="Q20" s="192">
        <f t="shared" si="2"/>
        <v>20548167</v>
      </c>
      <c r="R20" s="192">
        <f t="shared" si="2"/>
        <v>0</v>
      </c>
      <c r="S20" s="199">
        <f>P20/Q20</f>
        <v>0.22761582578144318</v>
      </c>
    </row>
    <row r="21" spans="1:19" s="163" customFormat="1" x14ac:dyDescent="0.2">
      <c r="A21" s="182"/>
      <c r="B21" s="18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5"/>
      <c r="P21" s="185"/>
      <c r="Q21" s="185"/>
      <c r="R21" s="185"/>
      <c r="S21" s="187"/>
    </row>
    <row r="22" spans="1:19" s="163" customFormat="1" x14ac:dyDescent="0.2">
      <c r="A22" s="177" t="s">
        <v>170</v>
      </c>
      <c r="B22" s="18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5"/>
      <c r="P22" s="185"/>
      <c r="Q22" s="185"/>
      <c r="R22" s="185"/>
      <c r="S22" s="187"/>
    </row>
    <row r="23" spans="1:19" s="163" customFormat="1" x14ac:dyDescent="0.2">
      <c r="A23" s="195" t="s">
        <v>171</v>
      </c>
      <c r="B23" s="183">
        <v>10484</v>
      </c>
      <c r="C23" s="179">
        <v>2034</v>
      </c>
      <c r="D23" s="179">
        <v>1819</v>
      </c>
      <c r="E23" s="179">
        <v>2435</v>
      </c>
      <c r="F23" s="179">
        <v>1305</v>
      </c>
      <c r="G23" s="179">
        <v>2625</v>
      </c>
      <c r="H23" s="179">
        <v>2456</v>
      </c>
      <c r="I23" s="179">
        <v>3573</v>
      </c>
      <c r="J23" s="179"/>
      <c r="K23" s="179"/>
      <c r="L23" s="179"/>
      <c r="M23" s="179"/>
      <c r="N23" s="179"/>
      <c r="O23" s="185">
        <f>SUM(C23:N23)</f>
        <v>16247</v>
      </c>
      <c r="P23" s="185">
        <f>B23+O23</f>
        <v>26731</v>
      </c>
      <c r="Q23" s="185">
        <v>433000</v>
      </c>
      <c r="R23" s="185"/>
      <c r="S23" s="187">
        <f>P23/Q23</f>
        <v>6.1734411085450344E-2</v>
      </c>
    </row>
    <row r="24" spans="1:19" s="163" customFormat="1" x14ac:dyDescent="0.2">
      <c r="A24" s="195" t="s">
        <v>172</v>
      </c>
      <c r="B24" s="183">
        <v>124043</v>
      </c>
      <c r="C24" s="179">
        <v>2514</v>
      </c>
      <c r="D24" s="179">
        <v>-29546</v>
      </c>
      <c r="E24" s="179">
        <v>3461</v>
      </c>
      <c r="F24" s="179">
        <v>3929</v>
      </c>
      <c r="G24" s="179">
        <v>3780</v>
      </c>
      <c r="H24" s="179">
        <v>21788</v>
      </c>
      <c r="I24" s="179">
        <v>-14940</v>
      </c>
      <c r="J24" s="179"/>
      <c r="K24" s="179"/>
      <c r="L24" s="179"/>
      <c r="M24" s="179"/>
      <c r="N24" s="179"/>
      <c r="O24" s="185">
        <f>SUM(C24:N24)</f>
        <v>-9014</v>
      </c>
      <c r="P24" s="185">
        <f>B24+O24</f>
        <v>115029</v>
      </c>
      <c r="Q24" s="185">
        <v>1126000</v>
      </c>
      <c r="R24" s="185"/>
      <c r="S24" s="187">
        <f>P24/Q24</f>
        <v>0.10215719360568383</v>
      </c>
    </row>
    <row r="25" spans="1:19" s="163" customFormat="1" x14ac:dyDescent="0.2">
      <c r="A25" s="196" t="s">
        <v>37</v>
      </c>
      <c r="B25" s="190">
        <f>SUM(B23:B24)</f>
        <v>134527</v>
      </c>
      <c r="C25" s="191">
        <f>SUM(C23:C24)</f>
        <v>4548</v>
      </c>
      <c r="D25" s="191">
        <f>SUM(D23:D24)</f>
        <v>-27727</v>
      </c>
      <c r="E25" s="191">
        <f>SUM(E23:E24)</f>
        <v>5896</v>
      </c>
      <c r="F25" s="191">
        <f t="shared" ref="F25:S25" si="3">SUM(F23:F24)</f>
        <v>5234</v>
      </c>
      <c r="G25" s="191">
        <f t="shared" si="3"/>
        <v>6405</v>
      </c>
      <c r="H25" s="191">
        <f t="shared" si="3"/>
        <v>24244</v>
      </c>
      <c r="I25" s="191">
        <f t="shared" si="3"/>
        <v>-11367</v>
      </c>
      <c r="J25" s="191">
        <f t="shared" si="3"/>
        <v>0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0</v>
      </c>
      <c r="O25" s="192">
        <f t="shared" si="3"/>
        <v>7233</v>
      </c>
      <c r="P25" s="192">
        <f t="shared" si="3"/>
        <v>141760</v>
      </c>
      <c r="Q25" s="192">
        <f t="shared" si="3"/>
        <v>1559000</v>
      </c>
      <c r="R25" s="192">
        <f t="shared" si="3"/>
        <v>0</v>
      </c>
      <c r="S25" s="199">
        <f t="shared" si="3"/>
        <v>0.16389160469113417</v>
      </c>
    </row>
    <row r="26" spans="1:19" s="163" customFormat="1" x14ac:dyDescent="0.2">
      <c r="A26" s="182"/>
      <c r="B26" s="183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5"/>
      <c r="P26" s="185"/>
      <c r="Q26" s="185"/>
      <c r="R26" s="185"/>
      <c r="S26" s="187"/>
    </row>
    <row r="27" spans="1:19" s="163" customFormat="1" x14ac:dyDescent="0.2">
      <c r="A27" s="177" t="s">
        <v>173</v>
      </c>
      <c r="B27" s="183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5"/>
      <c r="P27" s="185"/>
      <c r="Q27" s="185"/>
      <c r="R27" s="185"/>
      <c r="S27" s="187"/>
    </row>
    <row r="28" spans="1:19" s="163" customFormat="1" x14ac:dyDescent="0.2">
      <c r="A28" s="195" t="s">
        <v>174</v>
      </c>
      <c r="B28" s="183">
        <v>2579066</v>
      </c>
      <c r="C28" s="179">
        <v>75997</v>
      </c>
      <c r="D28" s="179">
        <v>159886</v>
      </c>
      <c r="E28" s="179">
        <v>174204</v>
      </c>
      <c r="F28" s="179">
        <v>151669</v>
      </c>
      <c r="G28" s="179">
        <v>64870</v>
      </c>
      <c r="H28" s="179">
        <v>86216</v>
      </c>
      <c r="I28" s="179">
        <v>265706</v>
      </c>
      <c r="J28" s="179"/>
      <c r="K28" s="179"/>
      <c r="L28" s="179"/>
      <c r="M28" s="179"/>
      <c r="N28" s="179"/>
      <c r="O28" s="185">
        <f>SUM(C28:N28)</f>
        <v>978548</v>
      </c>
      <c r="P28" s="185">
        <f>B28+O28</f>
        <v>3557614</v>
      </c>
      <c r="Q28" s="185">
        <v>5115000</v>
      </c>
      <c r="R28" s="185"/>
      <c r="S28" s="201">
        <f>P28/Q28</f>
        <v>0.69552570869990227</v>
      </c>
    </row>
    <row r="29" spans="1:19" s="163" customFormat="1" x14ac:dyDescent="0.2">
      <c r="A29" s="195" t="s">
        <v>163</v>
      </c>
      <c r="B29" s="183">
        <v>0</v>
      </c>
      <c r="C29" s="179">
        <v>10516</v>
      </c>
      <c r="D29" s="179">
        <v>-10516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/>
      <c r="K29" s="179"/>
      <c r="L29" s="179"/>
      <c r="M29" s="179"/>
      <c r="N29" s="179"/>
      <c r="O29" s="185">
        <f>SUM(C29:N29)</f>
        <v>0</v>
      </c>
      <c r="P29" s="185">
        <f>B29+O29</f>
        <v>0</v>
      </c>
      <c r="Q29" s="185">
        <v>600000</v>
      </c>
      <c r="R29" s="185"/>
      <c r="S29" s="187">
        <f>P29/Q29</f>
        <v>0</v>
      </c>
    </row>
    <row r="30" spans="1:19" s="163" customFormat="1" x14ac:dyDescent="0.2">
      <c r="A30" s="196" t="s">
        <v>38</v>
      </c>
      <c r="B30" s="190">
        <f>SUM(B28:B29)</f>
        <v>2579066</v>
      </c>
      <c r="C30" s="191">
        <f>SUM(C28:C29)</f>
        <v>86513</v>
      </c>
      <c r="D30" s="191">
        <f>SUM(D28:D29)</f>
        <v>149370</v>
      </c>
      <c r="E30" s="191">
        <f t="shared" ref="E30:S30" si="4">SUM(E28:E29)</f>
        <v>174204</v>
      </c>
      <c r="F30" s="191">
        <f t="shared" si="4"/>
        <v>151669</v>
      </c>
      <c r="G30" s="191">
        <f t="shared" si="4"/>
        <v>64870</v>
      </c>
      <c r="H30" s="191">
        <f t="shared" si="4"/>
        <v>86216</v>
      </c>
      <c r="I30" s="191">
        <f t="shared" si="4"/>
        <v>265706</v>
      </c>
      <c r="J30" s="191">
        <f t="shared" si="4"/>
        <v>0</v>
      </c>
      <c r="K30" s="191">
        <f t="shared" si="4"/>
        <v>0</v>
      </c>
      <c r="L30" s="191">
        <f t="shared" si="4"/>
        <v>0</v>
      </c>
      <c r="M30" s="191">
        <f t="shared" si="4"/>
        <v>0</v>
      </c>
      <c r="N30" s="191">
        <f t="shared" si="4"/>
        <v>0</v>
      </c>
      <c r="O30" s="192">
        <f t="shared" si="4"/>
        <v>978548</v>
      </c>
      <c r="P30" s="192">
        <f t="shared" si="4"/>
        <v>3557614</v>
      </c>
      <c r="Q30" s="192">
        <f t="shared" si="4"/>
        <v>5715000</v>
      </c>
      <c r="R30" s="192">
        <f t="shared" si="4"/>
        <v>0</v>
      </c>
      <c r="S30" s="199">
        <f t="shared" si="4"/>
        <v>0.69552570869990227</v>
      </c>
    </row>
    <row r="31" spans="1:19" s="163" customFormat="1" x14ac:dyDescent="0.2">
      <c r="A31" s="336"/>
      <c r="B31" s="18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5"/>
      <c r="P31" s="185"/>
      <c r="Q31" s="185"/>
      <c r="R31" s="185"/>
      <c r="S31" s="187"/>
    </row>
    <row r="32" spans="1:19" s="163" customFormat="1" x14ac:dyDescent="0.2">
      <c r="A32" s="177" t="s">
        <v>175</v>
      </c>
      <c r="B32" s="183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5"/>
      <c r="P32" s="185"/>
      <c r="Q32" s="185"/>
      <c r="R32" s="185"/>
      <c r="S32" s="187"/>
    </row>
    <row r="33" spans="1:19" s="163" customFormat="1" ht="14.25" x14ac:dyDescent="0.2">
      <c r="A33" s="195" t="s">
        <v>253</v>
      </c>
      <c r="B33" s="183">
        <v>960020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/>
      <c r="K33" s="179"/>
      <c r="L33" s="179"/>
      <c r="M33" s="179"/>
      <c r="N33" s="179"/>
      <c r="O33" s="185">
        <f>SUM(C33:N33)</f>
        <v>0</v>
      </c>
      <c r="P33" s="185">
        <f>B33+O33</f>
        <v>960020</v>
      </c>
      <c r="Q33" s="200">
        <v>1000000</v>
      </c>
      <c r="R33" s="200"/>
      <c r="S33" s="200">
        <f>P33/Q33</f>
        <v>0.96001999999999998</v>
      </c>
    </row>
    <row r="34" spans="1:19" s="163" customFormat="1" x14ac:dyDescent="0.2">
      <c r="A34" s="182" t="s">
        <v>100</v>
      </c>
      <c r="B34" s="183">
        <v>138099</v>
      </c>
      <c r="C34" s="202">
        <v>0</v>
      </c>
      <c r="D34" s="202">
        <v>0</v>
      </c>
      <c r="E34" s="202">
        <v>10184</v>
      </c>
      <c r="F34" s="202">
        <v>58543</v>
      </c>
      <c r="G34" s="202">
        <v>77388</v>
      </c>
      <c r="H34" s="202">
        <v>13858</v>
      </c>
      <c r="I34" s="202">
        <v>35585</v>
      </c>
      <c r="J34" s="202"/>
      <c r="K34" s="202"/>
      <c r="L34" s="202"/>
      <c r="M34" s="202"/>
      <c r="N34" s="202"/>
      <c r="O34" s="185">
        <f>SUM(C34:N34)</f>
        <v>195558</v>
      </c>
      <c r="P34" s="185">
        <f>B34+O34</f>
        <v>333657</v>
      </c>
      <c r="Q34" s="185">
        <v>1100000</v>
      </c>
      <c r="R34" s="185"/>
      <c r="S34" s="201">
        <f>P34/Q34</f>
        <v>0.30332454545454546</v>
      </c>
    </row>
    <row r="35" spans="1:19" s="163" customFormat="1" x14ac:dyDescent="0.2">
      <c r="A35" s="182" t="s">
        <v>164</v>
      </c>
      <c r="B35" s="183">
        <v>749990</v>
      </c>
      <c r="C35" s="179">
        <v>1349</v>
      </c>
      <c r="D35" s="179">
        <v>11148</v>
      </c>
      <c r="E35" s="179">
        <v>3153</v>
      </c>
      <c r="F35" s="179">
        <v>25746</v>
      </c>
      <c r="G35" s="179">
        <v>5555</v>
      </c>
      <c r="H35" s="179">
        <v>11235</v>
      </c>
      <c r="I35" s="179">
        <v>135813</v>
      </c>
      <c r="J35" s="179"/>
      <c r="K35" s="179"/>
      <c r="L35" s="179"/>
      <c r="M35" s="179"/>
      <c r="N35" s="179"/>
      <c r="O35" s="185">
        <f>SUM(C35:N35)</f>
        <v>193999</v>
      </c>
      <c r="P35" s="185">
        <f>B35+O35</f>
        <v>943989</v>
      </c>
      <c r="Q35" s="185">
        <v>4650000</v>
      </c>
      <c r="R35" s="185"/>
      <c r="S35" s="187">
        <f>P35/Q35</f>
        <v>0.20300838709677418</v>
      </c>
    </row>
    <row r="36" spans="1:19" s="163" customFormat="1" x14ac:dyDescent="0.2">
      <c r="A36" s="196" t="s">
        <v>39</v>
      </c>
      <c r="B36" s="190">
        <f t="shared" ref="B36:R36" si="5">SUM(B33:B35)</f>
        <v>1848109</v>
      </c>
      <c r="C36" s="191">
        <f t="shared" si="5"/>
        <v>1349</v>
      </c>
      <c r="D36" s="191">
        <f t="shared" si="5"/>
        <v>11148</v>
      </c>
      <c r="E36" s="191">
        <f t="shared" si="5"/>
        <v>13337</v>
      </c>
      <c r="F36" s="191">
        <f t="shared" si="5"/>
        <v>84289</v>
      </c>
      <c r="G36" s="191">
        <f t="shared" si="5"/>
        <v>82943</v>
      </c>
      <c r="H36" s="191">
        <f t="shared" si="5"/>
        <v>25093</v>
      </c>
      <c r="I36" s="191">
        <f t="shared" si="5"/>
        <v>171398</v>
      </c>
      <c r="J36" s="191">
        <f t="shared" si="5"/>
        <v>0</v>
      </c>
      <c r="K36" s="191">
        <f t="shared" si="5"/>
        <v>0</v>
      </c>
      <c r="L36" s="191">
        <f t="shared" si="5"/>
        <v>0</v>
      </c>
      <c r="M36" s="191">
        <f t="shared" si="5"/>
        <v>0</v>
      </c>
      <c r="N36" s="191">
        <f t="shared" si="5"/>
        <v>0</v>
      </c>
      <c r="O36" s="192">
        <f t="shared" si="5"/>
        <v>389557</v>
      </c>
      <c r="P36" s="192">
        <f t="shared" si="5"/>
        <v>2237666</v>
      </c>
      <c r="Q36" s="192">
        <f t="shared" si="5"/>
        <v>6750000</v>
      </c>
      <c r="R36" s="192">
        <f t="shared" si="5"/>
        <v>0</v>
      </c>
      <c r="S36" s="199">
        <f>P36/Q36</f>
        <v>0.33150607407407406</v>
      </c>
    </row>
    <row r="37" spans="1:19" s="163" customFormat="1" x14ac:dyDescent="0.2">
      <c r="A37" s="336"/>
      <c r="B37" s="183"/>
      <c r="C37" s="179"/>
      <c r="D37" s="179" t="s">
        <v>194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5"/>
      <c r="P37" s="185"/>
      <c r="Q37" s="185"/>
      <c r="R37" s="185"/>
      <c r="S37" s="187"/>
    </row>
    <row r="38" spans="1:19" s="163" customFormat="1" x14ac:dyDescent="0.2">
      <c r="A38" s="177" t="s">
        <v>176</v>
      </c>
      <c r="B38" s="18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85"/>
      <c r="P38" s="185"/>
      <c r="Q38" s="185"/>
      <c r="R38" s="185"/>
      <c r="S38" s="187"/>
    </row>
    <row r="39" spans="1:19" s="163" customFormat="1" x14ac:dyDescent="0.2">
      <c r="A39" s="182" t="s">
        <v>177</v>
      </c>
      <c r="B39" s="183">
        <v>1471044</v>
      </c>
      <c r="C39" s="179">
        <v>58316</v>
      </c>
      <c r="D39" s="179">
        <v>76393</v>
      </c>
      <c r="E39" s="179">
        <v>91383</v>
      </c>
      <c r="F39" s="179">
        <v>71096</v>
      </c>
      <c r="G39" s="179">
        <v>82734</v>
      </c>
      <c r="H39" s="179">
        <v>78561</v>
      </c>
      <c r="I39" s="179">
        <v>48797</v>
      </c>
      <c r="J39" s="179"/>
      <c r="K39" s="179"/>
      <c r="L39" s="179"/>
      <c r="M39" s="179"/>
      <c r="N39" s="179"/>
      <c r="O39" s="185">
        <f>SUM(C39:N39)</f>
        <v>507280</v>
      </c>
      <c r="P39" s="185">
        <f>B39+O39</f>
        <v>1978324</v>
      </c>
      <c r="Q39" s="185">
        <v>2231000</v>
      </c>
      <c r="R39" s="185"/>
      <c r="S39" s="187">
        <f>P39/Q39</f>
        <v>0.88674316450022417</v>
      </c>
    </row>
    <row r="40" spans="1:19" s="163" customFormat="1" x14ac:dyDescent="0.2">
      <c r="A40" s="182" t="s">
        <v>178</v>
      </c>
      <c r="B40" s="183">
        <v>1447146</v>
      </c>
      <c r="C40" s="179">
        <v>16500</v>
      </c>
      <c r="D40" s="179">
        <v>32526</v>
      </c>
      <c r="E40" s="179">
        <v>58538</v>
      </c>
      <c r="F40" s="179">
        <v>66926</v>
      </c>
      <c r="G40" s="179">
        <v>133130</v>
      </c>
      <c r="H40" s="179">
        <v>110756</v>
      </c>
      <c r="I40" s="179">
        <v>27887</v>
      </c>
      <c r="J40" s="179"/>
      <c r="K40" s="179"/>
      <c r="L40" s="179"/>
      <c r="M40" s="179"/>
      <c r="N40" s="179"/>
      <c r="O40" s="185">
        <f>SUM(C40:N40)</f>
        <v>446263</v>
      </c>
      <c r="P40" s="185">
        <f>B40+O40</f>
        <v>1893409</v>
      </c>
      <c r="Q40" s="185">
        <v>5410000</v>
      </c>
      <c r="R40" s="185"/>
      <c r="S40" s="187">
        <f>P40/Q40</f>
        <v>0.34998317929759704</v>
      </c>
    </row>
    <row r="41" spans="1:19" s="163" customFormat="1" x14ac:dyDescent="0.2">
      <c r="A41" s="196" t="s">
        <v>40</v>
      </c>
      <c r="B41" s="190">
        <f>SUM(B39:B40)</f>
        <v>2918190</v>
      </c>
      <c r="C41" s="191">
        <f>SUM(C39:C40)</f>
        <v>74816</v>
      </c>
      <c r="D41" s="191">
        <f>SUM(D39:D40)</f>
        <v>108919</v>
      </c>
      <c r="E41" s="191">
        <f t="shared" ref="E41:S41" si="6">SUM(E39:E40)</f>
        <v>149921</v>
      </c>
      <c r="F41" s="191">
        <f t="shared" si="6"/>
        <v>138022</v>
      </c>
      <c r="G41" s="191">
        <f t="shared" si="6"/>
        <v>215864</v>
      </c>
      <c r="H41" s="191">
        <f t="shared" si="6"/>
        <v>189317</v>
      </c>
      <c r="I41" s="191">
        <f t="shared" si="6"/>
        <v>76684</v>
      </c>
      <c r="J41" s="191">
        <f t="shared" si="6"/>
        <v>0</v>
      </c>
      <c r="K41" s="191">
        <f t="shared" si="6"/>
        <v>0</v>
      </c>
      <c r="L41" s="191">
        <f t="shared" si="6"/>
        <v>0</v>
      </c>
      <c r="M41" s="191">
        <f t="shared" si="6"/>
        <v>0</v>
      </c>
      <c r="N41" s="191">
        <f t="shared" si="6"/>
        <v>0</v>
      </c>
      <c r="O41" s="192">
        <f t="shared" si="6"/>
        <v>953543</v>
      </c>
      <c r="P41" s="192">
        <f t="shared" si="6"/>
        <v>3871733</v>
      </c>
      <c r="Q41" s="192">
        <f t="shared" si="6"/>
        <v>7641000</v>
      </c>
      <c r="R41" s="192">
        <f t="shared" si="6"/>
        <v>0</v>
      </c>
      <c r="S41" s="199">
        <f t="shared" si="6"/>
        <v>1.2367263437978213</v>
      </c>
    </row>
    <row r="42" spans="1:19" s="163" customFormat="1" x14ac:dyDescent="0.2">
      <c r="A42" s="182"/>
      <c r="B42" s="183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85"/>
      <c r="P42" s="185"/>
      <c r="Q42" s="185"/>
      <c r="R42" s="185"/>
      <c r="S42" s="187"/>
    </row>
    <row r="43" spans="1:19" s="163" customFormat="1" x14ac:dyDescent="0.2">
      <c r="A43" s="177" t="s">
        <v>179</v>
      </c>
      <c r="B43" s="183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85"/>
      <c r="P43" s="185"/>
      <c r="Q43" s="185"/>
      <c r="R43" s="185"/>
      <c r="S43" s="187"/>
    </row>
    <row r="44" spans="1:19" s="163" customFormat="1" x14ac:dyDescent="0.2">
      <c r="A44" s="195" t="s">
        <v>121</v>
      </c>
      <c r="B44" s="183">
        <v>1637120</v>
      </c>
      <c r="C44" s="179">
        <v>0</v>
      </c>
      <c r="D44" s="179">
        <v>-50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/>
      <c r="K44" s="179"/>
      <c r="L44" s="179"/>
      <c r="M44" s="179"/>
      <c r="N44" s="179"/>
      <c r="O44" s="185">
        <f>SUM(C44:N44)</f>
        <v>-50</v>
      </c>
      <c r="P44" s="185">
        <f>B44+O44</f>
        <v>1637070</v>
      </c>
      <c r="Q44" s="185">
        <v>3321000</v>
      </c>
      <c r="R44" s="185"/>
      <c r="S44" s="187">
        <f>P44/Q44</f>
        <v>0.49294489611562781</v>
      </c>
    </row>
    <row r="45" spans="1:19" s="163" customFormat="1" x14ac:dyDescent="0.2">
      <c r="A45" s="195" t="s">
        <v>180</v>
      </c>
      <c r="B45" s="183">
        <v>1160537</v>
      </c>
      <c r="C45" s="179">
        <v>0</v>
      </c>
      <c r="D45" s="179">
        <v>797</v>
      </c>
      <c r="E45" s="179">
        <v>1977</v>
      </c>
      <c r="F45" s="179">
        <v>3709</v>
      </c>
      <c r="G45" s="179">
        <v>10780</v>
      </c>
      <c r="H45" s="179">
        <v>2715</v>
      </c>
      <c r="I45" s="179">
        <v>-14</v>
      </c>
      <c r="J45" s="179"/>
      <c r="K45" s="179"/>
      <c r="L45" s="179"/>
      <c r="M45" s="179"/>
      <c r="N45" s="179"/>
      <c r="O45" s="185">
        <f>SUM(C45:N45)</f>
        <v>19964</v>
      </c>
      <c r="P45" s="185">
        <f>B45+O45</f>
        <v>1180501</v>
      </c>
      <c r="Q45" s="185">
        <v>984359</v>
      </c>
      <c r="R45" s="185"/>
      <c r="S45" s="187">
        <f>P45/Q45</f>
        <v>1.199258603822386</v>
      </c>
    </row>
    <row r="46" spans="1:19" s="163" customFormat="1" x14ac:dyDescent="0.2">
      <c r="A46" s="196" t="s">
        <v>41</v>
      </c>
      <c r="B46" s="190">
        <f>SUM(B44:B45)</f>
        <v>2797657</v>
      </c>
      <c r="C46" s="191">
        <f>SUM(C44:C45)</f>
        <v>0</v>
      </c>
      <c r="D46" s="191">
        <f>SUM(D44:D45)</f>
        <v>747</v>
      </c>
      <c r="E46" s="191">
        <f t="shared" ref="E46:S46" si="7">SUM(E44:E45)</f>
        <v>1977</v>
      </c>
      <c r="F46" s="191">
        <f t="shared" si="7"/>
        <v>3709</v>
      </c>
      <c r="G46" s="191">
        <f t="shared" si="7"/>
        <v>10780</v>
      </c>
      <c r="H46" s="191">
        <f t="shared" si="7"/>
        <v>2715</v>
      </c>
      <c r="I46" s="191">
        <f t="shared" si="7"/>
        <v>-14</v>
      </c>
      <c r="J46" s="191">
        <f t="shared" si="7"/>
        <v>0</v>
      </c>
      <c r="K46" s="191">
        <f t="shared" si="7"/>
        <v>0</v>
      </c>
      <c r="L46" s="191">
        <f t="shared" si="7"/>
        <v>0</v>
      </c>
      <c r="M46" s="191">
        <f t="shared" si="7"/>
        <v>0</v>
      </c>
      <c r="N46" s="191">
        <f t="shared" si="7"/>
        <v>0</v>
      </c>
      <c r="O46" s="192">
        <f t="shared" si="7"/>
        <v>19914</v>
      </c>
      <c r="P46" s="192">
        <f t="shared" si="7"/>
        <v>2817571</v>
      </c>
      <c r="Q46" s="192">
        <f t="shared" si="7"/>
        <v>4305359</v>
      </c>
      <c r="R46" s="192">
        <f t="shared" si="7"/>
        <v>0</v>
      </c>
      <c r="S46" s="199">
        <f t="shared" si="7"/>
        <v>1.6922034999380138</v>
      </c>
    </row>
    <row r="47" spans="1:19" s="163" customFormat="1" x14ac:dyDescent="0.2">
      <c r="A47" s="182"/>
      <c r="B47" s="183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5"/>
      <c r="P47" s="185"/>
      <c r="Q47" s="185"/>
      <c r="R47" s="185"/>
      <c r="S47" s="187"/>
    </row>
    <row r="48" spans="1:19" s="163" customFormat="1" x14ac:dyDescent="0.2">
      <c r="A48" s="177" t="s">
        <v>181</v>
      </c>
      <c r="B48" s="183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5"/>
      <c r="P48" s="185"/>
      <c r="Q48" s="185"/>
      <c r="R48" s="185"/>
      <c r="S48" s="187"/>
    </row>
    <row r="49" spans="1:26" s="163" customFormat="1" x14ac:dyDescent="0.2">
      <c r="A49" s="182" t="s">
        <v>104</v>
      </c>
      <c r="B49" s="183">
        <v>231177</v>
      </c>
      <c r="C49" s="179">
        <v>5451</v>
      </c>
      <c r="D49" s="179">
        <v>8380</v>
      </c>
      <c r="E49" s="179">
        <v>7955</v>
      </c>
      <c r="F49" s="179">
        <v>12404</v>
      </c>
      <c r="G49" s="179">
        <v>9752</v>
      </c>
      <c r="H49" s="179">
        <v>11253</v>
      </c>
      <c r="I49" s="179">
        <v>9295</v>
      </c>
      <c r="J49" s="179"/>
      <c r="K49" s="179"/>
      <c r="L49" s="179"/>
      <c r="M49" s="179"/>
      <c r="N49" s="179"/>
      <c r="O49" s="185">
        <f>SUM(C49:N49)</f>
        <v>64490</v>
      </c>
      <c r="P49" s="198">
        <f>B49+O49</f>
        <v>295667</v>
      </c>
      <c r="Q49" s="197">
        <v>3000000</v>
      </c>
      <c r="R49" s="197"/>
      <c r="S49" s="187">
        <f>P49/Q49</f>
        <v>9.8555666666666666E-2</v>
      </c>
    </row>
    <row r="50" spans="1:26" s="163" customFormat="1" x14ac:dyDescent="0.2">
      <c r="A50" s="189" t="s">
        <v>42</v>
      </c>
      <c r="B50" s="190">
        <f>SUM(B49)</f>
        <v>231177</v>
      </c>
      <c r="C50" s="191">
        <f>SUM(C49)</f>
        <v>5451</v>
      </c>
      <c r="D50" s="191">
        <f>SUM(D49)</f>
        <v>8380</v>
      </c>
      <c r="E50" s="191">
        <f t="shared" ref="E50:M50" si="8">SUM(E49)</f>
        <v>7955</v>
      </c>
      <c r="F50" s="191">
        <f t="shared" si="8"/>
        <v>12404</v>
      </c>
      <c r="G50" s="191">
        <f t="shared" si="8"/>
        <v>9752</v>
      </c>
      <c r="H50" s="191">
        <f t="shared" si="8"/>
        <v>11253</v>
      </c>
      <c r="I50" s="191">
        <f t="shared" si="8"/>
        <v>9295</v>
      </c>
      <c r="J50" s="191">
        <f t="shared" si="8"/>
        <v>0</v>
      </c>
      <c r="K50" s="191">
        <f t="shared" si="8"/>
        <v>0</v>
      </c>
      <c r="L50" s="191">
        <f t="shared" si="8"/>
        <v>0</v>
      </c>
      <c r="M50" s="191">
        <f t="shared" si="8"/>
        <v>0</v>
      </c>
      <c r="N50" s="191">
        <f>SUM(N49)</f>
        <v>0</v>
      </c>
      <c r="O50" s="192">
        <f>SUM(O49)</f>
        <v>64490</v>
      </c>
      <c r="P50" s="192">
        <f>SUM(P49)</f>
        <v>295667</v>
      </c>
      <c r="Q50" s="192">
        <f>SUM(Q49)</f>
        <v>3000000</v>
      </c>
      <c r="R50" s="192">
        <f>SUM(R49)</f>
        <v>0</v>
      </c>
      <c r="S50" s="193">
        <f>+P50/Q50</f>
        <v>9.8555666666666666E-2</v>
      </c>
    </row>
    <row r="51" spans="1:26" s="163" customFormat="1" x14ac:dyDescent="0.2">
      <c r="A51" s="336"/>
      <c r="B51" s="183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5"/>
      <c r="P51" s="185"/>
      <c r="Q51" s="185"/>
      <c r="R51" s="185"/>
      <c r="S51" s="187"/>
    </row>
    <row r="52" spans="1:26" s="163" customFormat="1" x14ac:dyDescent="0.2">
      <c r="A52" s="203"/>
      <c r="B52" s="204"/>
      <c r="C52" s="179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79"/>
      <c r="O52" s="185"/>
      <c r="P52" s="185"/>
      <c r="Q52" s="185"/>
      <c r="R52" s="185"/>
      <c r="S52" s="201"/>
    </row>
    <row r="53" spans="1:26" ht="15" customHeight="1" thickBot="1" x14ac:dyDescent="0.25">
      <c r="A53" s="205" t="s">
        <v>27</v>
      </c>
      <c r="B53" s="206">
        <f>B9+B14+B20+B25+B30+B36+B41+B46+B50</f>
        <v>18735059</v>
      </c>
      <c r="C53" s="207">
        <f>C9+C14+C20+C25+C30+C36+C41+C46+C50</f>
        <v>471850</v>
      </c>
      <c r="D53" s="207">
        <f>D9+D14+D20+D25+D30+D36+D41+D46+D50</f>
        <v>385346</v>
      </c>
      <c r="E53" s="207">
        <f t="shared" ref="E53:M53" si="9">E9+E14+E20+E25+E30+E36+E41+E46+E50</f>
        <v>466518</v>
      </c>
      <c r="F53" s="207">
        <f t="shared" si="9"/>
        <v>1925098</v>
      </c>
      <c r="G53" s="207">
        <f t="shared" si="9"/>
        <v>674944</v>
      </c>
      <c r="H53" s="207">
        <f t="shared" si="9"/>
        <v>538453</v>
      </c>
      <c r="I53" s="207">
        <f t="shared" si="9"/>
        <v>659428</v>
      </c>
      <c r="J53" s="207">
        <f t="shared" si="9"/>
        <v>0</v>
      </c>
      <c r="K53" s="207">
        <f t="shared" si="9"/>
        <v>0</v>
      </c>
      <c r="L53" s="207">
        <f t="shared" si="9"/>
        <v>0</v>
      </c>
      <c r="M53" s="207">
        <f t="shared" si="9"/>
        <v>0</v>
      </c>
      <c r="N53" s="207">
        <f>N9+N14+N20+N25+N30+N36+N41+N46+N50</f>
        <v>0</v>
      </c>
      <c r="O53" s="208">
        <f>O9+O14+O20+O25+O30+O36+O41+O46+O50</f>
        <v>5121637</v>
      </c>
      <c r="P53" s="208">
        <f>P9+P14+P20+P25+P30+P36+P41+P46+P50</f>
        <v>23856696</v>
      </c>
      <c r="Q53" s="208">
        <f>Q9+Q14+Q20+Q25+Q30+Q36+Q41+Q46+Q50</f>
        <v>65806793</v>
      </c>
      <c r="R53" s="208">
        <f>R9+R14+R20+R25+R30+R36+R41+R46+R50</f>
        <v>0</v>
      </c>
      <c r="S53" s="209">
        <f>P53/Q53</f>
        <v>0.36252634283515384</v>
      </c>
    </row>
    <row r="54" spans="1:26" ht="15" customHeight="1" thickTop="1" x14ac:dyDescent="0.2">
      <c r="A54" s="210"/>
      <c r="B54" s="211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337"/>
    </row>
    <row r="55" spans="1:26" ht="32.25" customHeight="1" x14ac:dyDescent="0.2">
      <c r="A55" s="210"/>
      <c r="B55" s="338"/>
      <c r="C55" s="33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88"/>
    </row>
    <row r="56" spans="1:26" ht="15" customHeight="1" x14ac:dyDescent="0.2">
      <c r="A56" s="210"/>
      <c r="B56" s="211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8"/>
    </row>
    <row r="57" spans="1:26" ht="15" customHeight="1" x14ac:dyDescent="0.2">
      <c r="A57" s="210"/>
      <c r="B57" s="211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8"/>
    </row>
    <row r="58" spans="1:26" ht="10.5" customHeight="1" thickBot="1" x14ac:dyDescent="0.25">
      <c r="A58" s="212"/>
      <c r="B58" s="213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5"/>
      <c r="R58" s="215"/>
      <c r="S58" s="340"/>
    </row>
    <row r="59" spans="1:26" x14ac:dyDescent="0.2">
      <c r="A59" s="194" t="s">
        <v>61</v>
      </c>
    </row>
    <row r="60" spans="1:26" s="163" customFormat="1" x14ac:dyDescent="0.2">
      <c r="O60" s="216"/>
      <c r="P60" s="216"/>
    </row>
    <row r="61" spans="1:26" s="163" customFormat="1" ht="15" x14ac:dyDescent="0.25">
      <c r="A61" s="334" t="s">
        <v>25</v>
      </c>
      <c r="B61" s="331"/>
      <c r="C61" s="331"/>
      <c r="D61" s="331"/>
      <c r="E61" s="331"/>
      <c r="F61" s="333"/>
      <c r="G61" s="331"/>
      <c r="H61" s="333"/>
      <c r="I61" s="331"/>
      <c r="J61" s="331"/>
      <c r="K61" s="331"/>
      <c r="L61" s="331"/>
      <c r="M61" s="331"/>
      <c r="N61" s="331"/>
      <c r="O61" s="331"/>
      <c r="P61" s="332"/>
      <c r="Q61" s="331"/>
      <c r="R61" s="331"/>
      <c r="S61" s="331"/>
      <c r="T61" s="331"/>
      <c r="U61" s="331"/>
      <c r="V61" s="331"/>
      <c r="W61" s="331"/>
      <c r="X61" s="331"/>
      <c r="Y61" s="331"/>
      <c r="Z61" s="331"/>
    </row>
    <row r="62" spans="1:26" s="163" customFormat="1" x14ac:dyDescent="0.2">
      <c r="A62" s="474" t="s">
        <v>182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</row>
    <row r="63" spans="1:26" s="163" customFormat="1" x14ac:dyDescent="0.2">
      <c r="A63" s="217" t="s">
        <v>238</v>
      </c>
      <c r="B63" s="217"/>
      <c r="O63" s="163" t="s">
        <v>13</v>
      </c>
    </row>
    <row r="64" spans="1:26" s="163" customFormat="1" ht="14.25" x14ac:dyDescent="0.2">
      <c r="A64" s="218" t="s">
        <v>251</v>
      </c>
      <c r="B64" s="218"/>
      <c r="E64" s="219"/>
    </row>
    <row r="65" spans="1:18" x14ac:dyDescent="0.2">
      <c r="A65" s="218"/>
      <c r="B65" s="218"/>
      <c r="C65" s="163"/>
      <c r="D65" s="163"/>
      <c r="E65" s="163"/>
      <c r="F65" s="163"/>
      <c r="G65" s="163"/>
      <c r="H65" s="163"/>
      <c r="I65" s="163"/>
      <c r="J65" s="163"/>
      <c r="K65" s="163"/>
      <c r="N65" s="220"/>
    </row>
    <row r="66" spans="1:18" x14ac:dyDescent="0.2">
      <c r="A66" s="218"/>
      <c r="B66" s="218"/>
      <c r="C66" s="163"/>
      <c r="D66" s="163"/>
      <c r="E66" s="221"/>
      <c r="F66" s="222"/>
      <c r="G66" s="220"/>
    </row>
    <row r="67" spans="1:18" x14ac:dyDescent="0.2">
      <c r="E67" s="221"/>
      <c r="F67" s="222"/>
      <c r="G67" s="220"/>
    </row>
    <row r="68" spans="1:18" x14ac:dyDescent="0.2">
      <c r="E68" s="221"/>
      <c r="F68" s="222"/>
      <c r="G68" s="220"/>
    </row>
    <row r="69" spans="1:18" x14ac:dyDescent="0.2">
      <c r="E69" s="221"/>
      <c r="F69" s="222"/>
      <c r="G69" s="220"/>
    </row>
    <row r="70" spans="1:18" x14ac:dyDescent="0.2">
      <c r="E70" s="223"/>
      <c r="F70" s="224"/>
    </row>
    <row r="71" spans="1:18" x14ac:dyDescent="0.2">
      <c r="E71" s="225"/>
      <c r="F71" s="222"/>
      <c r="G71" s="220"/>
    </row>
    <row r="72" spans="1:18" x14ac:dyDescent="0.2">
      <c r="E72" s="225"/>
      <c r="F72" s="222"/>
      <c r="G72" s="220"/>
      <c r="Q72" s="194"/>
      <c r="R72" s="194"/>
    </row>
    <row r="73" spans="1:18" x14ac:dyDescent="0.2">
      <c r="E73" s="225"/>
      <c r="F73" s="222"/>
      <c r="G73" s="220"/>
      <c r="Q73" s="194"/>
      <c r="R73" s="194"/>
    </row>
    <row r="74" spans="1:18" x14ac:dyDescent="0.2">
      <c r="E74" s="225"/>
      <c r="F74" s="222"/>
      <c r="G74" s="220"/>
      <c r="Q74" s="194"/>
      <c r="R74" s="194"/>
    </row>
    <row r="75" spans="1:18" x14ac:dyDescent="0.2">
      <c r="E75" s="225"/>
      <c r="F75" s="222"/>
      <c r="G75" s="220"/>
      <c r="Q75" s="194"/>
      <c r="R75" s="194"/>
    </row>
    <row r="76" spans="1:18" x14ac:dyDescent="0.2">
      <c r="E76" s="223"/>
      <c r="F76" s="226"/>
      <c r="G76" s="220"/>
      <c r="Q76" s="194"/>
      <c r="R76" s="194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topLeftCell="B10" zoomScaleNormal="100" workbookViewId="0">
      <pane xSplit="24735" topLeftCell="F1"/>
      <selection activeCell="A36" sqref="A36"/>
      <selection pane="topRight" activeCell="F1" sqref="F1"/>
    </sheetView>
  </sheetViews>
  <sheetFormatPr defaultRowHeight="12.75" x14ac:dyDescent="0.2"/>
  <cols>
    <col min="1" max="1" width="70" style="363" customWidth="1"/>
    <col min="2" max="10" width="12.7109375" style="363" customWidth="1"/>
    <col min="11" max="11" width="13" style="363" customWidth="1"/>
    <col min="12" max="12" width="12.7109375" style="343" customWidth="1"/>
    <col min="13" max="13" width="12.7109375" style="363" customWidth="1"/>
    <col min="14" max="14" width="11" style="344" customWidth="1"/>
    <col min="15" max="15" width="13.28515625" style="344" hidden="1" customWidth="1"/>
    <col min="16" max="17" width="11.7109375" style="344" customWidth="1"/>
    <col min="18" max="256" width="9.140625" style="344"/>
    <col min="257" max="257" width="70" style="344" customWidth="1"/>
    <col min="258" max="269" width="12.7109375" style="344" customWidth="1"/>
    <col min="270" max="270" width="11" style="344" customWidth="1"/>
    <col min="271" max="271" width="0" style="344" hidden="1" customWidth="1"/>
    <col min="272" max="273" width="11.7109375" style="344" customWidth="1"/>
    <col min="274" max="512" width="9.140625" style="344"/>
    <col min="513" max="513" width="70" style="344" customWidth="1"/>
    <col min="514" max="525" width="12.7109375" style="344" customWidth="1"/>
    <col min="526" max="526" width="11" style="344" customWidth="1"/>
    <col min="527" max="527" width="0" style="344" hidden="1" customWidth="1"/>
    <col min="528" max="529" width="11.7109375" style="344" customWidth="1"/>
    <col min="530" max="768" width="9.140625" style="344"/>
    <col min="769" max="769" width="70" style="344" customWidth="1"/>
    <col min="770" max="781" width="12.7109375" style="344" customWidth="1"/>
    <col min="782" max="782" width="11" style="344" customWidth="1"/>
    <col min="783" max="783" width="0" style="344" hidden="1" customWidth="1"/>
    <col min="784" max="785" width="11.7109375" style="344" customWidth="1"/>
    <col min="786" max="1024" width="9.140625" style="344"/>
    <col min="1025" max="1025" width="70" style="344" customWidth="1"/>
    <col min="1026" max="1037" width="12.7109375" style="344" customWidth="1"/>
    <col min="1038" max="1038" width="11" style="344" customWidth="1"/>
    <col min="1039" max="1039" width="0" style="344" hidden="1" customWidth="1"/>
    <col min="1040" max="1041" width="11.7109375" style="344" customWidth="1"/>
    <col min="1042" max="1280" width="9.140625" style="344"/>
    <col min="1281" max="1281" width="70" style="344" customWidth="1"/>
    <col min="1282" max="1293" width="12.7109375" style="344" customWidth="1"/>
    <col min="1294" max="1294" width="11" style="344" customWidth="1"/>
    <col min="1295" max="1295" width="0" style="344" hidden="1" customWidth="1"/>
    <col min="1296" max="1297" width="11.7109375" style="344" customWidth="1"/>
    <col min="1298" max="1536" width="9.140625" style="344"/>
    <col min="1537" max="1537" width="70" style="344" customWidth="1"/>
    <col min="1538" max="1549" width="12.7109375" style="344" customWidth="1"/>
    <col min="1550" max="1550" width="11" style="344" customWidth="1"/>
    <col min="1551" max="1551" width="0" style="344" hidden="1" customWidth="1"/>
    <col min="1552" max="1553" width="11.7109375" style="344" customWidth="1"/>
    <col min="1554" max="1792" width="9.140625" style="344"/>
    <col min="1793" max="1793" width="70" style="344" customWidth="1"/>
    <col min="1794" max="1805" width="12.7109375" style="344" customWidth="1"/>
    <col min="1806" max="1806" width="11" style="344" customWidth="1"/>
    <col min="1807" max="1807" width="0" style="344" hidden="1" customWidth="1"/>
    <col min="1808" max="1809" width="11.7109375" style="344" customWidth="1"/>
    <col min="1810" max="2048" width="9.140625" style="344"/>
    <col min="2049" max="2049" width="70" style="344" customWidth="1"/>
    <col min="2050" max="2061" width="12.7109375" style="344" customWidth="1"/>
    <col min="2062" max="2062" width="11" style="344" customWidth="1"/>
    <col min="2063" max="2063" width="0" style="344" hidden="1" customWidth="1"/>
    <col min="2064" max="2065" width="11.7109375" style="344" customWidth="1"/>
    <col min="2066" max="2304" width="9.140625" style="344"/>
    <col min="2305" max="2305" width="70" style="344" customWidth="1"/>
    <col min="2306" max="2317" width="12.7109375" style="344" customWidth="1"/>
    <col min="2318" max="2318" width="11" style="344" customWidth="1"/>
    <col min="2319" max="2319" width="0" style="344" hidden="1" customWidth="1"/>
    <col min="2320" max="2321" width="11.7109375" style="344" customWidth="1"/>
    <col min="2322" max="2560" width="9.140625" style="344"/>
    <col min="2561" max="2561" width="70" style="344" customWidth="1"/>
    <col min="2562" max="2573" width="12.7109375" style="344" customWidth="1"/>
    <col min="2574" max="2574" width="11" style="344" customWidth="1"/>
    <col min="2575" max="2575" width="0" style="344" hidden="1" customWidth="1"/>
    <col min="2576" max="2577" width="11.7109375" style="344" customWidth="1"/>
    <col min="2578" max="2816" width="9.140625" style="344"/>
    <col min="2817" max="2817" width="70" style="344" customWidth="1"/>
    <col min="2818" max="2829" width="12.7109375" style="344" customWidth="1"/>
    <col min="2830" max="2830" width="11" style="344" customWidth="1"/>
    <col min="2831" max="2831" width="0" style="344" hidden="1" customWidth="1"/>
    <col min="2832" max="2833" width="11.7109375" style="344" customWidth="1"/>
    <col min="2834" max="3072" width="9.140625" style="344"/>
    <col min="3073" max="3073" width="70" style="344" customWidth="1"/>
    <col min="3074" max="3085" width="12.7109375" style="344" customWidth="1"/>
    <col min="3086" max="3086" width="11" style="344" customWidth="1"/>
    <col min="3087" max="3087" width="0" style="344" hidden="1" customWidth="1"/>
    <col min="3088" max="3089" width="11.7109375" style="344" customWidth="1"/>
    <col min="3090" max="3328" width="9.140625" style="344"/>
    <col min="3329" max="3329" width="70" style="344" customWidth="1"/>
    <col min="3330" max="3341" width="12.7109375" style="344" customWidth="1"/>
    <col min="3342" max="3342" width="11" style="344" customWidth="1"/>
    <col min="3343" max="3343" width="0" style="344" hidden="1" customWidth="1"/>
    <col min="3344" max="3345" width="11.7109375" style="344" customWidth="1"/>
    <col min="3346" max="3584" width="9.140625" style="344"/>
    <col min="3585" max="3585" width="70" style="344" customWidth="1"/>
    <col min="3586" max="3597" width="12.7109375" style="344" customWidth="1"/>
    <col min="3598" max="3598" width="11" style="344" customWidth="1"/>
    <col min="3599" max="3599" width="0" style="344" hidden="1" customWidth="1"/>
    <col min="3600" max="3601" width="11.7109375" style="344" customWidth="1"/>
    <col min="3602" max="3840" width="9.140625" style="344"/>
    <col min="3841" max="3841" width="70" style="344" customWidth="1"/>
    <col min="3842" max="3853" width="12.7109375" style="344" customWidth="1"/>
    <col min="3854" max="3854" width="11" style="344" customWidth="1"/>
    <col min="3855" max="3855" width="0" style="344" hidden="1" customWidth="1"/>
    <col min="3856" max="3857" width="11.7109375" style="344" customWidth="1"/>
    <col min="3858" max="4096" width="9.140625" style="344"/>
    <col min="4097" max="4097" width="70" style="344" customWidth="1"/>
    <col min="4098" max="4109" width="12.7109375" style="344" customWidth="1"/>
    <col min="4110" max="4110" width="11" style="344" customWidth="1"/>
    <col min="4111" max="4111" width="0" style="344" hidden="1" customWidth="1"/>
    <col min="4112" max="4113" width="11.7109375" style="344" customWidth="1"/>
    <col min="4114" max="4352" width="9.140625" style="344"/>
    <col min="4353" max="4353" width="70" style="344" customWidth="1"/>
    <col min="4354" max="4365" width="12.7109375" style="344" customWidth="1"/>
    <col min="4366" max="4366" width="11" style="344" customWidth="1"/>
    <col min="4367" max="4367" width="0" style="344" hidden="1" customWidth="1"/>
    <col min="4368" max="4369" width="11.7109375" style="344" customWidth="1"/>
    <col min="4370" max="4608" width="9.140625" style="344"/>
    <col min="4609" max="4609" width="70" style="344" customWidth="1"/>
    <col min="4610" max="4621" width="12.7109375" style="344" customWidth="1"/>
    <col min="4622" max="4622" width="11" style="344" customWidth="1"/>
    <col min="4623" max="4623" width="0" style="344" hidden="1" customWidth="1"/>
    <col min="4624" max="4625" width="11.7109375" style="344" customWidth="1"/>
    <col min="4626" max="4864" width="9.140625" style="344"/>
    <col min="4865" max="4865" width="70" style="344" customWidth="1"/>
    <col min="4866" max="4877" width="12.7109375" style="344" customWidth="1"/>
    <col min="4878" max="4878" width="11" style="344" customWidth="1"/>
    <col min="4879" max="4879" width="0" style="344" hidden="1" customWidth="1"/>
    <col min="4880" max="4881" width="11.7109375" style="344" customWidth="1"/>
    <col min="4882" max="5120" width="9.140625" style="344"/>
    <col min="5121" max="5121" width="70" style="344" customWidth="1"/>
    <col min="5122" max="5133" width="12.7109375" style="344" customWidth="1"/>
    <col min="5134" max="5134" width="11" style="344" customWidth="1"/>
    <col min="5135" max="5135" width="0" style="344" hidden="1" customWidth="1"/>
    <col min="5136" max="5137" width="11.7109375" style="344" customWidth="1"/>
    <col min="5138" max="5376" width="9.140625" style="344"/>
    <col min="5377" max="5377" width="70" style="344" customWidth="1"/>
    <col min="5378" max="5389" width="12.7109375" style="344" customWidth="1"/>
    <col min="5390" max="5390" width="11" style="344" customWidth="1"/>
    <col min="5391" max="5391" width="0" style="344" hidden="1" customWidth="1"/>
    <col min="5392" max="5393" width="11.7109375" style="344" customWidth="1"/>
    <col min="5394" max="5632" width="9.140625" style="344"/>
    <col min="5633" max="5633" width="70" style="344" customWidth="1"/>
    <col min="5634" max="5645" width="12.7109375" style="344" customWidth="1"/>
    <col min="5646" max="5646" width="11" style="344" customWidth="1"/>
    <col min="5647" max="5647" width="0" style="344" hidden="1" customWidth="1"/>
    <col min="5648" max="5649" width="11.7109375" style="344" customWidth="1"/>
    <col min="5650" max="5888" width="9.140625" style="344"/>
    <col min="5889" max="5889" width="70" style="344" customWidth="1"/>
    <col min="5890" max="5901" width="12.7109375" style="344" customWidth="1"/>
    <col min="5902" max="5902" width="11" style="344" customWidth="1"/>
    <col min="5903" max="5903" width="0" style="344" hidden="1" customWidth="1"/>
    <col min="5904" max="5905" width="11.7109375" style="344" customWidth="1"/>
    <col min="5906" max="6144" width="9.140625" style="344"/>
    <col min="6145" max="6145" width="70" style="344" customWidth="1"/>
    <col min="6146" max="6157" width="12.7109375" style="344" customWidth="1"/>
    <col min="6158" max="6158" width="11" style="344" customWidth="1"/>
    <col min="6159" max="6159" width="0" style="344" hidden="1" customWidth="1"/>
    <col min="6160" max="6161" width="11.7109375" style="344" customWidth="1"/>
    <col min="6162" max="6400" width="9.140625" style="344"/>
    <col min="6401" max="6401" width="70" style="344" customWidth="1"/>
    <col min="6402" max="6413" width="12.7109375" style="344" customWidth="1"/>
    <col min="6414" max="6414" width="11" style="344" customWidth="1"/>
    <col min="6415" max="6415" width="0" style="344" hidden="1" customWidth="1"/>
    <col min="6416" max="6417" width="11.7109375" style="344" customWidth="1"/>
    <col min="6418" max="6656" width="9.140625" style="344"/>
    <col min="6657" max="6657" width="70" style="344" customWidth="1"/>
    <col min="6658" max="6669" width="12.7109375" style="344" customWidth="1"/>
    <col min="6670" max="6670" width="11" style="344" customWidth="1"/>
    <col min="6671" max="6671" width="0" style="344" hidden="1" customWidth="1"/>
    <col min="6672" max="6673" width="11.7109375" style="344" customWidth="1"/>
    <col min="6674" max="6912" width="9.140625" style="344"/>
    <col min="6913" max="6913" width="70" style="344" customWidth="1"/>
    <col min="6914" max="6925" width="12.7109375" style="344" customWidth="1"/>
    <col min="6926" max="6926" width="11" style="344" customWidth="1"/>
    <col min="6927" max="6927" width="0" style="344" hidden="1" customWidth="1"/>
    <col min="6928" max="6929" width="11.7109375" style="344" customWidth="1"/>
    <col min="6930" max="7168" width="9.140625" style="344"/>
    <col min="7169" max="7169" width="70" style="344" customWidth="1"/>
    <col min="7170" max="7181" width="12.7109375" style="344" customWidth="1"/>
    <col min="7182" max="7182" width="11" style="344" customWidth="1"/>
    <col min="7183" max="7183" width="0" style="344" hidden="1" customWidth="1"/>
    <col min="7184" max="7185" width="11.7109375" style="344" customWidth="1"/>
    <col min="7186" max="7424" width="9.140625" style="344"/>
    <col min="7425" max="7425" width="70" style="344" customWidth="1"/>
    <col min="7426" max="7437" width="12.7109375" style="344" customWidth="1"/>
    <col min="7438" max="7438" width="11" style="344" customWidth="1"/>
    <col min="7439" max="7439" width="0" style="344" hidden="1" customWidth="1"/>
    <col min="7440" max="7441" width="11.7109375" style="344" customWidth="1"/>
    <col min="7442" max="7680" width="9.140625" style="344"/>
    <col min="7681" max="7681" width="70" style="344" customWidth="1"/>
    <col min="7682" max="7693" width="12.7109375" style="344" customWidth="1"/>
    <col min="7694" max="7694" width="11" style="344" customWidth="1"/>
    <col min="7695" max="7695" width="0" style="344" hidden="1" customWidth="1"/>
    <col min="7696" max="7697" width="11.7109375" style="344" customWidth="1"/>
    <col min="7698" max="7936" width="9.140625" style="344"/>
    <col min="7937" max="7937" width="70" style="344" customWidth="1"/>
    <col min="7938" max="7949" width="12.7109375" style="344" customWidth="1"/>
    <col min="7950" max="7950" width="11" style="344" customWidth="1"/>
    <col min="7951" max="7951" width="0" style="344" hidden="1" customWidth="1"/>
    <col min="7952" max="7953" width="11.7109375" style="344" customWidth="1"/>
    <col min="7954" max="8192" width="9.140625" style="344"/>
    <col min="8193" max="8193" width="70" style="344" customWidth="1"/>
    <col min="8194" max="8205" width="12.7109375" style="344" customWidth="1"/>
    <col min="8206" max="8206" width="11" style="344" customWidth="1"/>
    <col min="8207" max="8207" width="0" style="344" hidden="1" customWidth="1"/>
    <col min="8208" max="8209" width="11.7109375" style="344" customWidth="1"/>
    <col min="8210" max="8448" width="9.140625" style="344"/>
    <col min="8449" max="8449" width="70" style="344" customWidth="1"/>
    <col min="8450" max="8461" width="12.7109375" style="344" customWidth="1"/>
    <col min="8462" max="8462" width="11" style="344" customWidth="1"/>
    <col min="8463" max="8463" width="0" style="344" hidden="1" customWidth="1"/>
    <col min="8464" max="8465" width="11.7109375" style="344" customWidth="1"/>
    <col min="8466" max="8704" width="9.140625" style="344"/>
    <col min="8705" max="8705" width="70" style="344" customWidth="1"/>
    <col min="8706" max="8717" width="12.7109375" style="344" customWidth="1"/>
    <col min="8718" max="8718" width="11" style="344" customWidth="1"/>
    <col min="8719" max="8719" width="0" style="344" hidden="1" customWidth="1"/>
    <col min="8720" max="8721" width="11.7109375" style="344" customWidth="1"/>
    <col min="8722" max="8960" width="9.140625" style="344"/>
    <col min="8961" max="8961" width="70" style="344" customWidth="1"/>
    <col min="8962" max="8973" width="12.7109375" style="344" customWidth="1"/>
    <col min="8974" max="8974" width="11" style="344" customWidth="1"/>
    <col min="8975" max="8975" width="0" style="344" hidden="1" customWidth="1"/>
    <col min="8976" max="8977" width="11.7109375" style="344" customWidth="1"/>
    <col min="8978" max="9216" width="9.140625" style="344"/>
    <col min="9217" max="9217" width="70" style="344" customWidth="1"/>
    <col min="9218" max="9229" width="12.7109375" style="344" customWidth="1"/>
    <col min="9230" max="9230" width="11" style="344" customWidth="1"/>
    <col min="9231" max="9231" width="0" style="344" hidden="1" customWidth="1"/>
    <col min="9232" max="9233" width="11.7109375" style="344" customWidth="1"/>
    <col min="9234" max="9472" width="9.140625" style="344"/>
    <col min="9473" max="9473" width="70" style="344" customWidth="1"/>
    <col min="9474" max="9485" width="12.7109375" style="344" customWidth="1"/>
    <col min="9486" max="9486" width="11" style="344" customWidth="1"/>
    <col min="9487" max="9487" width="0" style="344" hidden="1" customWidth="1"/>
    <col min="9488" max="9489" width="11.7109375" style="344" customWidth="1"/>
    <col min="9490" max="9728" width="9.140625" style="344"/>
    <col min="9729" max="9729" width="70" style="344" customWidth="1"/>
    <col min="9730" max="9741" width="12.7109375" style="344" customWidth="1"/>
    <col min="9742" max="9742" width="11" style="344" customWidth="1"/>
    <col min="9743" max="9743" width="0" style="344" hidden="1" customWidth="1"/>
    <col min="9744" max="9745" width="11.7109375" style="344" customWidth="1"/>
    <col min="9746" max="9984" width="9.140625" style="344"/>
    <col min="9985" max="9985" width="70" style="344" customWidth="1"/>
    <col min="9986" max="9997" width="12.7109375" style="344" customWidth="1"/>
    <col min="9998" max="9998" width="11" style="344" customWidth="1"/>
    <col min="9999" max="9999" width="0" style="344" hidden="1" customWidth="1"/>
    <col min="10000" max="10001" width="11.7109375" style="344" customWidth="1"/>
    <col min="10002" max="10240" width="9.140625" style="344"/>
    <col min="10241" max="10241" width="70" style="344" customWidth="1"/>
    <col min="10242" max="10253" width="12.7109375" style="344" customWidth="1"/>
    <col min="10254" max="10254" width="11" style="344" customWidth="1"/>
    <col min="10255" max="10255" width="0" style="344" hidden="1" customWidth="1"/>
    <col min="10256" max="10257" width="11.7109375" style="344" customWidth="1"/>
    <col min="10258" max="10496" width="9.140625" style="344"/>
    <col min="10497" max="10497" width="70" style="344" customWidth="1"/>
    <col min="10498" max="10509" width="12.7109375" style="344" customWidth="1"/>
    <col min="10510" max="10510" width="11" style="344" customWidth="1"/>
    <col min="10511" max="10511" width="0" style="344" hidden="1" customWidth="1"/>
    <col min="10512" max="10513" width="11.7109375" style="344" customWidth="1"/>
    <col min="10514" max="10752" width="9.140625" style="344"/>
    <col min="10753" max="10753" width="70" style="344" customWidth="1"/>
    <col min="10754" max="10765" width="12.7109375" style="344" customWidth="1"/>
    <col min="10766" max="10766" width="11" style="344" customWidth="1"/>
    <col min="10767" max="10767" width="0" style="344" hidden="1" customWidth="1"/>
    <col min="10768" max="10769" width="11.7109375" style="344" customWidth="1"/>
    <col min="10770" max="11008" width="9.140625" style="344"/>
    <col min="11009" max="11009" width="70" style="344" customWidth="1"/>
    <col min="11010" max="11021" width="12.7109375" style="344" customWidth="1"/>
    <col min="11022" max="11022" width="11" style="344" customWidth="1"/>
    <col min="11023" max="11023" width="0" style="344" hidden="1" customWidth="1"/>
    <col min="11024" max="11025" width="11.7109375" style="344" customWidth="1"/>
    <col min="11026" max="11264" width="9.140625" style="344"/>
    <col min="11265" max="11265" width="70" style="344" customWidth="1"/>
    <col min="11266" max="11277" width="12.7109375" style="344" customWidth="1"/>
    <col min="11278" max="11278" width="11" style="344" customWidth="1"/>
    <col min="11279" max="11279" width="0" style="344" hidden="1" customWidth="1"/>
    <col min="11280" max="11281" width="11.7109375" style="344" customWidth="1"/>
    <col min="11282" max="11520" width="9.140625" style="344"/>
    <col min="11521" max="11521" width="70" style="344" customWidth="1"/>
    <col min="11522" max="11533" width="12.7109375" style="344" customWidth="1"/>
    <col min="11534" max="11534" width="11" style="344" customWidth="1"/>
    <col min="11535" max="11535" width="0" style="344" hidden="1" customWidth="1"/>
    <col min="11536" max="11537" width="11.7109375" style="344" customWidth="1"/>
    <col min="11538" max="11776" width="9.140625" style="344"/>
    <col min="11777" max="11777" width="70" style="344" customWidth="1"/>
    <col min="11778" max="11789" width="12.7109375" style="344" customWidth="1"/>
    <col min="11790" max="11790" width="11" style="344" customWidth="1"/>
    <col min="11791" max="11791" width="0" style="344" hidden="1" customWidth="1"/>
    <col min="11792" max="11793" width="11.7109375" style="344" customWidth="1"/>
    <col min="11794" max="12032" width="9.140625" style="344"/>
    <col min="12033" max="12033" width="70" style="344" customWidth="1"/>
    <col min="12034" max="12045" width="12.7109375" style="344" customWidth="1"/>
    <col min="12046" max="12046" width="11" style="344" customWidth="1"/>
    <col min="12047" max="12047" width="0" style="344" hidden="1" customWidth="1"/>
    <col min="12048" max="12049" width="11.7109375" style="344" customWidth="1"/>
    <col min="12050" max="12288" width="9.140625" style="344"/>
    <col min="12289" max="12289" width="70" style="344" customWidth="1"/>
    <col min="12290" max="12301" width="12.7109375" style="344" customWidth="1"/>
    <col min="12302" max="12302" width="11" style="344" customWidth="1"/>
    <col min="12303" max="12303" width="0" style="344" hidden="1" customWidth="1"/>
    <col min="12304" max="12305" width="11.7109375" style="344" customWidth="1"/>
    <col min="12306" max="12544" width="9.140625" style="344"/>
    <col min="12545" max="12545" width="70" style="344" customWidth="1"/>
    <col min="12546" max="12557" width="12.7109375" style="344" customWidth="1"/>
    <col min="12558" max="12558" width="11" style="344" customWidth="1"/>
    <col min="12559" max="12559" width="0" style="344" hidden="1" customWidth="1"/>
    <col min="12560" max="12561" width="11.7109375" style="344" customWidth="1"/>
    <col min="12562" max="12800" width="9.140625" style="344"/>
    <col min="12801" max="12801" width="70" style="344" customWidth="1"/>
    <col min="12802" max="12813" width="12.7109375" style="344" customWidth="1"/>
    <col min="12814" max="12814" width="11" style="344" customWidth="1"/>
    <col min="12815" max="12815" width="0" style="344" hidden="1" customWidth="1"/>
    <col min="12816" max="12817" width="11.7109375" style="344" customWidth="1"/>
    <col min="12818" max="13056" width="9.140625" style="344"/>
    <col min="13057" max="13057" width="70" style="344" customWidth="1"/>
    <col min="13058" max="13069" width="12.7109375" style="344" customWidth="1"/>
    <col min="13070" max="13070" width="11" style="344" customWidth="1"/>
    <col min="13071" max="13071" width="0" style="344" hidden="1" customWidth="1"/>
    <col min="13072" max="13073" width="11.7109375" style="344" customWidth="1"/>
    <col min="13074" max="13312" width="9.140625" style="344"/>
    <col min="13313" max="13313" width="70" style="344" customWidth="1"/>
    <col min="13314" max="13325" width="12.7109375" style="344" customWidth="1"/>
    <col min="13326" max="13326" width="11" style="344" customWidth="1"/>
    <col min="13327" max="13327" width="0" style="344" hidden="1" customWidth="1"/>
    <col min="13328" max="13329" width="11.7109375" style="344" customWidth="1"/>
    <col min="13330" max="13568" width="9.140625" style="344"/>
    <col min="13569" max="13569" width="70" style="344" customWidth="1"/>
    <col min="13570" max="13581" width="12.7109375" style="344" customWidth="1"/>
    <col min="13582" max="13582" width="11" style="344" customWidth="1"/>
    <col min="13583" max="13583" width="0" style="344" hidden="1" customWidth="1"/>
    <col min="13584" max="13585" width="11.7109375" style="344" customWidth="1"/>
    <col min="13586" max="13824" width="9.140625" style="344"/>
    <col min="13825" max="13825" width="70" style="344" customWidth="1"/>
    <col min="13826" max="13837" width="12.7109375" style="344" customWidth="1"/>
    <col min="13838" max="13838" width="11" style="344" customWidth="1"/>
    <col min="13839" max="13839" width="0" style="344" hidden="1" customWidth="1"/>
    <col min="13840" max="13841" width="11.7109375" style="344" customWidth="1"/>
    <col min="13842" max="14080" width="9.140625" style="344"/>
    <col min="14081" max="14081" width="70" style="344" customWidth="1"/>
    <col min="14082" max="14093" width="12.7109375" style="344" customWidth="1"/>
    <col min="14094" max="14094" width="11" style="344" customWidth="1"/>
    <col min="14095" max="14095" width="0" style="344" hidden="1" customWidth="1"/>
    <col min="14096" max="14097" width="11.7109375" style="344" customWidth="1"/>
    <col min="14098" max="14336" width="9.140625" style="344"/>
    <col min="14337" max="14337" width="70" style="344" customWidth="1"/>
    <col min="14338" max="14349" width="12.7109375" style="344" customWidth="1"/>
    <col min="14350" max="14350" width="11" style="344" customWidth="1"/>
    <col min="14351" max="14351" width="0" style="344" hidden="1" customWidth="1"/>
    <col min="14352" max="14353" width="11.7109375" style="344" customWidth="1"/>
    <col min="14354" max="14592" width="9.140625" style="344"/>
    <col min="14593" max="14593" width="70" style="344" customWidth="1"/>
    <col min="14594" max="14605" width="12.7109375" style="344" customWidth="1"/>
    <col min="14606" max="14606" width="11" style="344" customWidth="1"/>
    <col min="14607" max="14607" width="0" style="344" hidden="1" customWidth="1"/>
    <col min="14608" max="14609" width="11.7109375" style="344" customWidth="1"/>
    <col min="14610" max="14848" width="9.140625" style="344"/>
    <col min="14849" max="14849" width="70" style="344" customWidth="1"/>
    <col min="14850" max="14861" width="12.7109375" style="344" customWidth="1"/>
    <col min="14862" max="14862" width="11" style="344" customWidth="1"/>
    <col min="14863" max="14863" width="0" style="344" hidden="1" customWidth="1"/>
    <col min="14864" max="14865" width="11.7109375" style="344" customWidth="1"/>
    <col min="14866" max="15104" width="9.140625" style="344"/>
    <col min="15105" max="15105" width="70" style="344" customWidth="1"/>
    <col min="15106" max="15117" width="12.7109375" style="344" customWidth="1"/>
    <col min="15118" max="15118" width="11" style="344" customWidth="1"/>
    <col min="15119" max="15119" width="0" style="344" hidden="1" customWidth="1"/>
    <col min="15120" max="15121" width="11.7109375" style="344" customWidth="1"/>
    <col min="15122" max="15360" width="9.140625" style="344"/>
    <col min="15361" max="15361" width="70" style="344" customWidth="1"/>
    <col min="15362" max="15373" width="12.7109375" style="344" customWidth="1"/>
    <col min="15374" max="15374" width="11" style="344" customWidth="1"/>
    <col min="15375" max="15375" width="0" style="344" hidden="1" customWidth="1"/>
    <col min="15376" max="15377" width="11.7109375" style="344" customWidth="1"/>
    <col min="15378" max="15616" width="9.140625" style="344"/>
    <col min="15617" max="15617" width="70" style="344" customWidth="1"/>
    <col min="15618" max="15629" width="12.7109375" style="344" customWidth="1"/>
    <col min="15630" max="15630" width="11" style="344" customWidth="1"/>
    <col min="15631" max="15631" width="0" style="344" hidden="1" customWidth="1"/>
    <col min="15632" max="15633" width="11.7109375" style="344" customWidth="1"/>
    <col min="15634" max="15872" width="9.140625" style="344"/>
    <col min="15873" max="15873" width="70" style="344" customWidth="1"/>
    <col min="15874" max="15885" width="12.7109375" style="344" customWidth="1"/>
    <col min="15886" max="15886" width="11" style="344" customWidth="1"/>
    <col min="15887" max="15887" width="0" style="344" hidden="1" customWidth="1"/>
    <col min="15888" max="15889" width="11.7109375" style="344" customWidth="1"/>
    <col min="15890" max="16128" width="9.140625" style="344"/>
    <col min="16129" max="16129" width="70" style="344" customWidth="1"/>
    <col min="16130" max="16141" width="12.7109375" style="344" customWidth="1"/>
    <col min="16142" max="16142" width="11" style="344" customWidth="1"/>
    <col min="16143" max="16143" width="0" style="344" hidden="1" customWidth="1"/>
    <col min="16144" max="16145" width="11.7109375" style="344" customWidth="1"/>
    <col min="16146" max="16384" width="9.140625" style="344"/>
  </cols>
  <sheetData>
    <row r="1" spans="1:17" ht="13.5" customHeight="1" x14ac:dyDescent="0.2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M1" s="343"/>
    </row>
    <row r="2" spans="1:17" s="350" customFormat="1" ht="18" customHeight="1" x14ac:dyDescent="0.25">
      <c r="A2" s="345" t="s">
        <v>218</v>
      </c>
      <c r="B2" s="346" t="s">
        <v>195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  <c r="N2" s="477" t="s">
        <v>262</v>
      </c>
      <c r="O2" s="349"/>
      <c r="P2" s="479" t="s">
        <v>196</v>
      </c>
      <c r="Q2" s="477" t="s">
        <v>197</v>
      </c>
    </row>
    <row r="3" spans="1:17" s="350" customFormat="1" ht="27.75" customHeight="1" x14ac:dyDescent="0.2">
      <c r="A3" s="351"/>
      <c r="B3" s="352" t="s">
        <v>0</v>
      </c>
      <c r="C3" s="353" t="s">
        <v>1</v>
      </c>
      <c r="D3" s="353" t="s">
        <v>2</v>
      </c>
      <c r="E3" s="353" t="s">
        <v>3</v>
      </c>
      <c r="F3" s="353" t="s">
        <v>4</v>
      </c>
      <c r="G3" s="353" t="s">
        <v>5</v>
      </c>
      <c r="H3" s="353" t="s">
        <v>6</v>
      </c>
      <c r="I3" s="353" t="s">
        <v>7</v>
      </c>
      <c r="J3" s="353" t="s">
        <v>8</v>
      </c>
      <c r="K3" s="353" t="s">
        <v>9</v>
      </c>
      <c r="L3" s="353" t="s">
        <v>10</v>
      </c>
      <c r="M3" s="354" t="s">
        <v>11</v>
      </c>
      <c r="N3" s="478"/>
      <c r="O3" s="355" t="s">
        <v>198</v>
      </c>
      <c r="P3" s="480"/>
      <c r="Q3" s="478"/>
    </row>
    <row r="4" spans="1:17" s="343" customFormat="1" ht="15.75" x14ac:dyDescent="0.25">
      <c r="A4" s="356" t="s">
        <v>199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8"/>
      <c r="O4" s="358"/>
      <c r="P4" s="358"/>
      <c r="Q4" s="358"/>
    </row>
    <row r="5" spans="1:17" s="350" customFormat="1" ht="15" x14ac:dyDescent="0.2">
      <c r="A5" s="359" t="s">
        <v>248</v>
      </c>
      <c r="B5" s="360">
        <v>0</v>
      </c>
      <c r="C5" s="360">
        <v>0</v>
      </c>
      <c r="D5" s="360">
        <v>0</v>
      </c>
      <c r="E5" s="360">
        <v>0</v>
      </c>
      <c r="F5" s="360">
        <v>0</v>
      </c>
      <c r="G5" s="360">
        <v>0</v>
      </c>
      <c r="H5" s="360">
        <v>0</v>
      </c>
      <c r="I5" s="360">
        <v>0</v>
      </c>
      <c r="J5" s="360">
        <v>0</v>
      </c>
      <c r="K5" s="360">
        <v>0</v>
      </c>
      <c r="L5" s="360">
        <v>0</v>
      </c>
      <c r="M5" s="360">
        <v>0</v>
      </c>
      <c r="N5" s="360">
        <f>SUM(B5:M5)</f>
        <v>0</v>
      </c>
      <c r="O5" s="360" t="e">
        <f>#REF!+N5</f>
        <v>#REF!</v>
      </c>
      <c r="P5" s="360">
        <f>N5+848094+94603</f>
        <v>942697</v>
      </c>
      <c r="Q5" s="360"/>
    </row>
    <row r="6" spans="1:17" s="350" customFormat="1" x14ac:dyDescent="0.2">
      <c r="A6" s="359" t="s">
        <v>200</v>
      </c>
      <c r="B6" s="360">
        <v>0</v>
      </c>
      <c r="C6" s="360">
        <v>0</v>
      </c>
      <c r="D6" s="360">
        <v>1439988</v>
      </c>
      <c r="E6" s="360">
        <v>0</v>
      </c>
      <c r="F6" s="360">
        <v>0</v>
      </c>
      <c r="G6" s="360">
        <v>0</v>
      </c>
      <c r="H6" s="360">
        <v>1431000</v>
      </c>
      <c r="I6" s="360">
        <v>0</v>
      </c>
      <c r="J6" s="360">
        <v>0</v>
      </c>
      <c r="K6" s="360">
        <v>0</v>
      </c>
      <c r="L6" s="360">
        <v>0</v>
      </c>
      <c r="M6" s="360">
        <v>0</v>
      </c>
      <c r="N6" s="360">
        <f>SUM(B6:M6)</f>
        <v>2870988</v>
      </c>
      <c r="O6" s="360"/>
      <c r="P6" s="360">
        <f>N6</f>
        <v>2870988</v>
      </c>
      <c r="Q6" s="360"/>
    </row>
    <row r="7" spans="1:17" s="350" customFormat="1" ht="15.75" x14ac:dyDescent="0.25">
      <c r="A7" s="361" t="s">
        <v>201</v>
      </c>
      <c r="B7" s="362">
        <f t="shared" ref="B7:D7" si="0">SUM(B5:B6)</f>
        <v>0</v>
      </c>
      <c r="C7" s="362">
        <f t="shared" si="0"/>
        <v>0</v>
      </c>
      <c r="D7" s="362">
        <f t="shared" si="0"/>
        <v>1439988</v>
      </c>
      <c r="E7" s="362">
        <f>SUM(E5:E6)</f>
        <v>0</v>
      </c>
      <c r="F7" s="362">
        <f t="shared" ref="F7:P7" si="1">SUM(F5:F6)</f>
        <v>0</v>
      </c>
      <c r="G7" s="362">
        <f t="shared" si="1"/>
        <v>0</v>
      </c>
      <c r="H7" s="362">
        <f t="shared" si="1"/>
        <v>1431000</v>
      </c>
      <c r="I7" s="362">
        <f t="shared" si="1"/>
        <v>0</v>
      </c>
      <c r="J7" s="362">
        <f t="shared" si="1"/>
        <v>0</v>
      </c>
      <c r="K7" s="362">
        <f t="shared" si="1"/>
        <v>0</v>
      </c>
      <c r="L7" s="362">
        <f t="shared" si="1"/>
        <v>0</v>
      </c>
      <c r="M7" s="362">
        <f t="shared" si="1"/>
        <v>0</v>
      </c>
      <c r="N7" s="362">
        <f t="shared" si="1"/>
        <v>2870988</v>
      </c>
      <c r="O7" s="362" t="e">
        <f t="shared" si="1"/>
        <v>#REF!</v>
      </c>
      <c r="P7" s="362">
        <f t="shared" si="1"/>
        <v>3813685</v>
      </c>
      <c r="Q7" s="362"/>
    </row>
    <row r="8" spans="1:17" s="350" customForma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43"/>
      <c r="M8" s="363"/>
      <c r="N8" s="360"/>
      <c r="O8" s="360"/>
      <c r="P8" s="360"/>
      <c r="Q8" s="360"/>
    </row>
    <row r="9" spans="1:17" s="350" customFormat="1" ht="15.75" x14ac:dyDescent="0.25">
      <c r="A9" s="364" t="s">
        <v>202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43"/>
      <c r="M9" s="363"/>
      <c r="N9" s="360"/>
      <c r="O9" s="360"/>
      <c r="P9" s="360"/>
      <c r="Q9" s="360"/>
    </row>
    <row r="10" spans="1:17" s="350" customFormat="1" x14ac:dyDescent="0.2">
      <c r="A10" s="365" t="s">
        <v>203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  <c r="O10" s="367"/>
      <c r="P10" s="367"/>
      <c r="Q10" s="360"/>
    </row>
    <row r="11" spans="1:17" s="350" customFormat="1" x14ac:dyDescent="0.2">
      <c r="A11" s="368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60"/>
      <c r="O11" s="360"/>
      <c r="P11" s="360"/>
      <c r="Q11" s="360"/>
    </row>
    <row r="12" spans="1:17" s="350" customFormat="1" ht="15" x14ac:dyDescent="0.2">
      <c r="A12" s="369" t="s">
        <v>219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1"/>
      <c r="M12" s="370"/>
      <c r="N12" s="372"/>
      <c r="O12" s="372"/>
      <c r="P12" s="372"/>
      <c r="Q12" s="372"/>
    </row>
    <row r="13" spans="1:17" s="350" customFormat="1" x14ac:dyDescent="0.2">
      <c r="A13" s="373" t="s">
        <v>204</v>
      </c>
      <c r="B13" s="360">
        <v>0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f t="shared" ref="N13:N30" si="2">SUM(B13:M13)</f>
        <v>0</v>
      </c>
      <c r="O13" s="360"/>
      <c r="P13" s="360">
        <f>N13+437+82</f>
        <v>519</v>
      </c>
      <c r="Q13" s="360"/>
    </row>
    <row r="14" spans="1:17" s="350" customFormat="1" x14ac:dyDescent="0.2">
      <c r="A14" s="373" t="s">
        <v>233</v>
      </c>
      <c r="B14" s="360">
        <v>183</v>
      </c>
      <c r="C14" s="360">
        <v>568</v>
      </c>
      <c r="D14" s="360">
        <v>498</v>
      </c>
      <c r="E14" s="360">
        <v>767</v>
      </c>
      <c r="F14" s="360">
        <v>627.29999999999995</v>
      </c>
      <c r="G14" s="360">
        <v>477</v>
      </c>
      <c r="H14" s="360">
        <v>557</v>
      </c>
      <c r="I14" s="360">
        <v>0</v>
      </c>
      <c r="J14" s="360">
        <v>0</v>
      </c>
      <c r="K14" s="360">
        <v>0</v>
      </c>
      <c r="L14" s="360">
        <v>0</v>
      </c>
      <c r="M14" s="360">
        <v>0</v>
      </c>
      <c r="N14" s="360">
        <f t="shared" si="2"/>
        <v>3677.3</v>
      </c>
      <c r="O14" s="360"/>
      <c r="P14" s="360">
        <f>N14+1803+5932</f>
        <v>11412.3</v>
      </c>
      <c r="Q14" s="360"/>
    </row>
    <row r="15" spans="1:17" s="350" customFormat="1" x14ac:dyDescent="0.2">
      <c r="A15" s="373" t="s">
        <v>220</v>
      </c>
      <c r="B15" s="360">
        <v>458</v>
      </c>
      <c r="C15" s="360">
        <v>8808</v>
      </c>
      <c r="D15" s="360">
        <v>14355</v>
      </c>
      <c r="E15" s="360">
        <v>9098</v>
      </c>
      <c r="F15" s="360">
        <v>3033.36</v>
      </c>
      <c r="G15" s="360">
        <v>8647</v>
      </c>
      <c r="H15" s="360">
        <v>24041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f t="shared" si="2"/>
        <v>68440.36</v>
      </c>
      <c r="O15" s="360"/>
      <c r="P15" s="360">
        <f>N15+14705</f>
        <v>83145.36</v>
      </c>
      <c r="Q15" s="360"/>
    </row>
    <row r="16" spans="1:17" s="350" customFormat="1" x14ac:dyDescent="0.2">
      <c r="A16" s="373" t="s">
        <v>67</v>
      </c>
      <c r="B16" s="360">
        <v>0</v>
      </c>
      <c r="C16" s="360">
        <v>0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0">
        <v>0</v>
      </c>
      <c r="N16" s="360">
        <f t="shared" si="2"/>
        <v>0</v>
      </c>
      <c r="O16" s="360"/>
      <c r="P16" s="360">
        <f>N16+408</f>
        <v>408</v>
      </c>
      <c r="Q16" s="360"/>
    </row>
    <row r="17" spans="1:122 16371:16371" s="350" customFormat="1" x14ac:dyDescent="0.2">
      <c r="A17" s="373" t="s">
        <v>258</v>
      </c>
      <c r="B17" s="360">
        <v>178</v>
      </c>
      <c r="C17" s="360">
        <v>221</v>
      </c>
      <c r="D17" s="360">
        <v>235</v>
      </c>
      <c r="E17" s="360">
        <v>496</v>
      </c>
      <c r="F17" s="360">
        <v>158.30000000000001</v>
      </c>
      <c r="G17" s="360">
        <v>784</v>
      </c>
      <c r="H17" s="360">
        <v>14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f t="shared" si="2"/>
        <v>2086.3000000000002</v>
      </c>
      <c r="O17" s="360"/>
      <c r="P17" s="360">
        <f>N17+7383</f>
        <v>9469.2999999999993</v>
      </c>
      <c r="Q17" s="360"/>
    </row>
    <row r="18" spans="1:122 16371:16371" s="350" customFormat="1" x14ac:dyDescent="0.2">
      <c r="A18" s="373" t="s">
        <v>259</v>
      </c>
      <c r="B18" s="360">
        <v>36</v>
      </c>
      <c r="C18" s="360">
        <v>66</v>
      </c>
      <c r="D18" s="360">
        <v>77</v>
      </c>
      <c r="E18" s="360">
        <v>66</v>
      </c>
      <c r="F18" s="360">
        <v>70.69</v>
      </c>
      <c r="G18" s="360">
        <v>72</v>
      </c>
      <c r="H18" s="360">
        <v>51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f t="shared" si="2"/>
        <v>438.69</v>
      </c>
      <c r="O18" s="360"/>
      <c r="P18" s="360">
        <f>N18+1180</f>
        <v>1618.69</v>
      </c>
      <c r="Q18" s="360"/>
    </row>
    <row r="19" spans="1:122 16371:16371" s="350" customFormat="1" x14ac:dyDescent="0.2">
      <c r="A19" s="373" t="s">
        <v>260</v>
      </c>
      <c r="B19" s="360">
        <v>36</v>
      </c>
      <c r="C19" s="360">
        <v>66</v>
      </c>
      <c r="D19" s="360">
        <v>77</v>
      </c>
      <c r="E19" s="360">
        <v>66</v>
      </c>
      <c r="F19" s="360">
        <v>70.69</v>
      </c>
      <c r="G19" s="360">
        <v>72</v>
      </c>
      <c r="H19" s="360">
        <v>51</v>
      </c>
      <c r="I19" s="360">
        <v>0</v>
      </c>
      <c r="J19" s="360">
        <v>0</v>
      </c>
      <c r="K19" s="360">
        <v>0</v>
      </c>
      <c r="L19" s="360">
        <v>0</v>
      </c>
      <c r="M19" s="360">
        <v>0</v>
      </c>
      <c r="N19" s="360">
        <f t="shared" si="2"/>
        <v>438.69</v>
      </c>
      <c r="O19" s="360"/>
      <c r="P19" s="360">
        <f>N19+982</f>
        <v>1420.69</v>
      </c>
      <c r="Q19" s="360"/>
    </row>
    <row r="20" spans="1:122 16371:16371" s="350" customFormat="1" x14ac:dyDescent="0.2">
      <c r="A20" s="374" t="s">
        <v>221</v>
      </c>
      <c r="B20" s="360">
        <v>0</v>
      </c>
      <c r="C20" s="360">
        <v>0</v>
      </c>
      <c r="D20" s="360">
        <v>10184</v>
      </c>
      <c r="E20" s="360">
        <v>58543</v>
      </c>
      <c r="F20" s="360">
        <v>77388</v>
      </c>
      <c r="G20" s="360">
        <v>13858</v>
      </c>
      <c r="H20" s="360">
        <v>35585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f t="shared" si="2"/>
        <v>195558</v>
      </c>
      <c r="O20" s="360"/>
      <c r="P20" s="360">
        <f>N20+496277+61236</f>
        <v>753071</v>
      </c>
      <c r="Q20" s="360"/>
    </row>
    <row r="21" spans="1:122 16371:16371" s="350" customFormat="1" x14ac:dyDescent="0.2">
      <c r="A21" s="374" t="s">
        <v>222</v>
      </c>
      <c r="B21" s="360">
        <v>0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f t="shared" si="2"/>
        <v>0</v>
      </c>
      <c r="O21" s="360"/>
      <c r="P21" s="360">
        <f>N21+289260+323913</f>
        <v>613173</v>
      </c>
      <c r="Q21" s="360"/>
    </row>
    <row r="22" spans="1:122 16371:16371" s="350" customFormat="1" x14ac:dyDescent="0.2">
      <c r="A22" s="374" t="s">
        <v>254</v>
      </c>
      <c r="B22" s="360">
        <v>24649</v>
      </c>
      <c r="C22" s="360">
        <f>29962-1</f>
        <v>29961</v>
      </c>
      <c r="D22" s="360">
        <v>51514</v>
      </c>
      <c r="E22" s="360">
        <f>102489+1</f>
        <v>102490</v>
      </c>
      <c r="F22" s="360">
        <f>108273+1</f>
        <v>108274</v>
      </c>
      <c r="G22" s="360">
        <v>107188</v>
      </c>
      <c r="H22" s="360">
        <v>101855</v>
      </c>
      <c r="I22" s="360">
        <v>0</v>
      </c>
      <c r="J22" s="360">
        <v>0</v>
      </c>
      <c r="K22" s="360">
        <v>0</v>
      </c>
      <c r="L22" s="360">
        <v>0</v>
      </c>
      <c r="M22" s="360">
        <v>0</v>
      </c>
      <c r="N22" s="360">
        <f t="shared" ref="N22" si="3">SUM(B22:M22)</f>
        <v>525931</v>
      </c>
      <c r="O22" s="360"/>
      <c r="P22" s="360">
        <f>N22+506076</f>
        <v>1032007</v>
      </c>
      <c r="Q22" s="360"/>
    </row>
    <row r="23" spans="1:122 16371:16371" s="343" customFormat="1" x14ac:dyDescent="0.2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60"/>
      <c r="O23" s="376"/>
      <c r="P23" s="376"/>
      <c r="Q23" s="376"/>
    </row>
    <row r="24" spans="1:122 16371:16371" s="350" customFormat="1" ht="15" x14ac:dyDescent="0.2">
      <c r="A24" s="377" t="s">
        <v>223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</row>
    <row r="25" spans="1:122 16371:16371" s="350" customFormat="1" x14ac:dyDescent="0.2">
      <c r="A25" s="378" t="s">
        <v>224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</row>
    <row r="26" spans="1:122 16371:16371" s="350" customFormat="1" x14ac:dyDescent="0.2">
      <c r="A26" s="359" t="s">
        <v>205</v>
      </c>
      <c r="B26" s="360">
        <v>0</v>
      </c>
      <c r="C26" s="360">
        <v>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f t="shared" si="2"/>
        <v>0</v>
      </c>
      <c r="O26" s="360"/>
      <c r="P26" s="360">
        <f>N26+132</f>
        <v>132</v>
      </c>
      <c r="Q26" s="360"/>
    </row>
    <row r="27" spans="1:122 16371:16371" s="350" customFormat="1" x14ac:dyDescent="0.2">
      <c r="A27" s="359" t="s">
        <v>206</v>
      </c>
      <c r="B27" s="360">
        <v>0</v>
      </c>
      <c r="C27" s="360">
        <v>0</v>
      </c>
      <c r="D27" s="360">
        <v>0</v>
      </c>
      <c r="E27" s="360">
        <v>0</v>
      </c>
      <c r="F27" s="360">
        <v>0</v>
      </c>
      <c r="G27" s="360">
        <v>0</v>
      </c>
      <c r="H27" s="360">
        <f>108192+1</f>
        <v>108193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f t="shared" si="2"/>
        <v>108193</v>
      </c>
      <c r="O27" s="360"/>
      <c r="P27" s="360">
        <f>N27+177658+349</f>
        <v>286200</v>
      </c>
      <c r="Q27" s="360"/>
    </row>
    <row r="28" spans="1:122 16371:16371" s="350" customFormat="1" x14ac:dyDescent="0.2">
      <c r="A28" s="359" t="s">
        <v>209</v>
      </c>
      <c r="B28" s="360">
        <v>458</v>
      </c>
      <c r="C28" s="360">
        <v>1420</v>
      </c>
      <c r="D28" s="360">
        <v>1244</v>
      </c>
      <c r="E28" s="360">
        <v>1918</v>
      </c>
      <c r="F28" s="360">
        <v>1594.53</v>
      </c>
      <c r="G28" s="360">
        <v>1184</v>
      </c>
      <c r="H28" s="360">
        <v>1393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f t="shared" si="2"/>
        <v>9211.5299999999988</v>
      </c>
      <c r="O28" s="360"/>
      <c r="P28" s="360">
        <f>N28+7361+14623</f>
        <v>31195.53</v>
      </c>
      <c r="Q28" s="360"/>
    </row>
    <row r="29" spans="1:122 16371:16371" s="350" customFormat="1" x14ac:dyDescent="0.2">
      <c r="A29" s="359" t="s">
        <v>207</v>
      </c>
      <c r="B29" s="360">
        <v>0</v>
      </c>
      <c r="C29" s="360">
        <v>0</v>
      </c>
      <c r="D29" s="360">
        <v>-13333</v>
      </c>
      <c r="E29" s="360">
        <v>13333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f t="shared" si="2"/>
        <v>0</v>
      </c>
      <c r="O29" s="360"/>
      <c r="P29" s="360">
        <f>N29+211808+155308</f>
        <v>367116</v>
      </c>
      <c r="Q29" s="360"/>
    </row>
    <row r="30" spans="1:122 16371:16371" s="350" customFormat="1" x14ac:dyDescent="0.2">
      <c r="A30" s="359" t="s">
        <v>208</v>
      </c>
      <c r="B30" s="360">
        <v>0</v>
      </c>
      <c r="C30" s="360">
        <v>0</v>
      </c>
      <c r="D30" s="360">
        <v>0</v>
      </c>
      <c r="E30" s="360">
        <v>0</v>
      </c>
      <c r="F30" s="360">
        <v>0</v>
      </c>
      <c r="G30" s="360">
        <v>0</v>
      </c>
      <c r="H30" s="360">
        <v>1512</v>
      </c>
      <c r="I30" s="360">
        <v>0</v>
      </c>
      <c r="J30" s="360">
        <v>0</v>
      </c>
      <c r="K30" s="360">
        <v>0</v>
      </c>
      <c r="L30" s="360">
        <v>0</v>
      </c>
      <c r="M30" s="360">
        <v>0</v>
      </c>
      <c r="N30" s="360">
        <f t="shared" si="2"/>
        <v>1512</v>
      </c>
      <c r="O30" s="360"/>
      <c r="P30" s="360">
        <f>N30+520551+48710</f>
        <v>570773</v>
      </c>
      <c r="Q30" s="360"/>
    </row>
    <row r="31" spans="1:122 16371:16371" s="412" customFormat="1" ht="15.75" x14ac:dyDescent="0.25">
      <c r="A31" s="379" t="s">
        <v>210</v>
      </c>
      <c r="B31" s="380">
        <f t="shared" ref="B31:D31" si="4">SUM(B13:B30)</f>
        <v>25998</v>
      </c>
      <c r="C31" s="380">
        <f t="shared" si="4"/>
        <v>41110</v>
      </c>
      <c r="D31" s="380">
        <f t="shared" si="4"/>
        <v>64851</v>
      </c>
      <c r="E31" s="380">
        <f t="shared" ref="E31:M31" si="5">SUM(E13:E30)</f>
        <v>186777</v>
      </c>
      <c r="F31" s="380">
        <f t="shared" si="5"/>
        <v>191216.87</v>
      </c>
      <c r="G31" s="380">
        <f t="shared" si="5"/>
        <v>132282</v>
      </c>
      <c r="H31" s="380">
        <f t="shared" si="5"/>
        <v>273252</v>
      </c>
      <c r="I31" s="380">
        <f t="shared" si="5"/>
        <v>0</v>
      </c>
      <c r="J31" s="380">
        <f t="shared" si="5"/>
        <v>0</v>
      </c>
      <c r="K31" s="380">
        <f>SUM(K13:K30)</f>
        <v>0</v>
      </c>
      <c r="L31" s="380">
        <f t="shared" si="5"/>
        <v>0</v>
      </c>
      <c r="M31" s="380">
        <f t="shared" si="5"/>
        <v>0</v>
      </c>
      <c r="N31" s="380">
        <f>SUM(N13:N30)</f>
        <v>915486.87000000011</v>
      </c>
      <c r="O31" s="380"/>
      <c r="P31" s="380">
        <f>SUM(P13:P30)</f>
        <v>3761660.8699999996</v>
      </c>
      <c r="Q31" s="380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</row>
    <row r="32" spans="1:122 16371:16371" x14ac:dyDescent="0.2">
      <c r="A32" s="35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XEQ32" s="350"/>
    </row>
    <row r="33" spans="1:17" ht="15.75" x14ac:dyDescent="0.25">
      <c r="A33" s="381" t="s">
        <v>211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60"/>
      <c r="P33" s="372"/>
      <c r="Q33" s="372"/>
    </row>
    <row r="34" spans="1:17" x14ac:dyDescent="0.2">
      <c r="A34" s="373" t="s">
        <v>205</v>
      </c>
      <c r="B34" s="360">
        <v>0</v>
      </c>
      <c r="C34" s="360">
        <v>0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f>SUM(B34:M34)</f>
        <v>0</v>
      </c>
      <c r="O34" s="360"/>
      <c r="P34" s="360">
        <f>N34+132</f>
        <v>132</v>
      </c>
      <c r="Q34" s="360"/>
    </row>
    <row r="35" spans="1:17" x14ac:dyDescent="0.2">
      <c r="A35" s="359" t="s">
        <v>206</v>
      </c>
      <c r="B35" s="360">
        <v>5754</v>
      </c>
      <c r="C35" s="360">
        <v>6535</v>
      </c>
      <c r="D35" s="360">
        <v>25720</v>
      </c>
      <c r="E35" s="360">
        <v>17661</v>
      </c>
      <c r="F35" s="360">
        <v>70727</v>
      </c>
      <c r="G35" s="360">
        <v>26985</v>
      </c>
      <c r="H35" s="360">
        <v>148912</v>
      </c>
      <c r="I35" s="360">
        <v>0</v>
      </c>
      <c r="J35" s="360">
        <v>0</v>
      </c>
      <c r="K35" s="360">
        <v>0</v>
      </c>
      <c r="L35" s="360">
        <v>0</v>
      </c>
      <c r="M35" s="360">
        <v>0</v>
      </c>
      <c r="N35" s="360">
        <f>SUM(B35:M35)</f>
        <v>302294</v>
      </c>
      <c r="O35" s="360"/>
      <c r="P35" s="360">
        <f>N35+187463+74255</f>
        <v>564012</v>
      </c>
      <c r="Q35" s="360"/>
    </row>
    <row r="36" spans="1:17" s="350" customFormat="1" x14ac:dyDescent="0.2">
      <c r="A36" s="359" t="s">
        <v>209</v>
      </c>
      <c r="B36" s="360">
        <f>18126-1</f>
        <v>18125</v>
      </c>
      <c r="C36" s="360">
        <v>23884</v>
      </c>
      <c r="D36" s="360">
        <v>25820</v>
      </c>
      <c r="E36" s="360">
        <v>78602</v>
      </c>
      <c r="F36" s="360">
        <v>18240</v>
      </c>
      <c r="G36" s="360">
        <f>47727-1</f>
        <v>47726</v>
      </c>
      <c r="H36" s="360">
        <v>29413</v>
      </c>
      <c r="I36" s="360">
        <v>0</v>
      </c>
      <c r="J36" s="360">
        <v>0</v>
      </c>
      <c r="K36" s="360">
        <v>0</v>
      </c>
      <c r="L36" s="360">
        <v>0</v>
      </c>
      <c r="M36" s="360">
        <v>0</v>
      </c>
      <c r="N36" s="360">
        <f>SUM(B36:M36)</f>
        <v>241810</v>
      </c>
      <c r="O36" s="344"/>
      <c r="P36" s="360">
        <f>N36+108990+362870</f>
        <v>713670</v>
      </c>
      <c r="Q36" s="344"/>
    </row>
    <row r="37" spans="1:17" s="350" customFormat="1" x14ac:dyDescent="0.2">
      <c r="A37" s="359" t="s">
        <v>207</v>
      </c>
      <c r="B37" s="360">
        <v>0</v>
      </c>
      <c r="C37" s="360">
        <v>7388</v>
      </c>
      <c r="D37" s="360">
        <v>9961</v>
      </c>
      <c r="E37" s="360">
        <v>79227</v>
      </c>
      <c r="F37" s="360">
        <v>79556</v>
      </c>
      <c r="G37" s="360">
        <v>22816</v>
      </c>
      <c r="H37" s="360">
        <v>95659</v>
      </c>
      <c r="I37" s="360">
        <v>0</v>
      </c>
      <c r="J37" s="360">
        <v>0</v>
      </c>
      <c r="K37" s="360">
        <v>0</v>
      </c>
      <c r="L37" s="360">
        <v>0</v>
      </c>
      <c r="M37" s="360">
        <v>0</v>
      </c>
      <c r="N37" s="360">
        <f t="shared" ref="N37:N38" si="6">SUM(B37:M37)</f>
        <v>294607</v>
      </c>
      <c r="O37" s="344"/>
      <c r="P37" s="360">
        <f>N37+541733+515274</f>
        <v>1351614</v>
      </c>
      <c r="Q37" s="344"/>
    </row>
    <row r="38" spans="1:17" s="350" customFormat="1" x14ac:dyDescent="0.2">
      <c r="A38" s="374" t="s">
        <v>208</v>
      </c>
      <c r="B38" s="360">
        <v>2119</v>
      </c>
      <c r="C38" s="360">
        <v>3303</v>
      </c>
      <c r="D38" s="360">
        <v>3350</v>
      </c>
      <c r="E38" s="360">
        <v>11287</v>
      </c>
      <c r="F38" s="360">
        <v>22694</v>
      </c>
      <c r="G38" s="360">
        <v>34755</v>
      </c>
      <c r="H38" s="360">
        <v>-732</v>
      </c>
      <c r="I38" s="360">
        <v>0</v>
      </c>
      <c r="J38" s="360">
        <v>0</v>
      </c>
      <c r="K38" s="360">
        <v>0</v>
      </c>
      <c r="L38" s="360">
        <v>0</v>
      </c>
      <c r="M38" s="360">
        <v>0</v>
      </c>
      <c r="N38" s="360">
        <f t="shared" si="6"/>
        <v>76776</v>
      </c>
      <c r="O38" s="344"/>
      <c r="P38" s="360">
        <f>N38+866969+188488</f>
        <v>1132233</v>
      </c>
      <c r="Q38" s="344"/>
    </row>
    <row r="39" spans="1:17" s="350" customFormat="1" ht="15.75" x14ac:dyDescent="0.25">
      <c r="A39" s="382" t="s">
        <v>212</v>
      </c>
      <c r="B39" s="384">
        <f t="shared" ref="B39:D39" si="7">SUM(B34:B38)</f>
        <v>25998</v>
      </c>
      <c r="C39" s="384">
        <f t="shared" si="7"/>
        <v>41110</v>
      </c>
      <c r="D39" s="384">
        <f t="shared" si="7"/>
        <v>64851</v>
      </c>
      <c r="E39" s="384">
        <f t="shared" ref="E39:M39" si="8">SUM(E34:E38)</f>
        <v>186777</v>
      </c>
      <c r="F39" s="384">
        <f t="shared" si="8"/>
        <v>191217</v>
      </c>
      <c r="G39" s="384">
        <f t="shared" si="8"/>
        <v>132282</v>
      </c>
      <c r="H39" s="384">
        <f t="shared" si="8"/>
        <v>273252</v>
      </c>
      <c r="I39" s="384">
        <f t="shared" si="8"/>
        <v>0</v>
      </c>
      <c r="J39" s="384">
        <f t="shared" si="8"/>
        <v>0</v>
      </c>
      <c r="K39" s="384">
        <f t="shared" si="8"/>
        <v>0</v>
      </c>
      <c r="L39" s="384">
        <f t="shared" si="8"/>
        <v>0</v>
      </c>
      <c r="M39" s="384">
        <f t="shared" si="8"/>
        <v>0</v>
      </c>
      <c r="N39" s="384">
        <f>SUM(N34:N38)</f>
        <v>915487</v>
      </c>
      <c r="O39" s="383"/>
      <c r="P39" s="384">
        <f>SUM(P34:P38)</f>
        <v>3761661</v>
      </c>
      <c r="Q39" s="383"/>
    </row>
    <row r="40" spans="1:17" x14ac:dyDescent="0.2">
      <c r="A40" s="385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7"/>
      <c r="P40" s="386"/>
      <c r="Q40" s="386"/>
    </row>
    <row r="41" spans="1:17" ht="15.75" x14ac:dyDescent="0.25">
      <c r="A41" s="381" t="s">
        <v>213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60"/>
      <c r="P41" s="372"/>
      <c r="Q41" s="372"/>
    </row>
    <row r="42" spans="1:17" s="350" customFormat="1" x14ac:dyDescent="0.2">
      <c r="A42" s="359" t="s">
        <v>263</v>
      </c>
      <c r="B42" s="360">
        <v>36</v>
      </c>
      <c r="C42" s="360">
        <v>66</v>
      </c>
      <c r="D42" s="360">
        <v>77</v>
      </c>
      <c r="E42" s="360">
        <v>66</v>
      </c>
      <c r="F42" s="360">
        <v>71</v>
      </c>
      <c r="G42" s="360">
        <v>72</v>
      </c>
      <c r="H42" s="360">
        <v>51</v>
      </c>
      <c r="I42" s="360">
        <v>0</v>
      </c>
      <c r="J42" s="360">
        <v>0</v>
      </c>
      <c r="K42" s="360">
        <v>0</v>
      </c>
      <c r="L42" s="360">
        <v>0</v>
      </c>
      <c r="M42" s="360">
        <v>0</v>
      </c>
      <c r="N42" s="360">
        <f>SUM(B42:M42)</f>
        <v>439</v>
      </c>
      <c r="O42" s="360"/>
      <c r="P42" s="360">
        <f>N42+982</f>
        <v>1421</v>
      </c>
      <c r="Q42" s="360"/>
    </row>
    <row r="43" spans="1:17" s="350" customFormat="1" x14ac:dyDescent="0.2">
      <c r="A43" s="373" t="s">
        <v>214</v>
      </c>
      <c r="B43" s="360">
        <v>9496</v>
      </c>
      <c r="C43" s="360">
        <v>12029</v>
      </c>
      <c r="D43" s="360">
        <v>26000</v>
      </c>
      <c r="E43" s="360">
        <v>25192</v>
      </c>
      <c r="F43" s="360">
        <v>64203</v>
      </c>
      <c r="G43" s="360">
        <v>45452</v>
      </c>
      <c r="H43" s="360">
        <v>56312</v>
      </c>
      <c r="I43" s="360">
        <v>0</v>
      </c>
      <c r="J43" s="360">
        <v>0</v>
      </c>
      <c r="K43" s="360">
        <v>0</v>
      </c>
      <c r="L43" s="360">
        <v>0</v>
      </c>
      <c r="M43" s="360">
        <v>0</v>
      </c>
      <c r="N43" s="360">
        <f>SUM(B43:M43)</f>
        <v>238684</v>
      </c>
      <c r="O43" s="360"/>
      <c r="P43" s="360">
        <f>N43+145592+352056</f>
        <v>736332</v>
      </c>
      <c r="Q43" s="360"/>
    </row>
    <row r="44" spans="1:17" s="350" customFormat="1" ht="14.25" customHeight="1" x14ac:dyDescent="0.2">
      <c r="A44" s="359" t="s">
        <v>215</v>
      </c>
      <c r="B44" s="360">
        <f>9460+1</f>
        <v>9461</v>
      </c>
      <c r="C44" s="360">
        <v>11964</v>
      </c>
      <c r="D44" s="360">
        <f>25923+1</f>
        <v>25924</v>
      </c>
      <c r="E44" s="360">
        <v>25126</v>
      </c>
      <c r="F44" s="360">
        <v>64133</v>
      </c>
      <c r="G44" s="360">
        <v>45380</v>
      </c>
      <c r="H44" s="360">
        <v>56261</v>
      </c>
      <c r="I44" s="360">
        <v>0</v>
      </c>
      <c r="J44" s="360">
        <v>0</v>
      </c>
      <c r="K44" s="360">
        <v>0</v>
      </c>
      <c r="L44" s="360">
        <v>0</v>
      </c>
      <c r="M44" s="360">
        <v>0</v>
      </c>
      <c r="N44" s="360">
        <f>SUM(B44:M44)</f>
        <v>238249</v>
      </c>
      <c r="O44" s="360"/>
      <c r="P44" s="360">
        <f>N44+260842+351782</f>
        <v>850873</v>
      </c>
      <c r="Q44" s="360"/>
    </row>
    <row r="45" spans="1:17" s="350" customFormat="1" x14ac:dyDescent="0.2">
      <c r="A45" s="359" t="s">
        <v>216</v>
      </c>
      <c r="B45" s="360">
        <v>7005</v>
      </c>
      <c r="C45" s="360">
        <v>17051</v>
      </c>
      <c r="D45" s="360">
        <v>12850</v>
      </c>
      <c r="E45" s="360">
        <v>136393</v>
      </c>
      <c r="F45" s="360">
        <v>62810</v>
      </c>
      <c r="G45" s="360">
        <v>41378</v>
      </c>
      <c r="H45" s="360">
        <f>160629-1</f>
        <v>160628</v>
      </c>
      <c r="I45" s="360">
        <v>0</v>
      </c>
      <c r="J45" s="360">
        <v>0</v>
      </c>
      <c r="K45" s="360">
        <v>0</v>
      </c>
      <c r="L45" s="360">
        <v>0</v>
      </c>
      <c r="M45" s="360">
        <v>0</v>
      </c>
      <c r="N45" s="360">
        <f>SUM(B45:M45)</f>
        <v>438115</v>
      </c>
      <c r="O45" s="344"/>
      <c r="P45" s="360">
        <f>N45+1298853+436067</f>
        <v>2173035</v>
      </c>
      <c r="Q45" s="344"/>
    </row>
    <row r="46" spans="1:17" s="350" customFormat="1" ht="15.75" x14ac:dyDescent="0.25">
      <c r="A46" s="382" t="s">
        <v>217</v>
      </c>
      <c r="B46" s="384">
        <f t="shared" ref="B46:D46" si="9">SUM(B42:B45)</f>
        <v>25998</v>
      </c>
      <c r="C46" s="384">
        <f t="shared" si="9"/>
        <v>41110</v>
      </c>
      <c r="D46" s="384">
        <f t="shared" si="9"/>
        <v>64851</v>
      </c>
      <c r="E46" s="384">
        <f t="shared" ref="E46:M46" si="10">SUM(E42:E45)</f>
        <v>186777</v>
      </c>
      <c r="F46" s="384">
        <f t="shared" si="10"/>
        <v>191217</v>
      </c>
      <c r="G46" s="384">
        <f t="shared" si="10"/>
        <v>132282</v>
      </c>
      <c r="H46" s="384">
        <f t="shared" si="10"/>
        <v>273252</v>
      </c>
      <c r="I46" s="384">
        <f t="shared" si="10"/>
        <v>0</v>
      </c>
      <c r="J46" s="384">
        <f t="shared" si="10"/>
        <v>0</v>
      </c>
      <c r="K46" s="384">
        <f t="shared" si="10"/>
        <v>0</v>
      </c>
      <c r="L46" s="384">
        <f t="shared" si="10"/>
        <v>0</v>
      </c>
      <c r="M46" s="384">
        <f t="shared" si="10"/>
        <v>0</v>
      </c>
      <c r="N46" s="384">
        <f>SUM(N42:N45)</f>
        <v>915487</v>
      </c>
      <c r="O46" s="384">
        <f>SUM(O42:O45)</f>
        <v>0</v>
      </c>
      <c r="P46" s="384">
        <f>SUM(P42:P45)</f>
        <v>3761661</v>
      </c>
      <c r="Q46" s="383"/>
    </row>
    <row r="47" spans="1:17" s="350" customFormat="1" x14ac:dyDescent="0.2"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</row>
    <row r="48" spans="1:17" s="350" customFormat="1" x14ac:dyDescent="0.2"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</row>
    <row r="49" spans="1:17" x14ac:dyDescent="0.2">
      <c r="A49" s="388" t="s">
        <v>25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</row>
    <row r="50" spans="1:17" ht="30" customHeight="1" x14ac:dyDescent="0.2">
      <c r="A50" s="476" t="s">
        <v>225</v>
      </c>
      <c r="B50" s="476"/>
      <c r="C50" s="476"/>
      <c r="D50" s="476"/>
      <c r="N50" s="360"/>
      <c r="O50" s="360"/>
      <c r="P50" s="360"/>
      <c r="Q50" s="360"/>
    </row>
    <row r="51" spans="1:17" s="343" customFormat="1" ht="14.25" x14ac:dyDescent="0.2">
      <c r="A51" s="475" t="s">
        <v>226</v>
      </c>
      <c r="B51" s="476"/>
      <c r="C51" s="476"/>
      <c r="D51" s="476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</row>
    <row r="52" spans="1:17" ht="14.25" x14ac:dyDescent="0.2">
      <c r="A52" s="475" t="s">
        <v>227</v>
      </c>
      <c r="B52" s="476"/>
      <c r="C52" s="476"/>
      <c r="D52" s="476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</row>
    <row r="53" spans="1:17" ht="14.25" x14ac:dyDescent="0.2">
      <c r="A53" s="475" t="s">
        <v>228</v>
      </c>
      <c r="B53" s="476"/>
      <c r="C53" s="476"/>
      <c r="D53" s="476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</row>
    <row r="54" spans="1:17" ht="14.25" x14ac:dyDescent="0.2">
      <c r="A54" s="475" t="s">
        <v>249</v>
      </c>
      <c r="B54" s="476"/>
      <c r="C54" s="476"/>
      <c r="D54" s="476"/>
      <c r="E54" s="389"/>
      <c r="F54" s="389"/>
      <c r="G54" s="389"/>
      <c r="H54" s="389"/>
      <c r="I54" s="389"/>
      <c r="J54" s="389"/>
      <c r="K54" s="389"/>
      <c r="L54" s="389"/>
      <c r="M54" s="389"/>
      <c r="N54" s="389"/>
    </row>
    <row r="55" spans="1:17" x14ac:dyDescent="0.2">
      <c r="A55" s="391"/>
      <c r="B55" s="390"/>
      <c r="C55" s="390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</row>
    <row r="56" spans="1:17" x14ac:dyDescent="0.2">
      <c r="A56" s="343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</row>
    <row r="57" spans="1:17" x14ac:dyDescent="0.2">
      <c r="A57" s="343"/>
      <c r="B57" s="343"/>
      <c r="C57" s="343"/>
      <c r="D57" s="392"/>
      <c r="E57" s="395"/>
      <c r="F57" s="360"/>
      <c r="G57" s="343"/>
      <c r="H57" s="343"/>
      <c r="I57" s="343"/>
      <c r="J57" s="343"/>
      <c r="K57" s="343"/>
      <c r="M57" s="343"/>
    </row>
    <row r="58" spans="1:17" x14ac:dyDescent="0.2">
      <c r="A58" s="343"/>
      <c r="B58" s="343"/>
      <c r="C58" s="343"/>
      <c r="D58" s="392"/>
      <c r="E58" s="395"/>
      <c r="F58" s="360"/>
      <c r="G58" s="343"/>
      <c r="H58" s="343"/>
      <c r="I58" s="343"/>
      <c r="J58" s="343"/>
      <c r="K58" s="343"/>
      <c r="M58" s="343"/>
    </row>
    <row r="59" spans="1:17" x14ac:dyDescent="0.2">
      <c r="A59" s="343"/>
      <c r="B59" s="343"/>
      <c r="C59" s="343"/>
      <c r="D59" s="343"/>
      <c r="E59" s="395"/>
      <c r="F59" s="343"/>
      <c r="G59" s="343"/>
      <c r="H59" s="343"/>
      <c r="I59" s="343"/>
      <c r="J59" s="343"/>
      <c r="K59" s="343"/>
      <c r="M59" s="343"/>
    </row>
    <row r="60" spans="1:17" x14ac:dyDescent="0.2">
      <c r="B60" s="343"/>
      <c r="C60" s="343"/>
      <c r="D60" s="360"/>
      <c r="E60" s="395"/>
      <c r="F60" s="360"/>
      <c r="G60" s="343"/>
      <c r="H60" s="343"/>
      <c r="I60" s="343"/>
      <c r="J60" s="343"/>
      <c r="K60" s="343"/>
      <c r="M60" s="343"/>
    </row>
    <row r="61" spans="1:17" x14ac:dyDescent="0.2">
      <c r="B61" s="343"/>
      <c r="C61" s="343"/>
      <c r="D61" s="360"/>
      <c r="E61" s="395"/>
      <c r="F61" s="360"/>
      <c r="G61" s="343"/>
      <c r="H61" s="343"/>
      <c r="I61" s="343"/>
      <c r="J61" s="343"/>
      <c r="K61" s="343"/>
      <c r="M61" s="343"/>
    </row>
    <row r="62" spans="1:17" x14ac:dyDescent="0.2">
      <c r="D62" s="393"/>
      <c r="E62" s="396"/>
      <c r="F62" s="393"/>
    </row>
    <row r="63" spans="1:17" x14ac:dyDescent="0.2">
      <c r="D63" s="393"/>
      <c r="E63" s="396"/>
      <c r="F63" s="393"/>
    </row>
    <row r="64" spans="1:17" x14ac:dyDescent="0.2">
      <c r="D64" s="393"/>
      <c r="E64" s="396"/>
      <c r="F64" s="393"/>
    </row>
    <row r="65" spans="5:6" x14ac:dyDescent="0.2">
      <c r="E65" s="394"/>
      <c r="F65" s="393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2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8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55"/>
  <sheetViews>
    <sheetView zoomScale="80" zoomScaleNormal="80" zoomScaleSheetLayoutView="90" workbookViewId="0">
      <selection activeCell="F35" sqref="F35"/>
    </sheetView>
  </sheetViews>
  <sheetFormatPr defaultColWidth="9.140625" defaultRowHeight="14.1" customHeight="1" x14ac:dyDescent="0.2"/>
  <cols>
    <col min="1" max="1" width="61.5703125" style="415" customWidth="1"/>
    <col min="2" max="2" width="15.28515625" style="413" customWidth="1"/>
    <col min="3" max="3" width="15.7109375" style="414" customWidth="1"/>
    <col min="4" max="4" width="26.5703125" style="415" customWidth="1"/>
    <col min="5" max="5" width="27.140625" style="420" customWidth="1"/>
    <col min="6" max="6" width="22" style="415" customWidth="1"/>
    <col min="7" max="7" width="37" style="415" customWidth="1"/>
    <col min="8" max="16384" width="9.140625" style="416"/>
  </cols>
  <sheetData>
    <row r="1" spans="1:7" ht="14.1" customHeight="1" x14ac:dyDescent="0.25">
      <c r="A1" s="481" t="s">
        <v>63</v>
      </c>
      <c r="B1" s="482"/>
      <c r="C1" s="482"/>
      <c r="D1" s="482"/>
      <c r="E1" s="482"/>
      <c r="F1" s="482"/>
      <c r="G1" s="483"/>
    </row>
    <row r="2" spans="1:7" ht="14.1" customHeight="1" x14ac:dyDescent="0.2">
      <c r="A2" s="424" t="s">
        <v>57</v>
      </c>
      <c r="B2" s="417" t="s">
        <v>33</v>
      </c>
      <c r="C2" s="423" t="s">
        <v>19</v>
      </c>
      <c r="D2" s="417" t="s">
        <v>26</v>
      </c>
      <c r="E2" s="424" t="s">
        <v>153</v>
      </c>
      <c r="F2" s="417" t="s">
        <v>24</v>
      </c>
      <c r="G2" s="417" t="s">
        <v>154</v>
      </c>
    </row>
    <row r="3" spans="1:7" ht="14.1" customHeight="1" x14ac:dyDescent="0.2">
      <c r="A3" s="436" t="s">
        <v>268</v>
      </c>
      <c r="B3" s="433">
        <v>1</v>
      </c>
      <c r="C3" s="434">
        <v>41676</v>
      </c>
      <c r="D3" s="432" t="s">
        <v>264</v>
      </c>
      <c r="E3" s="437">
        <v>140</v>
      </c>
      <c r="F3" s="435" t="s">
        <v>282</v>
      </c>
      <c r="G3" s="432">
        <v>5</v>
      </c>
    </row>
    <row r="4" spans="1:7" ht="14.1" customHeight="1" x14ac:dyDescent="0.2">
      <c r="A4" s="436" t="s">
        <v>280</v>
      </c>
      <c r="B4" s="433">
        <v>2</v>
      </c>
      <c r="C4" s="434">
        <v>41677</v>
      </c>
      <c r="D4" s="432" t="s">
        <v>265</v>
      </c>
      <c r="E4" s="437">
        <v>17900</v>
      </c>
      <c r="F4" s="432" t="s">
        <v>276</v>
      </c>
      <c r="G4" s="432">
        <v>7</v>
      </c>
    </row>
    <row r="5" spans="1:7" ht="14.1" customHeight="1" x14ac:dyDescent="0.2">
      <c r="A5" s="436" t="s">
        <v>269</v>
      </c>
      <c r="B5" s="433">
        <v>3</v>
      </c>
      <c r="C5" s="434">
        <v>41676</v>
      </c>
      <c r="D5" s="432" t="s">
        <v>264</v>
      </c>
      <c r="E5" s="437">
        <v>1080</v>
      </c>
      <c r="F5" s="435" t="s">
        <v>282</v>
      </c>
      <c r="G5" s="432">
        <v>5</v>
      </c>
    </row>
    <row r="6" spans="1:7" ht="14.1" customHeight="1" x14ac:dyDescent="0.2">
      <c r="A6" s="436" t="s">
        <v>266</v>
      </c>
      <c r="B6" s="433">
        <v>4</v>
      </c>
      <c r="C6" s="434">
        <v>41677</v>
      </c>
      <c r="D6" s="432" t="s">
        <v>264</v>
      </c>
      <c r="E6" s="437">
        <v>1500</v>
      </c>
      <c r="F6" s="432" t="s">
        <v>276</v>
      </c>
      <c r="G6" s="432">
        <v>7</v>
      </c>
    </row>
    <row r="7" spans="1:7" ht="14.1" customHeight="1" x14ac:dyDescent="0.2">
      <c r="A7" s="436" t="s">
        <v>272</v>
      </c>
      <c r="B7" s="433">
        <v>5</v>
      </c>
      <c r="C7" s="434">
        <v>41677</v>
      </c>
      <c r="D7" s="432" t="s">
        <v>264</v>
      </c>
      <c r="E7" s="437">
        <v>2300</v>
      </c>
      <c r="F7" s="435" t="s">
        <v>283</v>
      </c>
      <c r="G7" s="432">
        <v>4</v>
      </c>
    </row>
    <row r="8" spans="1:7" ht="14.1" customHeight="1" x14ac:dyDescent="0.2">
      <c r="A8" s="436" t="s">
        <v>267</v>
      </c>
      <c r="B8" s="433">
        <v>6</v>
      </c>
      <c r="C8" s="434">
        <v>41760</v>
      </c>
      <c r="D8" s="432" t="s">
        <v>264</v>
      </c>
      <c r="E8" s="436">
        <v>7300</v>
      </c>
      <c r="F8" s="435" t="s">
        <v>273</v>
      </c>
      <c r="G8" s="432">
        <v>4</v>
      </c>
    </row>
    <row r="9" spans="1:7" ht="14.1" customHeight="1" x14ac:dyDescent="0.2">
      <c r="A9" s="436" t="s">
        <v>268</v>
      </c>
      <c r="B9" s="433">
        <v>7</v>
      </c>
      <c r="C9" s="434">
        <v>41773</v>
      </c>
      <c r="D9" s="432" t="s">
        <v>264</v>
      </c>
      <c r="E9" s="436">
        <v>990</v>
      </c>
      <c r="F9" s="435" t="s">
        <v>274</v>
      </c>
      <c r="G9" s="432">
        <v>9</v>
      </c>
    </row>
    <row r="10" spans="1:7" ht="14.1" customHeight="1" x14ac:dyDescent="0.2">
      <c r="A10" s="436" t="s">
        <v>269</v>
      </c>
      <c r="B10" s="433">
        <v>8</v>
      </c>
      <c r="C10" s="434">
        <v>41773</v>
      </c>
      <c r="D10" s="432" t="s">
        <v>264</v>
      </c>
      <c r="E10" s="436">
        <v>5200</v>
      </c>
      <c r="F10" s="435" t="s">
        <v>274</v>
      </c>
      <c r="G10" s="432">
        <v>9</v>
      </c>
    </row>
    <row r="11" spans="1:7" s="227" customFormat="1" ht="14.1" customHeight="1" x14ac:dyDescent="0.2">
      <c r="A11" s="436" t="s">
        <v>267</v>
      </c>
      <c r="B11" s="433">
        <v>9</v>
      </c>
      <c r="C11" s="434">
        <v>41773</v>
      </c>
      <c r="D11" s="432" t="s">
        <v>264</v>
      </c>
      <c r="E11" s="436">
        <v>7900</v>
      </c>
      <c r="F11" s="435" t="s">
        <v>275</v>
      </c>
      <c r="G11" s="432">
        <v>8</v>
      </c>
    </row>
    <row r="12" spans="1:7" s="227" customFormat="1" ht="14.1" customHeight="1" x14ac:dyDescent="0.2">
      <c r="A12" s="436" t="s">
        <v>270</v>
      </c>
      <c r="B12" s="433">
        <v>10</v>
      </c>
      <c r="C12" s="434">
        <v>41773</v>
      </c>
      <c r="D12" s="432" t="s">
        <v>264</v>
      </c>
      <c r="E12" s="436">
        <v>8300</v>
      </c>
      <c r="F12" s="432" t="s">
        <v>275</v>
      </c>
      <c r="G12" s="432">
        <v>4</v>
      </c>
    </row>
    <row r="13" spans="1:7" s="227" customFormat="1" ht="14.1" customHeight="1" x14ac:dyDescent="0.2">
      <c r="A13" s="436" t="s">
        <v>271</v>
      </c>
      <c r="B13" s="433">
        <v>11</v>
      </c>
      <c r="C13" s="434">
        <v>41773</v>
      </c>
      <c r="D13" s="432" t="s">
        <v>265</v>
      </c>
      <c r="E13" s="436">
        <v>12700</v>
      </c>
      <c r="F13" s="435" t="s">
        <v>274</v>
      </c>
      <c r="G13" s="432">
        <v>4</v>
      </c>
    </row>
    <row r="14" spans="1:7" s="227" customFormat="1" ht="14.1" customHeight="1" x14ac:dyDescent="0.2">
      <c r="A14" s="436" t="s">
        <v>281</v>
      </c>
      <c r="B14" s="433">
        <v>12</v>
      </c>
      <c r="C14" s="434">
        <v>41773</v>
      </c>
      <c r="D14" s="432" t="s">
        <v>264</v>
      </c>
      <c r="E14" s="436">
        <v>3100</v>
      </c>
      <c r="F14" s="432" t="s">
        <v>276</v>
      </c>
      <c r="G14" s="432">
        <v>14</v>
      </c>
    </row>
    <row r="15" spans="1:7" s="227" customFormat="1" ht="14.1" customHeight="1" x14ac:dyDescent="0.2">
      <c r="A15" s="436" t="s">
        <v>270</v>
      </c>
      <c r="B15" s="433">
        <v>13</v>
      </c>
      <c r="C15" s="434">
        <v>41774</v>
      </c>
      <c r="D15" s="432" t="s">
        <v>264</v>
      </c>
      <c r="E15" s="436">
        <v>7200</v>
      </c>
      <c r="F15" s="432" t="s">
        <v>275</v>
      </c>
      <c r="G15" s="432">
        <v>8</v>
      </c>
    </row>
    <row r="16" spans="1:7" s="227" customFormat="1" ht="14.1" customHeight="1" x14ac:dyDescent="0.2">
      <c r="A16" s="436" t="s">
        <v>271</v>
      </c>
      <c r="B16" s="433">
        <v>14</v>
      </c>
      <c r="C16" s="434">
        <v>41774</v>
      </c>
      <c r="D16" s="432" t="s">
        <v>265</v>
      </c>
      <c r="E16" s="436">
        <v>15500</v>
      </c>
      <c r="F16" s="435" t="s">
        <v>274</v>
      </c>
      <c r="G16" s="432">
        <v>8</v>
      </c>
    </row>
    <row r="17" spans="1:7" s="227" customFormat="1" ht="14.1" customHeight="1" x14ac:dyDescent="0.2">
      <c r="A17" s="436" t="s">
        <v>280</v>
      </c>
      <c r="B17" s="433">
        <v>15</v>
      </c>
      <c r="C17" s="434">
        <v>41774</v>
      </c>
      <c r="D17" s="432" t="s">
        <v>265</v>
      </c>
      <c r="E17" s="436">
        <v>11100</v>
      </c>
      <c r="F17" s="432" t="s">
        <v>276</v>
      </c>
      <c r="G17" s="432">
        <v>14</v>
      </c>
    </row>
    <row r="18" spans="1:7" s="227" customFormat="1" ht="14.1" customHeight="1" x14ac:dyDescent="0.2">
      <c r="A18" s="436" t="s">
        <v>272</v>
      </c>
      <c r="B18" s="433">
        <v>16</v>
      </c>
      <c r="C18" s="434">
        <v>41774</v>
      </c>
      <c r="D18" s="432" t="s">
        <v>264</v>
      </c>
      <c r="E18" s="436">
        <v>1800</v>
      </c>
      <c r="F18" s="432" t="s">
        <v>274</v>
      </c>
      <c r="G18" s="432">
        <v>8</v>
      </c>
    </row>
    <row r="19" spans="1:7" s="227" customFormat="1" ht="14.1" customHeight="1" x14ac:dyDescent="0.2">
      <c r="A19" s="436" t="s">
        <v>267</v>
      </c>
      <c r="B19" s="433">
        <v>17</v>
      </c>
      <c r="C19" s="434">
        <v>41774</v>
      </c>
      <c r="D19" s="432" t="s">
        <v>264</v>
      </c>
      <c r="E19" s="436">
        <v>9200</v>
      </c>
      <c r="F19" s="432" t="s">
        <v>275</v>
      </c>
      <c r="G19" s="432">
        <v>12</v>
      </c>
    </row>
    <row r="20" spans="1:7" s="227" customFormat="1" ht="14.1" customHeight="1" x14ac:dyDescent="0.2">
      <c r="A20" s="436" t="s">
        <v>281</v>
      </c>
      <c r="B20" s="433">
        <v>18</v>
      </c>
      <c r="C20" s="434">
        <v>41774</v>
      </c>
      <c r="D20" s="432" t="s">
        <v>264</v>
      </c>
      <c r="E20" s="436">
        <v>1300</v>
      </c>
      <c r="F20" s="432" t="s">
        <v>276</v>
      </c>
      <c r="G20" s="432">
        <v>21</v>
      </c>
    </row>
    <row r="21" spans="1:7" s="227" customFormat="1" ht="14.1" customHeight="1" x14ac:dyDescent="0.2">
      <c r="A21" s="436" t="s">
        <v>268</v>
      </c>
      <c r="B21" s="433">
        <v>19</v>
      </c>
      <c r="C21" s="434">
        <v>41775</v>
      </c>
      <c r="D21" s="432" t="s">
        <v>264</v>
      </c>
      <c r="E21" s="436">
        <v>1900</v>
      </c>
      <c r="F21" s="432" t="s">
        <v>277</v>
      </c>
      <c r="G21" s="432">
        <v>13</v>
      </c>
    </row>
    <row r="22" spans="1:7" s="227" customFormat="1" ht="14.1" customHeight="1" x14ac:dyDescent="0.2">
      <c r="A22" s="436" t="s">
        <v>269</v>
      </c>
      <c r="B22" s="433">
        <v>20</v>
      </c>
      <c r="C22" s="434">
        <v>41775</v>
      </c>
      <c r="D22" s="432" t="s">
        <v>264</v>
      </c>
      <c r="E22" s="436">
        <v>6400</v>
      </c>
      <c r="F22" s="435" t="s">
        <v>278</v>
      </c>
      <c r="G22" s="432">
        <v>13</v>
      </c>
    </row>
    <row r="23" spans="1:7" s="227" customFormat="1" ht="14.1" customHeight="1" x14ac:dyDescent="0.2">
      <c r="A23" s="436" t="s">
        <v>271</v>
      </c>
      <c r="B23" s="433">
        <v>21</v>
      </c>
      <c r="C23" s="434">
        <v>41775</v>
      </c>
      <c r="D23" s="432" t="s">
        <v>265</v>
      </c>
      <c r="E23" s="436">
        <v>12200</v>
      </c>
      <c r="F23" s="432" t="s">
        <v>279</v>
      </c>
      <c r="G23" s="432">
        <v>12</v>
      </c>
    </row>
    <row r="24" spans="1:7" s="227" customFormat="1" ht="14.1" customHeight="1" x14ac:dyDescent="0.2">
      <c r="A24" s="436" t="s">
        <v>271</v>
      </c>
      <c r="B24" s="433">
        <v>22</v>
      </c>
      <c r="C24" s="444">
        <v>41849</v>
      </c>
      <c r="D24" s="432" t="s">
        <v>265</v>
      </c>
      <c r="E24" s="442">
        <v>11240</v>
      </c>
      <c r="F24" s="432" t="s">
        <v>275</v>
      </c>
      <c r="G24" s="443">
        <v>16</v>
      </c>
    </row>
    <row r="25" spans="1:7" s="227" customFormat="1" ht="14.1" customHeight="1" x14ac:dyDescent="0.2">
      <c r="A25" s="436" t="s">
        <v>267</v>
      </c>
      <c r="B25" s="433">
        <v>23</v>
      </c>
      <c r="C25" s="444">
        <v>41850</v>
      </c>
      <c r="D25" s="432" t="s">
        <v>264</v>
      </c>
      <c r="E25" s="442">
        <v>5000</v>
      </c>
      <c r="F25" s="432" t="s">
        <v>275</v>
      </c>
      <c r="G25" s="443">
        <v>16</v>
      </c>
    </row>
    <row r="26" spans="1:7" s="227" customFormat="1" ht="14.1" customHeight="1" x14ac:dyDescent="0.2">
      <c r="A26" s="436" t="s">
        <v>267</v>
      </c>
      <c r="B26" s="433">
        <v>24</v>
      </c>
      <c r="C26" s="444">
        <v>41851</v>
      </c>
      <c r="D26" s="432" t="s">
        <v>264</v>
      </c>
      <c r="E26" s="442">
        <v>4500</v>
      </c>
      <c r="F26" s="435" t="s">
        <v>273</v>
      </c>
      <c r="G26" s="443">
        <v>20</v>
      </c>
    </row>
    <row r="27" spans="1:7" s="227" customFormat="1" ht="14.1" customHeight="1" x14ac:dyDescent="0.2">
      <c r="A27" s="436" t="s">
        <v>280</v>
      </c>
      <c r="B27" s="433">
        <v>25</v>
      </c>
      <c r="C27" s="444">
        <v>41851</v>
      </c>
      <c r="D27" s="432" t="s">
        <v>265</v>
      </c>
      <c r="E27" s="442">
        <v>22900</v>
      </c>
      <c r="F27" s="432" t="s">
        <v>276</v>
      </c>
      <c r="G27" s="443">
        <v>21</v>
      </c>
    </row>
    <row r="28" spans="1:7" s="227" customFormat="1" ht="14.1" customHeight="1" x14ac:dyDescent="0.2">
      <c r="A28" s="436" t="s">
        <v>281</v>
      </c>
      <c r="B28" s="433">
        <v>26</v>
      </c>
      <c r="C28" s="444">
        <v>41851</v>
      </c>
      <c r="D28" s="432" t="s">
        <v>264</v>
      </c>
      <c r="E28" s="442">
        <v>5900</v>
      </c>
      <c r="F28" s="432" t="s">
        <v>276</v>
      </c>
      <c r="G28" s="443">
        <v>28</v>
      </c>
    </row>
    <row r="29" spans="1:7" s="227" customFormat="1" ht="14.1" customHeight="1" x14ac:dyDescent="0.2">
      <c r="A29" s="447" t="s">
        <v>183</v>
      </c>
      <c r="B29" s="417">
        <v>27</v>
      </c>
      <c r="C29" s="446">
        <v>41851</v>
      </c>
      <c r="D29" s="445" t="s">
        <v>264</v>
      </c>
      <c r="E29" s="447">
        <v>500</v>
      </c>
      <c r="F29" s="445" t="s">
        <v>276</v>
      </c>
      <c r="G29" s="445">
        <v>28</v>
      </c>
    </row>
    <row r="30" spans="1:7" s="227" customFormat="1" ht="14.1" customHeight="1" x14ac:dyDescent="0.2">
      <c r="A30" s="425"/>
      <c r="B30" s="240"/>
      <c r="C30" s="426"/>
      <c r="D30" s="425"/>
      <c r="E30" s="427"/>
      <c r="F30" s="425"/>
      <c r="G30" s="425"/>
    </row>
    <row r="31" spans="1:7" s="227" customFormat="1" ht="14.1" customHeight="1" x14ac:dyDescent="0.2">
      <c r="A31" s="425"/>
      <c r="B31" s="240"/>
      <c r="C31" s="426"/>
      <c r="D31" s="425"/>
      <c r="E31" s="427"/>
      <c r="F31" s="425"/>
      <c r="G31" s="425"/>
    </row>
    <row r="32" spans="1:7" s="227" customFormat="1" ht="14.1" customHeight="1" x14ac:dyDescent="0.2">
      <c r="A32" s="425"/>
      <c r="B32" s="240"/>
      <c r="C32" s="426"/>
      <c r="D32" s="425"/>
      <c r="E32" s="427"/>
      <c r="F32" s="425"/>
      <c r="G32" s="425"/>
    </row>
    <row r="33" spans="1:7" s="227" customFormat="1" ht="14.1" customHeight="1" x14ac:dyDescent="0.2">
      <c r="A33" s="425"/>
      <c r="B33" s="240"/>
      <c r="C33" s="426"/>
      <c r="D33" s="425"/>
      <c r="E33" s="427"/>
      <c r="F33" s="425"/>
      <c r="G33" s="425"/>
    </row>
    <row r="34" spans="1:7" s="227" customFormat="1" ht="14.1" customHeight="1" x14ac:dyDescent="0.2">
      <c r="A34" s="425"/>
      <c r="B34" s="240"/>
      <c r="C34" s="426"/>
      <c r="D34" s="425"/>
      <c r="E34" s="427"/>
      <c r="F34" s="425"/>
      <c r="G34" s="425"/>
    </row>
    <row r="35" spans="1:7" s="227" customFormat="1" ht="14.1" customHeight="1" x14ac:dyDescent="0.2">
      <c r="A35" s="425"/>
      <c r="B35" s="240"/>
      <c r="C35" s="426"/>
      <c r="D35" s="425"/>
      <c r="E35" s="427"/>
      <c r="F35" s="425"/>
      <c r="G35" s="425"/>
    </row>
    <row r="36" spans="1:7" s="227" customFormat="1" ht="14.1" customHeight="1" x14ac:dyDescent="0.2">
      <c r="A36" s="425"/>
      <c r="B36" s="240"/>
      <c r="C36" s="426"/>
      <c r="D36" s="425"/>
      <c r="E36" s="427"/>
      <c r="F36" s="425"/>
      <c r="G36" s="425"/>
    </row>
    <row r="37" spans="1:7" s="227" customFormat="1" ht="14.1" customHeight="1" x14ac:dyDescent="0.2">
      <c r="A37" s="425"/>
      <c r="B37" s="240"/>
      <c r="C37" s="426"/>
      <c r="D37" s="425"/>
      <c r="E37" s="427"/>
      <c r="F37" s="425"/>
      <c r="G37" s="425"/>
    </row>
    <row r="38" spans="1:7" s="227" customFormat="1" ht="14.1" customHeight="1" x14ac:dyDescent="0.2">
      <c r="A38" s="425"/>
      <c r="B38" s="240"/>
      <c r="C38" s="426"/>
      <c r="D38" s="425"/>
      <c r="E38" s="427"/>
      <c r="F38" s="425"/>
      <c r="G38" s="425"/>
    </row>
    <row r="39" spans="1:7" s="227" customFormat="1" ht="14.1" customHeight="1" x14ac:dyDescent="0.2">
      <c r="A39" s="425"/>
      <c r="B39" s="240"/>
      <c r="C39" s="426"/>
      <c r="D39" s="425"/>
      <c r="E39" s="427"/>
      <c r="F39" s="425"/>
      <c r="G39" s="425"/>
    </row>
    <row r="40" spans="1:7" s="227" customFormat="1" ht="14.1" customHeight="1" x14ac:dyDescent="0.2">
      <c r="A40" s="425"/>
      <c r="B40" s="240"/>
      <c r="C40" s="426"/>
      <c r="D40" s="425"/>
      <c r="E40" s="427"/>
      <c r="F40" s="425"/>
      <c r="G40" s="425"/>
    </row>
    <row r="41" spans="1:7" s="227" customFormat="1" ht="14.1" customHeight="1" x14ac:dyDescent="0.2">
      <c r="A41" s="425"/>
      <c r="B41" s="240"/>
      <c r="C41" s="426"/>
      <c r="D41" s="425"/>
      <c r="E41" s="427"/>
      <c r="F41" s="425"/>
      <c r="G41" s="425"/>
    </row>
    <row r="42" spans="1:7" s="227" customFormat="1" ht="14.1" customHeight="1" x14ac:dyDescent="0.2">
      <c r="A42" s="425"/>
      <c r="B42" s="240"/>
      <c r="C42" s="426"/>
      <c r="D42" s="425"/>
      <c r="E42" s="427"/>
      <c r="F42" s="425"/>
      <c r="G42" s="425"/>
    </row>
    <row r="43" spans="1:7" s="227" customFormat="1" ht="14.1" customHeight="1" x14ac:dyDescent="0.2">
      <c r="A43" s="425"/>
      <c r="B43" s="240"/>
      <c r="C43" s="426"/>
      <c r="D43" s="425"/>
      <c r="E43" s="427"/>
      <c r="F43" s="425"/>
      <c r="G43" s="425"/>
    </row>
    <row r="44" spans="1:7" s="227" customFormat="1" ht="14.1" customHeight="1" x14ac:dyDescent="0.2">
      <c r="A44" s="425"/>
      <c r="B44" s="240"/>
      <c r="C44" s="426"/>
      <c r="D44" s="425"/>
      <c r="E44" s="427"/>
      <c r="F44" s="425"/>
      <c r="G44" s="425"/>
    </row>
    <row r="45" spans="1:7" s="227" customFormat="1" ht="14.1" customHeight="1" x14ac:dyDescent="0.2">
      <c r="A45" s="425"/>
      <c r="B45" s="240"/>
      <c r="C45" s="426"/>
      <c r="D45" s="425"/>
      <c r="E45" s="427"/>
      <c r="F45" s="425"/>
      <c r="G45" s="425"/>
    </row>
    <row r="46" spans="1:7" s="227" customFormat="1" ht="14.1" customHeight="1" x14ac:dyDescent="0.2">
      <c r="A46" s="425"/>
      <c r="B46" s="240"/>
      <c r="C46" s="426"/>
      <c r="D46" s="425"/>
      <c r="E46" s="427"/>
      <c r="F46" s="425"/>
      <c r="G46" s="425"/>
    </row>
    <row r="47" spans="1:7" s="227" customFormat="1" ht="14.1" customHeight="1" x14ac:dyDescent="0.2">
      <c r="A47" s="425"/>
      <c r="B47" s="240"/>
      <c r="C47" s="426"/>
      <c r="D47" s="425"/>
      <c r="E47" s="427"/>
      <c r="F47" s="425"/>
      <c r="G47" s="425"/>
    </row>
    <row r="48" spans="1:7" s="227" customFormat="1" ht="14.1" customHeight="1" x14ac:dyDescent="0.2">
      <c r="A48" s="425"/>
      <c r="B48" s="240"/>
      <c r="C48" s="426"/>
      <c r="D48" s="425"/>
      <c r="E48" s="427"/>
      <c r="F48" s="425"/>
      <c r="G48" s="425"/>
    </row>
    <row r="49" spans="1:7" s="227" customFormat="1" ht="14.1" customHeight="1" x14ac:dyDescent="0.2">
      <c r="A49" s="425"/>
      <c r="B49" s="240"/>
      <c r="C49" s="426"/>
      <c r="D49" s="425"/>
      <c r="E49" s="427"/>
      <c r="F49" s="425"/>
      <c r="G49" s="425"/>
    </row>
    <row r="50" spans="1:7" s="227" customFormat="1" ht="14.1" customHeight="1" x14ac:dyDescent="0.2">
      <c r="A50" s="425"/>
      <c r="B50" s="240"/>
      <c r="C50" s="426"/>
      <c r="D50" s="425"/>
      <c r="E50" s="427"/>
      <c r="F50" s="425"/>
      <c r="G50" s="425"/>
    </row>
    <row r="51" spans="1:7" s="227" customFormat="1" ht="14.1" customHeight="1" x14ac:dyDescent="0.2">
      <c r="A51" s="425"/>
      <c r="B51" s="240"/>
      <c r="C51" s="426"/>
      <c r="D51" s="425"/>
      <c r="E51" s="427"/>
      <c r="F51" s="425"/>
      <c r="G51" s="425"/>
    </row>
    <row r="52" spans="1:7" s="227" customFormat="1" ht="14.1" customHeight="1" x14ac:dyDescent="0.2">
      <c r="A52" s="425"/>
      <c r="B52" s="240"/>
      <c r="C52" s="426"/>
      <c r="D52" s="425"/>
      <c r="E52" s="427"/>
      <c r="F52" s="425"/>
      <c r="G52" s="425"/>
    </row>
    <row r="53" spans="1:7" s="227" customFormat="1" ht="14.1" customHeight="1" x14ac:dyDescent="0.2">
      <c r="A53" s="425"/>
      <c r="B53" s="240"/>
      <c r="C53" s="426"/>
      <c r="D53" s="425"/>
      <c r="E53" s="427"/>
      <c r="F53" s="425"/>
      <c r="G53" s="425"/>
    </row>
    <row r="54" spans="1:7" s="227" customFormat="1" ht="14.1" customHeight="1" x14ac:dyDescent="0.2">
      <c r="A54" s="425"/>
      <c r="B54" s="240"/>
      <c r="C54" s="426"/>
      <c r="D54" s="425"/>
      <c r="E54" s="427"/>
      <c r="F54" s="425"/>
      <c r="G54" s="425"/>
    </row>
    <row r="55" spans="1:7" s="227" customFormat="1" ht="14.1" customHeight="1" x14ac:dyDescent="0.2">
      <c r="A55" s="425"/>
      <c r="B55" s="240"/>
      <c r="C55" s="426"/>
      <c r="D55" s="425"/>
      <c r="E55" s="427"/>
      <c r="F55" s="425"/>
      <c r="G55" s="425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0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BreakPreview" zoomScale="75" zoomScaleNormal="100" zoomScaleSheetLayoutView="75" workbookViewId="0">
      <pane xSplit="1" ySplit="3" topLeftCell="B25" activePane="bottomRight" state="frozen"/>
      <selection activeCell="I16" sqref="I16"/>
      <selection pane="topRight" activeCell="I16" sqref="I16"/>
      <selection pane="bottomLeft" activeCell="I16" sqref="I16"/>
      <selection pane="bottomRight" activeCell="B60" sqref="B60"/>
    </sheetView>
  </sheetViews>
  <sheetFormatPr defaultColWidth="17" defaultRowHeight="12.75" x14ac:dyDescent="0.2"/>
  <cols>
    <col min="1" max="1" width="42.5703125" style="227" customWidth="1"/>
    <col min="2" max="7" width="11.7109375" style="227" customWidth="1"/>
    <col min="8" max="8" width="14.85546875" style="227" customWidth="1"/>
    <col min="9" max="9" width="11.7109375" style="227" customWidth="1"/>
    <col min="10" max="10" width="11.7109375" style="228" customWidth="1"/>
    <col min="11" max="11" width="11.7109375" style="227" customWidth="1"/>
    <col min="12" max="12" width="12.28515625" style="227" customWidth="1"/>
    <col min="13" max="13" width="11.7109375" style="227" customWidth="1"/>
    <col min="14" max="14" width="12.7109375" style="227" customWidth="1"/>
    <col min="15" max="15" width="12.85546875" style="227" customWidth="1"/>
    <col min="16" max="16" width="12.42578125" style="227" customWidth="1"/>
    <col min="17" max="16384" width="17" style="227"/>
  </cols>
  <sheetData>
    <row r="1" spans="1:16" ht="13.5" thickBot="1" x14ac:dyDescent="0.25"/>
    <row r="2" spans="1:16" x14ac:dyDescent="0.2">
      <c r="A2" s="229"/>
      <c r="B2" s="230"/>
      <c r="C2" s="230"/>
      <c r="D2" s="230"/>
      <c r="E2" s="230"/>
      <c r="F2" s="230"/>
      <c r="G2" s="230"/>
      <c r="H2" s="230"/>
      <c r="I2" s="230"/>
      <c r="J2" s="231"/>
      <c r="K2" s="230"/>
      <c r="L2" s="230"/>
      <c r="M2" s="230"/>
      <c r="N2" s="230"/>
      <c r="O2" s="230"/>
      <c r="P2" s="232"/>
    </row>
    <row r="3" spans="1:16" ht="25.5" x14ac:dyDescent="0.2">
      <c r="A3" s="233" t="s">
        <v>17</v>
      </c>
      <c r="B3" s="234" t="s">
        <v>0</v>
      </c>
      <c r="C3" s="234" t="s">
        <v>1</v>
      </c>
      <c r="D3" s="234" t="s">
        <v>2</v>
      </c>
      <c r="E3" s="234" t="s">
        <v>3</v>
      </c>
      <c r="F3" s="234" t="s">
        <v>4</v>
      </c>
      <c r="G3" s="234" t="s">
        <v>5</v>
      </c>
      <c r="H3" s="234" t="s">
        <v>6</v>
      </c>
      <c r="I3" s="234" t="s">
        <v>7</v>
      </c>
      <c r="J3" s="235" t="s">
        <v>8</v>
      </c>
      <c r="K3" s="234" t="s">
        <v>9</v>
      </c>
      <c r="L3" s="234" t="s">
        <v>10</v>
      </c>
      <c r="M3" s="234" t="s">
        <v>11</v>
      </c>
      <c r="N3" s="236" t="s">
        <v>94</v>
      </c>
      <c r="O3" s="237"/>
      <c r="P3" s="238" t="s">
        <v>95</v>
      </c>
    </row>
    <row r="4" spans="1:16" x14ac:dyDescent="0.2">
      <c r="A4" s="239"/>
      <c r="B4" s="240"/>
      <c r="C4" s="240"/>
      <c r="D4" s="240"/>
      <c r="E4" s="240"/>
      <c r="F4" s="240"/>
      <c r="G4" s="240"/>
      <c r="H4" s="240"/>
      <c r="I4" s="240"/>
      <c r="J4" s="241"/>
      <c r="K4" s="240"/>
      <c r="L4" s="240"/>
      <c r="M4" s="240"/>
      <c r="N4" s="242"/>
      <c r="O4" s="243"/>
      <c r="P4" s="244"/>
    </row>
    <row r="5" spans="1:16" x14ac:dyDescent="0.2">
      <c r="A5" s="245" t="s">
        <v>78</v>
      </c>
      <c r="B5" s="240"/>
      <c r="C5" s="240"/>
      <c r="D5" s="240"/>
      <c r="E5" s="240"/>
      <c r="F5" s="240"/>
      <c r="G5" s="240"/>
      <c r="H5" s="240"/>
      <c r="I5" s="240"/>
      <c r="J5" s="241"/>
      <c r="K5" s="240"/>
      <c r="L5" s="240"/>
      <c r="M5" s="240"/>
      <c r="N5" s="246"/>
      <c r="O5" s="243"/>
      <c r="P5" s="244"/>
    </row>
    <row r="6" spans="1:16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248"/>
      <c r="N6" s="250"/>
      <c r="O6" s="251"/>
      <c r="P6" s="252"/>
    </row>
    <row r="7" spans="1:16" x14ac:dyDescent="0.2">
      <c r="A7" s="247" t="s">
        <v>31</v>
      </c>
      <c r="B7" s="248">
        <v>206.23500000000001</v>
      </c>
      <c r="C7" s="248">
        <v>41.192</v>
      </c>
      <c r="D7" s="248">
        <v>41.375</v>
      </c>
      <c r="E7" s="248">
        <v>30.934000000000001</v>
      </c>
      <c r="F7" s="248">
        <v>75.817999999999998</v>
      </c>
      <c r="G7" s="248">
        <v>86.138999999999996</v>
      </c>
      <c r="H7" s="248">
        <v>15.843999999999999</v>
      </c>
      <c r="I7" s="248"/>
      <c r="J7" s="248"/>
      <c r="K7" s="248"/>
      <c r="L7" s="249"/>
      <c r="M7" s="248"/>
      <c r="N7" s="250">
        <f t="shared" ref="N7:N37" si="0">SUM(B7:M7)</f>
        <v>497.53700000000003</v>
      </c>
      <c r="O7" s="253">
        <v>0</v>
      </c>
      <c r="P7" s="252" t="s">
        <v>74</v>
      </c>
    </row>
    <row r="8" spans="1:16" x14ac:dyDescent="0.2">
      <c r="A8" s="247" t="s">
        <v>96</v>
      </c>
      <c r="B8" s="248">
        <v>1.919</v>
      </c>
      <c r="C8" s="248">
        <v>2.3540000000000001</v>
      </c>
      <c r="D8" s="248">
        <v>3.0369999999999999</v>
      </c>
      <c r="E8" s="248">
        <v>4.7300000000000004</v>
      </c>
      <c r="F8" s="248">
        <v>5.2130000000000001</v>
      </c>
      <c r="G8" s="248">
        <v>4.0679999999999996</v>
      </c>
      <c r="H8" s="248">
        <v>2.7679999999999998</v>
      </c>
      <c r="I8" s="248"/>
      <c r="J8" s="248"/>
      <c r="K8" s="248"/>
      <c r="L8" s="249"/>
      <c r="M8" s="248"/>
      <c r="N8" s="250">
        <f t="shared" si="0"/>
        <v>24.088999999999999</v>
      </c>
      <c r="O8" s="251">
        <v>0</v>
      </c>
      <c r="P8" s="252" t="s">
        <v>74</v>
      </c>
    </row>
    <row r="9" spans="1:16" x14ac:dyDescent="0.2">
      <c r="A9" s="247" t="s">
        <v>142</v>
      </c>
      <c r="B9" s="248">
        <v>0.66200000000000003</v>
      </c>
      <c r="C9" s="248">
        <v>0.43</v>
      </c>
      <c r="D9" s="248">
        <v>1.1579999999999999</v>
      </c>
      <c r="E9" s="248">
        <v>3.2850000000000001</v>
      </c>
      <c r="F9" s="248">
        <v>3.3479999999999999</v>
      </c>
      <c r="G9" s="248">
        <v>2.0329999999999999</v>
      </c>
      <c r="H9" s="248">
        <v>2.2309999999999999</v>
      </c>
      <c r="I9" s="248"/>
      <c r="J9" s="248"/>
      <c r="K9" s="248"/>
      <c r="L9" s="249"/>
      <c r="M9" s="248"/>
      <c r="N9" s="250">
        <f t="shared" si="0"/>
        <v>13.146999999999998</v>
      </c>
      <c r="O9" s="251">
        <v>0</v>
      </c>
      <c r="P9" s="252" t="s">
        <v>74</v>
      </c>
    </row>
    <row r="10" spans="1:16" x14ac:dyDescent="0.2">
      <c r="A10" s="247" t="s">
        <v>97</v>
      </c>
      <c r="B10" s="248">
        <v>0</v>
      </c>
      <c r="C10" s="248">
        <v>0</v>
      </c>
      <c r="D10" s="248">
        <v>0</v>
      </c>
      <c r="E10" s="248">
        <v>0</v>
      </c>
      <c r="F10" s="248">
        <v>0</v>
      </c>
      <c r="G10" s="248">
        <v>0</v>
      </c>
      <c r="H10" s="248">
        <v>0</v>
      </c>
      <c r="I10" s="248"/>
      <c r="J10" s="248"/>
      <c r="K10" s="248"/>
      <c r="L10" s="249"/>
      <c r="M10" s="248"/>
      <c r="N10" s="250">
        <f t="shared" si="0"/>
        <v>0</v>
      </c>
      <c r="O10" s="251">
        <v>0</v>
      </c>
      <c r="P10" s="252" t="s">
        <v>74</v>
      </c>
    </row>
    <row r="11" spans="1:16" x14ac:dyDescent="0.2">
      <c r="A11" s="247" t="s">
        <v>98</v>
      </c>
      <c r="B11" s="248">
        <v>27.768999999999998</v>
      </c>
      <c r="C11" s="248">
        <v>24.248000000000001</v>
      </c>
      <c r="D11" s="248">
        <v>19.658999999999999</v>
      </c>
      <c r="E11" s="248">
        <v>60.863999999999997</v>
      </c>
      <c r="F11" s="248">
        <v>34.155999999999999</v>
      </c>
      <c r="G11" s="248">
        <v>34.536000000000001</v>
      </c>
      <c r="H11" s="248">
        <v>20.081</v>
      </c>
      <c r="I11" s="248"/>
      <c r="J11" s="248"/>
      <c r="K11" s="248"/>
      <c r="L11" s="249"/>
      <c r="M11" s="248"/>
      <c r="N11" s="250">
        <f t="shared" si="0"/>
        <v>221.31299999999999</v>
      </c>
      <c r="O11" s="251">
        <v>0</v>
      </c>
      <c r="P11" s="252" t="s">
        <v>74</v>
      </c>
    </row>
    <row r="12" spans="1:16" x14ac:dyDescent="0.2">
      <c r="A12" s="247" t="s">
        <v>99</v>
      </c>
      <c r="B12" s="248">
        <v>0</v>
      </c>
      <c r="C12" s="248">
        <v>-0.05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/>
      <c r="J12" s="248"/>
      <c r="K12" s="248"/>
      <c r="L12" s="249"/>
      <c r="M12" s="248"/>
      <c r="N12" s="250">
        <f t="shared" si="0"/>
        <v>-0.05</v>
      </c>
      <c r="O12" s="251">
        <v>0</v>
      </c>
      <c r="P12" s="252" t="s">
        <v>74</v>
      </c>
    </row>
    <row r="13" spans="1:16" ht="14.25" x14ac:dyDescent="0.2">
      <c r="A13" s="247" t="s">
        <v>250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/>
      <c r="J13" s="248"/>
      <c r="K13" s="248"/>
      <c r="L13" s="249"/>
      <c r="M13" s="248"/>
      <c r="N13" s="250">
        <f t="shared" si="0"/>
        <v>0</v>
      </c>
      <c r="O13" s="251">
        <v>0</v>
      </c>
      <c r="P13" s="252" t="s">
        <v>74</v>
      </c>
    </row>
    <row r="14" spans="1:16" x14ac:dyDescent="0.2">
      <c r="A14" s="247" t="s">
        <v>100</v>
      </c>
      <c r="B14" s="248">
        <v>0</v>
      </c>
      <c r="C14" s="248">
        <v>0</v>
      </c>
      <c r="D14" s="248">
        <v>10.183999999999999</v>
      </c>
      <c r="E14" s="248">
        <v>58.542999999999999</v>
      </c>
      <c r="F14" s="248">
        <v>77.388000000000005</v>
      </c>
      <c r="G14" s="248">
        <v>13.858000000000001</v>
      </c>
      <c r="H14" s="248">
        <v>35.585000000000001</v>
      </c>
      <c r="I14" s="248"/>
      <c r="J14" s="248"/>
      <c r="K14" s="248"/>
      <c r="L14" s="249"/>
      <c r="M14" s="248"/>
      <c r="N14" s="250">
        <f t="shared" si="0"/>
        <v>195.55800000000002</v>
      </c>
      <c r="O14" s="251">
        <v>0</v>
      </c>
      <c r="P14" s="252" t="s">
        <v>74</v>
      </c>
    </row>
    <row r="15" spans="1:16" x14ac:dyDescent="0.2">
      <c r="A15" s="247" t="s">
        <v>157</v>
      </c>
      <c r="B15" s="248">
        <v>0</v>
      </c>
      <c r="C15" s="248">
        <v>0.79700000000000004</v>
      </c>
      <c r="D15" s="248">
        <v>1.9770000000000001</v>
      </c>
      <c r="E15" s="248">
        <v>3.7090000000000001</v>
      </c>
      <c r="F15" s="248">
        <v>10.78</v>
      </c>
      <c r="G15" s="248">
        <v>2.7149999999999999</v>
      </c>
      <c r="H15" s="248">
        <v>-1.4E-2</v>
      </c>
      <c r="I15" s="248"/>
      <c r="J15" s="248"/>
      <c r="K15" s="248"/>
      <c r="L15" s="249"/>
      <c r="M15" s="248"/>
      <c r="N15" s="250">
        <f t="shared" si="0"/>
        <v>19.963999999999999</v>
      </c>
      <c r="O15" s="251">
        <v>0</v>
      </c>
      <c r="P15" s="252" t="s">
        <v>74</v>
      </c>
    </row>
    <row r="16" spans="1:16" x14ac:dyDescent="0.2">
      <c r="A16" s="247" t="s">
        <v>101</v>
      </c>
      <c r="B16" s="248">
        <v>51.063000000000002</v>
      </c>
      <c r="C16" s="248">
        <v>45.540999999999997</v>
      </c>
      <c r="D16" s="248">
        <v>21.024000000000001</v>
      </c>
      <c r="E16" s="248">
        <v>31.745000000000001</v>
      </c>
      <c r="F16" s="248">
        <v>71.894999999999996</v>
      </c>
      <c r="G16" s="248">
        <v>9.8059999999999992</v>
      </c>
      <c r="H16" s="248">
        <v>30.89</v>
      </c>
      <c r="I16" s="248"/>
      <c r="J16" s="248"/>
      <c r="K16" s="248"/>
      <c r="L16" s="249"/>
      <c r="M16" s="248"/>
      <c r="N16" s="250">
        <f t="shared" si="0"/>
        <v>261.964</v>
      </c>
      <c r="O16" s="251">
        <v>0</v>
      </c>
      <c r="P16" s="252" t="s">
        <v>74</v>
      </c>
    </row>
    <row r="17" spans="1:18" x14ac:dyDescent="0.2">
      <c r="A17" s="247" t="s">
        <v>164</v>
      </c>
      <c r="B17" s="248">
        <v>1.349</v>
      </c>
      <c r="C17" s="248">
        <v>11.148</v>
      </c>
      <c r="D17" s="248">
        <v>3.153</v>
      </c>
      <c r="E17" s="248">
        <v>25.745999999999999</v>
      </c>
      <c r="F17" s="248">
        <v>5.5549999999999997</v>
      </c>
      <c r="G17" s="248">
        <v>11.234999999999999</v>
      </c>
      <c r="H17" s="248">
        <v>135.81299999999999</v>
      </c>
      <c r="I17" s="248"/>
      <c r="J17" s="248"/>
      <c r="K17" s="248"/>
      <c r="L17" s="249"/>
      <c r="M17" s="248"/>
      <c r="N17" s="250">
        <f t="shared" si="0"/>
        <v>193.999</v>
      </c>
      <c r="O17" s="251">
        <v>0</v>
      </c>
      <c r="P17" s="252" t="s">
        <v>74</v>
      </c>
    </row>
    <row r="18" spans="1:18" x14ac:dyDescent="0.2">
      <c r="A18" s="247" t="s">
        <v>162</v>
      </c>
      <c r="B18" s="248">
        <v>7.6379999999999999</v>
      </c>
      <c r="C18" s="248">
        <v>8.9</v>
      </c>
      <c r="D18" s="248">
        <v>14.246</v>
      </c>
      <c r="E18" s="248">
        <v>14.042999999999999</v>
      </c>
      <c r="F18" s="248">
        <v>13.612</v>
      </c>
      <c r="G18" s="248">
        <v>11.614000000000001</v>
      </c>
      <c r="H18" s="248">
        <v>12.117000000000001</v>
      </c>
      <c r="I18" s="248"/>
      <c r="J18" s="248"/>
      <c r="K18" s="248"/>
      <c r="L18" s="249"/>
      <c r="M18" s="248"/>
      <c r="N18" s="250">
        <f t="shared" si="0"/>
        <v>82.17</v>
      </c>
      <c r="O18" s="251">
        <v>0</v>
      </c>
      <c r="P18" s="252" t="s">
        <v>74</v>
      </c>
    </row>
    <row r="19" spans="1:18" x14ac:dyDescent="0.2">
      <c r="A19" s="247" t="s">
        <v>193</v>
      </c>
      <c r="B19" s="248"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/>
      <c r="J19" s="248"/>
      <c r="K19" s="248"/>
      <c r="L19" s="249"/>
      <c r="M19" s="248"/>
      <c r="N19" s="250">
        <f>SUM(B19:M19)</f>
        <v>0</v>
      </c>
      <c r="O19" s="251">
        <v>0</v>
      </c>
      <c r="P19" s="252" t="s">
        <v>74</v>
      </c>
    </row>
    <row r="20" spans="1:18" x14ac:dyDescent="0.2">
      <c r="A20" s="247" t="s">
        <v>183</v>
      </c>
      <c r="B20" s="248">
        <v>1.595</v>
      </c>
      <c r="C20" s="248">
        <v>8.8889999999999993</v>
      </c>
      <c r="D20" s="248">
        <v>9.9169999999999998</v>
      </c>
      <c r="E20" s="248">
        <v>1380.72</v>
      </c>
      <c r="F20" s="248">
        <v>76.073999999999998</v>
      </c>
      <c r="G20" s="248">
        <v>-4.569</v>
      </c>
      <c r="H20" s="248">
        <v>47.747999999999998</v>
      </c>
      <c r="I20" s="248"/>
      <c r="J20" s="248"/>
      <c r="K20" s="248"/>
      <c r="L20" s="249"/>
      <c r="M20" s="248"/>
      <c r="N20" s="250">
        <f t="shared" si="0"/>
        <v>1520.3740000000003</v>
      </c>
      <c r="O20" s="251">
        <v>0</v>
      </c>
      <c r="P20" s="252" t="s">
        <v>74</v>
      </c>
    </row>
    <row r="21" spans="1:18" x14ac:dyDescent="0.2">
      <c r="A21" s="247" t="s">
        <v>184</v>
      </c>
      <c r="B21" s="248">
        <v>2.0339999999999998</v>
      </c>
      <c r="C21" s="248">
        <v>1.819</v>
      </c>
      <c r="D21" s="248">
        <v>2.4350000000000001</v>
      </c>
      <c r="E21" s="248">
        <v>1.3049999999999999</v>
      </c>
      <c r="F21" s="248">
        <v>2.625</v>
      </c>
      <c r="G21" s="248">
        <v>2.456</v>
      </c>
      <c r="H21" s="248">
        <v>3.573</v>
      </c>
      <c r="I21" s="248"/>
      <c r="J21" s="248"/>
      <c r="K21" s="248"/>
      <c r="L21" s="249"/>
      <c r="M21" s="248"/>
      <c r="N21" s="250">
        <f t="shared" si="0"/>
        <v>16.247</v>
      </c>
      <c r="O21" s="251">
        <v>0</v>
      </c>
      <c r="P21" s="252" t="s">
        <v>74</v>
      </c>
    </row>
    <row r="22" spans="1:18" x14ac:dyDescent="0.2">
      <c r="A22" s="247" t="s">
        <v>185</v>
      </c>
      <c r="B22" s="248">
        <v>2.5139999999999998</v>
      </c>
      <c r="C22" s="248">
        <v>-29.545999999999999</v>
      </c>
      <c r="D22" s="248">
        <v>3.4609999999999999</v>
      </c>
      <c r="E22" s="248">
        <v>3.9289999999999998</v>
      </c>
      <c r="F22" s="248">
        <v>3.78</v>
      </c>
      <c r="G22" s="248">
        <v>21.788</v>
      </c>
      <c r="H22" s="248">
        <v>-14.94</v>
      </c>
      <c r="I22" s="248"/>
      <c r="J22" s="248"/>
      <c r="K22" s="248"/>
      <c r="L22" s="249"/>
      <c r="M22" s="248"/>
      <c r="N22" s="250">
        <f t="shared" si="0"/>
        <v>-9.0140000000000029</v>
      </c>
      <c r="O22" s="251">
        <v>0</v>
      </c>
      <c r="P22" s="252" t="s">
        <v>74</v>
      </c>
    </row>
    <row r="23" spans="1:18" x14ac:dyDescent="0.2">
      <c r="A23" s="247" t="s">
        <v>155</v>
      </c>
      <c r="B23" s="248">
        <v>0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/>
      <c r="J23" s="248"/>
      <c r="K23" s="248"/>
      <c r="L23" s="249"/>
      <c r="M23" s="248"/>
      <c r="N23" s="250">
        <f t="shared" si="0"/>
        <v>0</v>
      </c>
      <c r="O23" s="251">
        <v>0</v>
      </c>
      <c r="P23" s="252" t="s">
        <v>74</v>
      </c>
    </row>
    <row r="24" spans="1:18" s="254" customFormat="1" x14ac:dyDescent="0.2">
      <c r="A24" s="247" t="s">
        <v>102</v>
      </c>
      <c r="B24" s="248">
        <v>4.9000000000000002E-2</v>
      </c>
      <c r="C24" s="248">
        <v>0.13100000000000001</v>
      </c>
      <c r="D24" s="248">
        <v>9.7000000000000003E-2</v>
      </c>
      <c r="E24" s="248">
        <v>0.109</v>
      </c>
      <c r="F24" s="248">
        <v>7.8E-2</v>
      </c>
      <c r="G24" s="248">
        <v>7.9000000000000001E-2</v>
      </c>
      <c r="H24" s="248">
        <v>8.4000000000000005E-2</v>
      </c>
      <c r="I24" s="248"/>
      <c r="J24" s="248"/>
      <c r="K24" s="248"/>
      <c r="L24" s="249"/>
      <c r="M24" s="248"/>
      <c r="N24" s="250">
        <f t="shared" si="0"/>
        <v>0.627</v>
      </c>
      <c r="O24" s="251">
        <v>0</v>
      </c>
      <c r="P24" s="252" t="s">
        <v>74</v>
      </c>
      <c r="Q24" s="227"/>
      <c r="R24" s="227"/>
    </row>
    <row r="25" spans="1:18" s="254" customFormat="1" x14ac:dyDescent="0.2">
      <c r="A25" s="247" t="s">
        <v>103</v>
      </c>
      <c r="B25" s="248">
        <v>801.10799999999995</v>
      </c>
      <c r="C25" s="248">
        <v>11.932</v>
      </c>
      <c r="D25" s="248">
        <v>621.60199999999998</v>
      </c>
      <c r="E25" s="248">
        <v>-577.95100000000002</v>
      </c>
      <c r="F25" s="248">
        <v>359.089</v>
      </c>
      <c r="G25" s="248">
        <v>760.82799999999997</v>
      </c>
      <c r="H25" s="248">
        <v>147.44</v>
      </c>
      <c r="I25" s="248"/>
      <c r="J25" s="248"/>
      <c r="K25" s="248"/>
      <c r="L25" s="249"/>
      <c r="M25" s="248"/>
      <c r="N25" s="250">
        <f t="shared" si="0"/>
        <v>2124.0479999999998</v>
      </c>
      <c r="O25" s="251">
        <v>0</v>
      </c>
      <c r="P25" s="252" t="s">
        <v>74</v>
      </c>
      <c r="Q25" s="227"/>
      <c r="R25" s="227"/>
    </row>
    <row r="26" spans="1:18" s="254" customFormat="1" x14ac:dyDescent="0.2">
      <c r="A26" s="247" t="s">
        <v>104</v>
      </c>
      <c r="B26" s="248">
        <v>5.4509999999999996</v>
      </c>
      <c r="C26" s="248">
        <v>8.3800000000000008</v>
      </c>
      <c r="D26" s="248">
        <v>7.9550000000000001</v>
      </c>
      <c r="E26" s="248">
        <v>12.404</v>
      </c>
      <c r="F26" s="248">
        <v>9.7520000000000007</v>
      </c>
      <c r="G26" s="248">
        <v>11.253</v>
      </c>
      <c r="H26" s="248">
        <v>9.2949999999999999</v>
      </c>
      <c r="I26" s="248"/>
      <c r="J26" s="248"/>
      <c r="K26" s="248"/>
      <c r="L26" s="249"/>
      <c r="M26" s="248"/>
      <c r="N26" s="250">
        <f t="shared" si="0"/>
        <v>64.489999999999995</v>
      </c>
      <c r="O26" s="251">
        <v>0</v>
      </c>
      <c r="P26" s="252" t="s">
        <v>74</v>
      </c>
      <c r="Q26" s="227"/>
      <c r="R26" s="227"/>
    </row>
    <row r="27" spans="1:18" s="254" customFormat="1" x14ac:dyDescent="0.2">
      <c r="A27" s="247" t="s">
        <v>239</v>
      </c>
      <c r="B27" s="248">
        <v>21.483000000000001</v>
      </c>
      <c r="C27" s="248">
        <v>15.532999999999999</v>
      </c>
      <c r="D27" s="248">
        <v>157.91300000000001</v>
      </c>
      <c r="E27" s="248">
        <v>29.904</v>
      </c>
      <c r="F27" s="248">
        <v>68.838999999999999</v>
      </c>
      <c r="G27" s="248">
        <v>84.885999999999996</v>
      </c>
      <c r="H27" s="248">
        <v>104.194</v>
      </c>
      <c r="I27" s="248"/>
      <c r="J27" s="248"/>
      <c r="K27" s="248"/>
      <c r="L27" s="249"/>
      <c r="M27" s="248"/>
      <c r="N27" s="250">
        <f t="shared" si="0"/>
        <v>482.75200000000001</v>
      </c>
      <c r="O27" s="251">
        <v>0</v>
      </c>
      <c r="P27" s="252" t="s">
        <v>74</v>
      </c>
      <c r="Q27" s="227"/>
      <c r="R27" s="227"/>
    </row>
    <row r="28" spans="1:18" s="254" customFormat="1" x14ac:dyDescent="0.2">
      <c r="A28" s="247" t="s">
        <v>240</v>
      </c>
      <c r="B28" s="248">
        <v>4.4790000000000001</v>
      </c>
      <c r="C28" s="248">
        <v>3.8</v>
      </c>
      <c r="D28" s="248">
        <v>4.7919999999999998</v>
      </c>
      <c r="E28" s="248">
        <v>8.7780000000000005</v>
      </c>
      <c r="F28" s="248">
        <v>19.021000000000001</v>
      </c>
      <c r="G28" s="248">
        <v>79.69</v>
      </c>
      <c r="H28" s="248">
        <v>27.382000000000001</v>
      </c>
      <c r="I28" s="248"/>
      <c r="J28" s="248"/>
      <c r="K28" s="248"/>
      <c r="L28" s="249"/>
      <c r="M28" s="248"/>
      <c r="N28" s="250">
        <f t="shared" si="0"/>
        <v>147.94200000000001</v>
      </c>
      <c r="O28" s="251">
        <v>0</v>
      </c>
      <c r="P28" s="252" t="s">
        <v>74</v>
      </c>
      <c r="Q28" s="227"/>
      <c r="R28" s="227"/>
    </row>
    <row r="29" spans="1:18" s="254" customFormat="1" x14ac:dyDescent="0.2">
      <c r="A29" s="247" t="s">
        <v>241</v>
      </c>
      <c r="B29" s="248">
        <v>3.4089999999999998</v>
      </c>
      <c r="C29" s="248">
        <v>2.7309999999999999</v>
      </c>
      <c r="D29" s="248">
        <v>3.3130000000000002</v>
      </c>
      <c r="E29" s="248">
        <v>-0.54300000000000004</v>
      </c>
      <c r="F29" s="248">
        <v>11.807</v>
      </c>
      <c r="G29" s="248">
        <v>2.5819999999999999</v>
      </c>
      <c r="H29" s="248">
        <v>5.39</v>
      </c>
      <c r="I29" s="248"/>
      <c r="J29" s="248"/>
      <c r="K29" s="248"/>
      <c r="L29" s="249"/>
      <c r="M29" s="248"/>
      <c r="N29" s="250">
        <f t="shared" si="0"/>
        <v>28.689</v>
      </c>
      <c r="O29" s="251">
        <v>0</v>
      </c>
      <c r="P29" s="252" t="s">
        <v>74</v>
      </c>
      <c r="Q29" s="227"/>
      <c r="R29" s="227"/>
    </row>
    <row r="30" spans="1:18" s="254" customFormat="1" x14ac:dyDescent="0.2">
      <c r="A30" s="247" t="s">
        <v>244</v>
      </c>
      <c r="B30" s="248">
        <v>0</v>
      </c>
      <c r="C30" s="248">
        <v>0</v>
      </c>
      <c r="D30" s="248">
        <v>0</v>
      </c>
      <c r="E30" s="248">
        <v>0</v>
      </c>
      <c r="F30" s="248">
        <v>0</v>
      </c>
      <c r="G30" s="248">
        <v>0</v>
      </c>
      <c r="H30" s="248">
        <v>0</v>
      </c>
      <c r="I30" s="248"/>
      <c r="J30" s="248"/>
      <c r="K30" s="248"/>
      <c r="L30" s="249"/>
      <c r="M30" s="248"/>
      <c r="N30" s="250">
        <f t="shared" si="0"/>
        <v>0</v>
      </c>
      <c r="O30" s="251">
        <v>0</v>
      </c>
      <c r="P30" s="252" t="s">
        <v>74</v>
      </c>
      <c r="Q30" s="227"/>
      <c r="R30" s="227"/>
    </row>
    <row r="31" spans="1:18" s="254" customFormat="1" x14ac:dyDescent="0.2">
      <c r="A31" s="247" t="s">
        <v>242</v>
      </c>
      <c r="B31" s="248">
        <v>0</v>
      </c>
      <c r="C31" s="248">
        <v>0</v>
      </c>
      <c r="D31" s="248">
        <v>1439.9880000000001</v>
      </c>
      <c r="E31" s="248">
        <v>0</v>
      </c>
      <c r="F31" s="248">
        <v>0</v>
      </c>
      <c r="G31" s="248">
        <v>0</v>
      </c>
      <c r="H31" s="248">
        <v>1431</v>
      </c>
      <c r="I31" s="248"/>
      <c r="J31" s="248"/>
      <c r="K31" s="248"/>
      <c r="L31" s="249"/>
      <c r="M31" s="248"/>
      <c r="N31" s="250">
        <f t="shared" si="0"/>
        <v>2870.9880000000003</v>
      </c>
      <c r="O31" s="251">
        <v>0</v>
      </c>
      <c r="P31" s="252" t="s">
        <v>74</v>
      </c>
      <c r="Q31" s="227"/>
      <c r="R31" s="227"/>
    </row>
    <row r="32" spans="1:18" s="254" customFormat="1" x14ac:dyDescent="0.2">
      <c r="A32" s="247" t="s">
        <v>245</v>
      </c>
      <c r="B32" s="248">
        <v>24.649000000000001</v>
      </c>
      <c r="C32" s="248">
        <v>29.96</v>
      </c>
      <c r="D32" s="248">
        <v>51.512</v>
      </c>
      <c r="E32" s="248">
        <v>137.63399999999999</v>
      </c>
      <c r="F32" s="248">
        <v>108.273</v>
      </c>
      <c r="G32" s="248">
        <v>107.18899999999999</v>
      </c>
      <c r="H32" s="248">
        <v>101.854</v>
      </c>
      <c r="I32" s="248"/>
      <c r="J32" s="248"/>
      <c r="K32" s="248"/>
      <c r="L32" s="249"/>
      <c r="M32" s="248"/>
      <c r="N32" s="250">
        <f t="shared" si="0"/>
        <v>561.07100000000003</v>
      </c>
      <c r="O32" s="251">
        <v>0</v>
      </c>
      <c r="P32" s="252" t="s">
        <v>74</v>
      </c>
      <c r="Q32" s="227"/>
      <c r="R32" s="227"/>
    </row>
    <row r="33" spans="1:18" s="254" customFormat="1" x14ac:dyDescent="0.2">
      <c r="A33" s="247" t="s">
        <v>243</v>
      </c>
      <c r="B33" s="248">
        <v>0</v>
      </c>
      <c r="C33" s="248">
        <v>0</v>
      </c>
      <c r="D33" s="248">
        <v>0</v>
      </c>
      <c r="E33" s="248">
        <v>0</v>
      </c>
      <c r="F33" s="248">
        <v>115.875</v>
      </c>
      <c r="G33" s="248">
        <v>0</v>
      </c>
      <c r="H33" s="248">
        <v>0</v>
      </c>
      <c r="I33" s="248"/>
      <c r="J33" s="248"/>
      <c r="K33" s="248"/>
      <c r="L33" s="249"/>
      <c r="M33" s="248"/>
      <c r="N33" s="250">
        <f t="shared" si="0"/>
        <v>115.875</v>
      </c>
      <c r="O33" s="251">
        <v>0</v>
      </c>
      <c r="P33" s="252" t="s">
        <v>74</v>
      </c>
      <c r="Q33" s="227"/>
      <c r="R33" s="227"/>
    </row>
    <row r="34" spans="1:18" s="254" customFormat="1" x14ac:dyDescent="0.2">
      <c r="A34" s="247" t="s">
        <v>65</v>
      </c>
      <c r="B34" s="248">
        <v>0</v>
      </c>
      <c r="C34" s="248">
        <v>0</v>
      </c>
      <c r="D34" s="248">
        <v>0</v>
      </c>
      <c r="E34" s="248">
        <v>0</v>
      </c>
      <c r="F34" s="248">
        <v>0</v>
      </c>
      <c r="G34" s="248">
        <v>0</v>
      </c>
      <c r="H34" s="248">
        <v>0</v>
      </c>
      <c r="I34" s="248"/>
      <c r="J34" s="248"/>
      <c r="K34" s="248"/>
      <c r="L34" s="249"/>
      <c r="M34" s="248"/>
      <c r="N34" s="250">
        <f t="shared" si="0"/>
        <v>0</v>
      </c>
      <c r="O34" s="251">
        <v>0</v>
      </c>
      <c r="P34" s="252" t="s">
        <v>74</v>
      </c>
      <c r="Q34" s="227"/>
      <c r="R34" s="227"/>
    </row>
    <row r="35" spans="1:18" s="254" customFormat="1" x14ac:dyDescent="0.2">
      <c r="A35" s="247" t="s">
        <v>105</v>
      </c>
      <c r="B35" s="248">
        <v>0</v>
      </c>
      <c r="C35" s="248">
        <v>0</v>
      </c>
      <c r="D35" s="248">
        <v>0</v>
      </c>
      <c r="E35" s="248">
        <v>0</v>
      </c>
      <c r="F35" s="248">
        <v>0</v>
      </c>
      <c r="G35" s="248">
        <v>0</v>
      </c>
      <c r="H35" s="248">
        <v>0</v>
      </c>
      <c r="I35" s="248"/>
      <c r="J35" s="248"/>
      <c r="K35" s="248"/>
      <c r="L35" s="249"/>
      <c r="M35" s="248"/>
      <c r="N35" s="250">
        <f t="shared" si="0"/>
        <v>0</v>
      </c>
      <c r="O35" s="251">
        <v>0</v>
      </c>
      <c r="P35" s="252" t="s">
        <v>74</v>
      </c>
      <c r="Q35" s="227"/>
      <c r="R35" s="227"/>
    </row>
    <row r="36" spans="1:18" s="254" customFormat="1" x14ac:dyDescent="0.2">
      <c r="A36" s="247" t="s">
        <v>160</v>
      </c>
      <c r="B36" s="248">
        <v>16.5</v>
      </c>
      <c r="C36" s="248">
        <v>32.526000000000003</v>
      </c>
      <c r="D36" s="248">
        <v>58.537999999999997</v>
      </c>
      <c r="E36" s="248">
        <v>66.926000000000002</v>
      </c>
      <c r="F36" s="248">
        <v>133.13</v>
      </c>
      <c r="G36" s="248">
        <v>110.756</v>
      </c>
      <c r="H36" s="248">
        <v>27.887</v>
      </c>
      <c r="I36" s="248"/>
      <c r="J36" s="248"/>
      <c r="K36" s="248"/>
      <c r="L36" s="249"/>
      <c r="M36" s="248"/>
      <c r="N36" s="255">
        <f t="shared" si="0"/>
        <v>446.26299999999998</v>
      </c>
      <c r="O36" s="251">
        <v>0</v>
      </c>
      <c r="P36" s="252" t="s">
        <v>74</v>
      </c>
      <c r="Q36" s="227"/>
      <c r="R36" s="227"/>
    </row>
    <row r="37" spans="1:18" s="254" customFormat="1" x14ac:dyDescent="0.2">
      <c r="A37" s="247" t="s">
        <v>159</v>
      </c>
      <c r="B37" s="248">
        <v>58.316000000000003</v>
      </c>
      <c r="C37" s="248">
        <v>76.393000000000001</v>
      </c>
      <c r="D37" s="248">
        <v>91.382999999999996</v>
      </c>
      <c r="E37" s="248">
        <v>71.096000000000004</v>
      </c>
      <c r="F37" s="248">
        <v>82.733999999999995</v>
      </c>
      <c r="G37" s="248">
        <v>78.561000000000007</v>
      </c>
      <c r="H37" s="248">
        <v>48.796999999999997</v>
      </c>
      <c r="I37" s="248"/>
      <c r="J37" s="248"/>
      <c r="K37" s="248"/>
      <c r="L37" s="249"/>
      <c r="M37" s="248"/>
      <c r="N37" s="255">
        <f t="shared" si="0"/>
        <v>507.28</v>
      </c>
      <c r="O37" s="248"/>
      <c r="P37" s="252"/>
      <c r="Q37" s="227"/>
      <c r="R37" s="227"/>
    </row>
    <row r="38" spans="1:18" x14ac:dyDescent="0.2">
      <c r="A38" s="256" t="s">
        <v>106</v>
      </c>
      <c r="B38" s="257">
        <f t="shared" ref="B38:N38" si="1">SUM(B6:B37)</f>
        <v>1238.222</v>
      </c>
      <c r="C38" s="257">
        <f t="shared" si="1"/>
        <v>297.10800000000006</v>
      </c>
      <c r="D38" s="257">
        <f t="shared" si="1"/>
        <v>2568.7190000000001</v>
      </c>
      <c r="E38" s="257">
        <f t="shared" si="1"/>
        <v>1367.91</v>
      </c>
      <c r="F38" s="257">
        <f t="shared" si="1"/>
        <v>1288.8420000000001</v>
      </c>
      <c r="G38" s="257">
        <f t="shared" si="1"/>
        <v>1431.5030000000004</v>
      </c>
      <c r="H38" s="257">
        <f t="shared" si="1"/>
        <v>2195.0189999999998</v>
      </c>
      <c r="I38" s="257">
        <f t="shared" si="1"/>
        <v>0</v>
      </c>
      <c r="J38" s="257">
        <f t="shared" si="1"/>
        <v>0</v>
      </c>
      <c r="K38" s="257">
        <f t="shared" si="1"/>
        <v>0</v>
      </c>
      <c r="L38" s="257">
        <f t="shared" si="1"/>
        <v>0</v>
      </c>
      <c r="M38" s="257">
        <f t="shared" si="1"/>
        <v>0</v>
      </c>
      <c r="N38" s="258">
        <f t="shared" si="1"/>
        <v>10387.323000000002</v>
      </c>
      <c r="O38" s="257">
        <f>SUM(O6:O24)</f>
        <v>0</v>
      </c>
      <c r="P38" s="259" t="s">
        <v>74</v>
      </c>
    </row>
    <row r="39" spans="1:18" ht="13.5" customHeight="1" x14ac:dyDescent="0.2">
      <c r="A39" s="260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50"/>
      <c r="O39" s="251"/>
      <c r="P39" s="261"/>
      <c r="Q39" s="262"/>
      <c r="R39" s="248"/>
    </row>
    <row r="40" spans="1:18" x14ac:dyDescent="0.2">
      <c r="A40" s="245" t="s">
        <v>107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50"/>
      <c r="O40" s="251"/>
      <c r="P40" s="261"/>
    </row>
    <row r="41" spans="1:18" x14ac:dyDescent="0.2">
      <c r="A41" s="247" t="s">
        <v>96</v>
      </c>
      <c r="B41" s="248">
        <v>0</v>
      </c>
      <c r="C41" s="248">
        <v>0</v>
      </c>
      <c r="D41" s="248">
        <v>0</v>
      </c>
      <c r="E41" s="248">
        <v>0</v>
      </c>
      <c r="F41" s="248">
        <v>0</v>
      </c>
      <c r="G41" s="248">
        <v>0</v>
      </c>
      <c r="H41" s="248">
        <v>0</v>
      </c>
      <c r="I41" s="248"/>
      <c r="J41" s="248"/>
      <c r="K41" s="248"/>
      <c r="L41" s="248"/>
      <c r="M41" s="248"/>
      <c r="N41" s="250">
        <f>B41+C41+D41+E41+F41+G41+H41+I41+J41+K41+L41+M41</f>
        <v>0</v>
      </c>
      <c r="O41" s="251">
        <v>0</v>
      </c>
      <c r="P41" s="252" t="s">
        <v>74</v>
      </c>
    </row>
    <row r="42" spans="1:18" x14ac:dyDescent="0.2">
      <c r="A42" s="247" t="s">
        <v>108</v>
      </c>
      <c r="B42" s="248">
        <v>0</v>
      </c>
      <c r="C42" s="248">
        <v>0</v>
      </c>
      <c r="D42" s="248">
        <v>0</v>
      </c>
      <c r="E42" s="248">
        <v>0</v>
      </c>
      <c r="F42" s="248">
        <v>0</v>
      </c>
      <c r="G42" s="248">
        <v>0</v>
      </c>
      <c r="H42" s="248">
        <v>0</v>
      </c>
      <c r="I42" s="248"/>
      <c r="J42" s="248"/>
      <c r="K42" s="248"/>
      <c r="L42" s="248"/>
      <c r="M42" s="248"/>
      <c r="N42" s="250">
        <f>B42+C42+D42+E42+F42+G42+H42+I42+J42+K42+L42+M42</f>
        <v>0</v>
      </c>
      <c r="O42" s="251">
        <v>0</v>
      </c>
      <c r="P42" s="252" t="s">
        <v>74</v>
      </c>
    </row>
    <row r="43" spans="1:18" x14ac:dyDescent="0.2">
      <c r="A43" s="256" t="s">
        <v>109</v>
      </c>
      <c r="B43" s="263">
        <f t="shared" ref="B43:I43" si="2">SUM(B41:B42)</f>
        <v>0</v>
      </c>
      <c r="C43" s="263">
        <f t="shared" si="2"/>
        <v>0</v>
      </c>
      <c r="D43" s="263">
        <f t="shared" si="2"/>
        <v>0</v>
      </c>
      <c r="E43" s="263">
        <f t="shared" si="2"/>
        <v>0</v>
      </c>
      <c r="F43" s="263">
        <f t="shared" si="2"/>
        <v>0</v>
      </c>
      <c r="G43" s="263">
        <f t="shared" si="2"/>
        <v>0</v>
      </c>
      <c r="H43" s="263">
        <f t="shared" si="2"/>
        <v>0</v>
      </c>
      <c r="I43" s="263">
        <f t="shared" si="2"/>
        <v>0</v>
      </c>
      <c r="J43" s="263">
        <v>0</v>
      </c>
      <c r="K43" s="263">
        <f>SUM(K41:K42)</f>
        <v>0</v>
      </c>
      <c r="L43" s="263">
        <f>SUM(L41:L42)</f>
        <v>0</v>
      </c>
      <c r="M43" s="263">
        <f>SUM(M41:M42)</f>
        <v>0</v>
      </c>
      <c r="N43" s="264">
        <f>B43+C43+D43+E43+F43+G43+H43+I43+J43+K43+L43+M43</f>
        <v>0</v>
      </c>
      <c r="O43" s="265">
        <f>SUM(O41:O42)</f>
        <v>0</v>
      </c>
      <c r="P43" s="259" t="s">
        <v>74</v>
      </c>
    </row>
    <row r="44" spans="1:18" x14ac:dyDescent="0.2">
      <c r="A44" s="260" t="s">
        <v>13</v>
      </c>
      <c r="B44" s="248"/>
      <c r="C44" s="248"/>
      <c r="D44" s="248"/>
      <c r="E44" s="248"/>
      <c r="F44" s="248"/>
      <c r="G44" s="248"/>
      <c r="H44" s="248"/>
      <c r="I44" s="248"/>
      <c r="K44" s="248"/>
      <c r="L44" s="248"/>
      <c r="M44" s="248"/>
      <c r="N44" s="250"/>
      <c r="O44" s="251"/>
      <c r="P44" s="261"/>
    </row>
    <row r="45" spans="1:18" x14ac:dyDescent="0.2">
      <c r="A45" s="245" t="s">
        <v>110</v>
      </c>
      <c r="B45" s="248"/>
      <c r="C45" s="248"/>
      <c r="D45" s="248"/>
      <c r="E45" s="248"/>
      <c r="F45" s="248"/>
      <c r="H45" s="248"/>
      <c r="I45" s="248"/>
      <c r="K45" s="266"/>
      <c r="L45" s="248"/>
      <c r="M45" s="248"/>
      <c r="N45" s="250" t="s">
        <v>13</v>
      </c>
      <c r="O45" s="251"/>
      <c r="P45" s="261"/>
    </row>
    <row r="46" spans="1:18" x14ac:dyDescent="0.2">
      <c r="A46" s="247" t="s">
        <v>163</v>
      </c>
      <c r="B46" s="248">
        <v>10.516</v>
      </c>
      <c r="C46" s="248">
        <v>-10.516</v>
      </c>
      <c r="D46" s="248">
        <v>0</v>
      </c>
      <c r="E46" s="248">
        <v>0</v>
      </c>
      <c r="F46" s="248">
        <v>0</v>
      </c>
      <c r="G46" s="248">
        <v>0</v>
      </c>
      <c r="H46" s="248">
        <v>0</v>
      </c>
      <c r="I46" s="248"/>
      <c r="J46" s="248"/>
      <c r="K46" s="248"/>
      <c r="L46" s="248"/>
      <c r="M46" s="248"/>
      <c r="N46" s="250">
        <f>B46+C46+D46+E46+F46+G46+H46+I46+J46+K46+L46+M46</f>
        <v>0</v>
      </c>
      <c r="O46" s="267">
        <v>0</v>
      </c>
      <c r="P46" s="252" t="s">
        <v>74</v>
      </c>
    </row>
    <row r="47" spans="1:18" x14ac:dyDescent="0.2">
      <c r="A47" s="247" t="s">
        <v>112</v>
      </c>
      <c r="B47" s="248">
        <v>75.997</v>
      </c>
      <c r="C47" s="248">
        <v>159.886</v>
      </c>
      <c r="D47" s="248">
        <v>174.20400000000001</v>
      </c>
      <c r="E47" s="248">
        <v>151.66900000000001</v>
      </c>
      <c r="F47" s="248">
        <v>64.87</v>
      </c>
      <c r="G47" s="248">
        <v>86.215999999999994</v>
      </c>
      <c r="H47" s="248">
        <v>265.70600000000002</v>
      </c>
      <c r="I47" s="248"/>
      <c r="J47" s="248"/>
      <c r="K47" s="248"/>
      <c r="L47" s="249"/>
      <c r="M47" s="248"/>
      <c r="N47" s="250">
        <f>B47+C47+D47+E47+F47+G47+H47+I47+J47+K47+L47+M47</f>
        <v>978.548</v>
      </c>
      <c r="O47" s="267">
        <v>0</v>
      </c>
      <c r="P47" s="252" t="s">
        <v>74</v>
      </c>
    </row>
    <row r="48" spans="1:18" x14ac:dyDescent="0.2">
      <c r="A48" s="268" t="s">
        <v>113</v>
      </c>
      <c r="B48" s="263">
        <f t="shared" ref="B48:O48" si="3">SUM(B46:B47)</f>
        <v>86.513000000000005</v>
      </c>
      <c r="C48" s="263">
        <f t="shared" si="3"/>
        <v>149.37</v>
      </c>
      <c r="D48" s="263">
        <f t="shared" si="3"/>
        <v>174.20400000000001</v>
      </c>
      <c r="E48" s="263">
        <f t="shared" si="3"/>
        <v>151.66900000000001</v>
      </c>
      <c r="F48" s="263">
        <f t="shared" si="3"/>
        <v>64.87</v>
      </c>
      <c r="G48" s="263">
        <f t="shared" si="3"/>
        <v>86.215999999999994</v>
      </c>
      <c r="H48" s="263">
        <f t="shared" si="3"/>
        <v>265.70600000000002</v>
      </c>
      <c r="I48" s="263">
        <f t="shared" si="3"/>
        <v>0</v>
      </c>
      <c r="J48" s="263">
        <f t="shared" si="3"/>
        <v>0</v>
      </c>
      <c r="K48" s="263">
        <f t="shared" si="3"/>
        <v>0</v>
      </c>
      <c r="L48" s="263">
        <f t="shared" si="3"/>
        <v>0</v>
      </c>
      <c r="M48" s="263">
        <f t="shared" si="3"/>
        <v>0</v>
      </c>
      <c r="N48" s="269">
        <f t="shared" si="3"/>
        <v>978.548</v>
      </c>
      <c r="O48" s="270">
        <f t="shared" si="3"/>
        <v>0</v>
      </c>
      <c r="P48" s="259" t="s">
        <v>74</v>
      </c>
    </row>
    <row r="49" spans="1:26" x14ac:dyDescent="0.2">
      <c r="A49" s="271"/>
      <c r="B49" s="248"/>
      <c r="C49" s="248"/>
      <c r="D49" s="248"/>
      <c r="E49" s="248"/>
      <c r="F49" s="248"/>
      <c r="G49" s="248"/>
      <c r="H49" s="248"/>
      <c r="I49" s="248"/>
      <c r="K49" s="248"/>
      <c r="L49" s="248"/>
      <c r="M49" s="248"/>
      <c r="N49" s="250"/>
      <c r="O49" s="251"/>
      <c r="P49" s="261"/>
    </row>
    <row r="50" spans="1:26" s="254" customFormat="1" x14ac:dyDescent="0.2">
      <c r="A50" s="245" t="s">
        <v>88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50"/>
      <c r="O50" s="251"/>
      <c r="P50" s="261"/>
      <c r="Q50" s="227"/>
      <c r="R50" s="227"/>
    </row>
    <row r="51" spans="1:26" x14ac:dyDescent="0.2">
      <c r="A51" s="247" t="s">
        <v>31</v>
      </c>
      <c r="B51" s="248">
        <v>0</v>
      </c>
      <c r="C51" s="248">
        <v>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/>
      <c r="J51" s="248"/>
      <c r="K51" s="248"/>
      <c r="L51" s="249"/>
      <c r="M51" s="248"/>
      <c r="N51" s="250">
        <f t="shared" ref="N51:N56" si="4">B51+C51+D51+E51+F51+G51+H51+I51+J51+K51+L51+M51</f>
        <v>0</v>
      </c>
      <c r="O51" s="251">
        <v>0</v>
      </c>
      <c r="P51" s="252" t="s">
        <v>74</v>
      </c>
    </row>
    <row r="52" spans="1:26" x14ac:dyDescent="0.2">
      <c r="A52" s="247" t="s">
        <v>114</v>
      </c>
      <c r="B52" s="248">
        <v>2.2919999999999998</v>
      </c>
      <c r="C52" s="248">
        <v>2.9550000000000001</v>
      </c>
      <c r="D52" s="248">
        <v>2.8119999999999998</v>
      </c>
      <c r="E52" s="248">
        <v>3.45</v>
      </c>
      <c r="F52" s="248">
        <v>4.2140000000000004</v>
      </c>
      <c r="G52" s="248">
        <v>0</v>
      </c>
      <c r="H52" s="248">
        <v>8.1270000000000007</v>
      </c>
      <c r="I52" s="248"/>
      <c r="J52" s="248"/>
      <c r="K52" s="248"/>
      <c r="L52" s="248"/>
      <c r="M52" s="248"/>
      <c r="N52" s="250">
        <f t="shared" si="4"/>
        <v>23.85</v>
      </c>
      <c r="O52" s="251">
        <v>0</v>
      </c>
      <c r="P52" s="252" t="s">
        <v>74</v>
      </c>
    </row>
    <row r="53" spans="1:26" x14ac:dyDescent="0.2">
      <c r="A53" s="247" t="s">
        <v>252</v>
      </c>
      <c r="B53" s="248">
        <v>0</v>
      </c>
      <c r="C53" s="248">
        <v>0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/>
      <c r="J53" s="248"/>
      <c r="K53" s="248"/>
      <c r="L53" s="249"/>
      <c r="M53" s="248"/>
      <c r="N53" s="250">
        <f t="shared" si="4"/>
        <v>0</v>
      </c>
      <c r="O53" s="251">
        <v>0</v>
      </c>
      <c r="P53" s="252" t="s">
        <v>74</v>
      </c>
    </row>
    <row r="54" spans="1:26" x14ac:dyDescent="0.2">
      <c r="A54" s="247" t="s">
        <v>98</v>
      </c>
      <c r="B54" s="248">
        <v>0</v>
      </c>
      <c r="C54" s="248">
        <v>0</v>
      </c>
      <c r="D54" s="248">
        <v>0</v>
      </c>
      <c r="E54" s="248">
        <v>0</v>
      </c>
      <c r="F54" s="248">
        <v>0</v>
      </c>
      <c r="G54" s="248">
        <v>55.988</v>
      </c>
      <c r="H54" s="248">
        <v>7.92</v>
      </c>
      <c r="I54" s="248"/>
      <c r="J54" s="248"/>
      <c r="K54" s="248"/>
      <c r="L54" s="249"/>
      <c r="M54" s="248"/>
      <c r="N54" s="250">
        <f t="shared" si="4"/>
        <v>63.908000000000001</v>
      </c>
      <c r="O54" s="251">
        <v>0</v>
      </c>
      <c r="P54" s="252" t="s">
        <v>74</v>
      </c>
    </row>
    <row r="55" spans="1:26" x14ac:dyDescent="0.2">
      <c r="A55" s="247" t="s">
        <v>115</v>
      </c>
      <c r="B55" s="248">
        <v>0</v>
      </c>
      <c r="C55" s="248">
        <v>0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/>
      <c r="J55" s="248"/>
      <c r="K55" s="248"/>
      <c r="L55" s="249"/>
      <c r="M55" s="248"/>
      <c r="N55" s="250">
        <f t="shared" si="4"/>
        <v>0</v>
      </c>
      <c r="O55" s="251">
        <v>0</v>
      </c>
      <c r="P55" s="252" t="s">
        <v>74</v>
      </c>
    </row>
    <row r="56" spans="1:26" x14ac:dyDescent="0.2">
      <c r="A56" s="247" t="s">
        <v>111</v>
      </c>
      <c r="B56" s="248">
        <v>0</v>
      </c>
      <c r="C56" s="248">
        <v>0</v>
      </c>
      <c r="D56" s="248">
        <v>0</v>
      </c>
      <c r="E56" s="248">
        <v>0.98799999999999999</v>
      </c>
      <c r="F56" s="248">
        <v>0.79800000000000004</v>
      </c>
      <c r="G56" s="248">
        <v>0</v>
      </c>
      <c r="H56" s="248">
        <v>0</v>
      </c>
      <c r="I56" s="248"/>
      <c r="J56" s="248"/>
      <c r="K56" s="248"/>
      <c r="L56" s="249"/>
      <c r="M56" s="248"/>
      <c r="N56" s="250">
        <f t="shared" si="4"/>
        <v>1.786</v>
      </c>
      <c r="O56" s="251">
        <v>0</v>
      </c>
      <c r="P56" s="252" t="s">
        <v>74</v>
      </c>
    </row>
    <row r="57" spans="1:26" x14ac:dyDescent="0.2">
      <c r="A57" s="268" t="s">
        <v>90</v>
      </c>
      <c r="B57" s="263">
        <f t="shared" ref="B57:O57" si="5">SUM(B51:B56)</f>
        <v>2.2919999999999998</v>
      </c>
      <c r="C57" s="263">
        <f t="shared" si="5"/>
        <v>2.9550000000000001</v>
      </c>
      <c r="D57" s="263">
        <f t="shared" si="5"/>
        <v>2.8119999999999998</v>
      </c>
      <c r="E57" s="263">
        <f t="shared" si="5"/>
        <v>4.4380000000000006</v>
      </c>
      <c r="F57" s="263">
        <f t="shared" si="5"/>
        <v>5.0120000000000005</v>
      </c>
      <c r="G57" s="263">
        <f t="shared" si="5"/>
        <v>55.988</v>
      </c>
      <c r="H57" s="263">
        <f t="shared" si="5"/>
        <v>16.047000000000001</v>
      </c>
      <c r="I57" s="263">
        <f t="shared" si="5"/>
        <v>0</v>
      </c>
      <c r="J57" s="263">
        <f t="shared" si="5"/>
        <v>0</v>
      </c>
      <c r="K57" s="263">
        <f t="shared" si="5"/>
        <v>0</v>
      </c>
      <c r="L57" s="263">
        <f t="shared" si="5"/>
        <v>0</v>
      </c>
      <c r="M57" s="272">
        <f t="shared" si="5"/>
        <v>0</v>
      </c>
      <c r="N57" s="273">
        <f t="shared" si="5"/>
        <v>89.544000000000011</v>
      </c>
      <c r="O57" s="270">
        <f t="shared" si="5"/>
        <v>0</v>
      </c>
      <c r="P57" s="259" t="s">
        <v>74</v>
      </c>
    </row>
    <row r="58" spans="1:26" ht="30.2" customHeight="1" x14ac:dyDescent="0.2">
      <c r="A58" s="274" t="s">
        <v>116</v>
      </c>
      <c r="B58" s="263">
        <f t="shared" ref="B58:O58" si="6">+B57+B48+B43+B38</f>
        <v>1327.027</v>
      </c>
      <c r="C58" s="263">
        <f t="shared" si="6"/>
        <v>449.43300000000011</v>
      </c>
      <c r="D58" s="263">
        <f t="shared" si="6"/>
        <v>2745.7350000000001</v>
      </c>
      <c r="E58" s="263">
        <f t="shared" si="6"/>
        <v>1524.0170000000001</v>
      </c>
      <c r="F58" s="263">
        <f t="shared" si="6"/>
        <v>1358.7240000000002</v>
      </c>
      <c r="G58" s="263">
        <f t="shared" si="6"/>
        <v>1573.7070000000003</v>
      </c>
      <c r="H58" s="263">
        <f t="shared" si="6"/>
        <v>2476.7719999999999</v>
      </c>
      <c r="I58" s="263">
        <f t="shared" si="6"/>
        <v>0</v>
      </c>
      <c r="J58" s="263">
        <f t="shared" si="6"/>
        <v>0</v>
      </c>
      <c r="K58" s="263">
        <f t="shared" si="6"/>
        <v>0</v>
      </c>
      <c r="L58" s="263">
        <f t="shared" si="6"/>
        <v>0</v>
      </c>
      <c r="M58" s="272">
        <f t="shared" si="6"/>
        <v>0</v>
      </c>
      <c r="N58" s="269">
        <f t="shared" si="6"/>
        <v>11455.415000000003</v>
      </c>
      <c r="O58" s="265">
        <f t="shared" si="6"/>
        <v>0</v>
      </c>
      <c r="P58" s="259" t="s">
        <v>74</v>
      </c>
    </row>
    <row r="59" spans="1:26" ht="15.95" customHeight="1" x14ac:dyDescent="0.2">
      <c r="A59" s="275"/>
      <c r="B59" s="276"/>
      <c r="C59" s="263"/>
      <c r="D59" s="277"/>
      <c r="E59" s="277"/>
      <c r="F59" s="277"/>
      <c r="G59" s="277"/>
      <c r="H59" s="277"/>
      <c r="I59" s="277"/>
      <c r="J59" s="278"/>
      <c r="K59" s="277"/>
      <c r="L59" s="277"/>
      <c r="M59" s="277"/>
      <c r="N59" s="277"/>
      <c r="O59" s="276"/>
      <c r="P59" s="276"/>
    </row>
    <row r="60" spans="1:26" ht="30.2" customHeight="1" thickBot="1" x14ac:dyDescent="0.25">
      <c r="A60" s="279" t="s">
        <v>117</v>
      </c>
      <c r="B60" s="280">
        <v>1326.3</v>
      </c>
      <c r="C60" s="281">
        <v>454.75599999999997</v>
      </c>
      <c r="D60" s="326">
        <v>2751.1759999999999</v>
      </c>
      <c r="E60" s="326">
        <v>1529.6310000000001</v>
      </c>
      <c r="F60" s="326">
        <v>1364.4349999999999</v>
      </c>
      <c r="G60" s="419">
        <v>1579.5</v>
      </c>
      <c r="H60" s="328">
        <v>2482.6999999999998</v>
      </c>
      <c r="I60" s="328"/>
      <c r="J60" s="330"/>
      <c r="K60" s="330"/>
      <c r="L60" s="330"/>
      <c r="M60" s="330"/>
      <c r="N60" s="282">
        <f>SUM(B60:M60)</f>
        <v>11488.498</v>
      </c>
      <c r="O60" s="283"/>
      <c r="P60" s="284"/>
    </row>
    <row r="61" spans="1:26" x14ac:dyDescent="0.2">
      <c r="A61" s="227" t="s">
        <v>118</v>
      </c>
      <c r="G61" s="248"/>
      <c r="H61" s="248"/>
    </row>
    <row r="62" spans="1:26" x14ac:dyDescent="0.2">
      <c r="A62" s="227" t="s">
        <v>158</v>
      </c>
      <c r="B62" s="248"/>
      <c r="C62" s="248"/>
      <c r="D62" s="248"/>
      <c r="E62" s="248"/>
      <c r="F62" s="248"/>
      <c r="G62" s="248"/>
      <c r="H62" s="248"/>
      <c r="I62" s="248"/>
      <c r="J62" s="329"/>
      <c r="K62" s="248"/>
      <c r="L62" s="248"/>
      <c r="M62" s="248"/>
    </row>
    <row r="63" spans="1:26" ht="15" x14ac:dyDescent="0.25">
      <c r="A63" s="334" t="s">
        <v>25</v>
      </c>
      <c r="B63" s="331" t="s">
        <v>261</v>
      </c>
      <c r="C63" s="331"/>
      <c r="D63" s="335"/>
      <c r="E63" s="331"/>
      <c r="F63" s="333"/>
      <c r="G63" s="341"/>
      <c r="H63" s="333"/>
      <c r="I63" s="331"/>
      <c r="J63" s="341"/>
      <c r="K63" s="331"/>
      <c r="L63" s="341"/>
      <c r="M63" s="341"/>
      <c r="N63" s="331"/>
      <c r="O63" s="331"/>
      <c r="P63" s="332"/>
      <c r="Q63" s="331"/>
      <c r="R63" s="331"/>
      <c r="S63" s="331"/>
      <c r="T63" s="331"/>
      <c r="U63" s="331"/>
      <c r="V63" s="331"/>
      <c r="W63" s="331"/>
      <c r="X63" s="331"/>
      <c r="Y63" s="331"/>
      <c r="Z63" s="331"/>
    </row>
    <row r="64" spans="1:26" x14ac:dyDescent="0.2">
      <c r="A64" s="474" t="s">
        <v>156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</row>
    <row r="65" spans="1:14" ht="14.25" x14ac:dyDescent="0.2">
      <c r="A65" s="227" t="s">
        <v>251</v>
      </c>
      <c r="B65" s="248"/>
      <c r="D65" s="248"/>
    </row>
    <row r="66" spans="1:14" x14ac:dyDescent="0.2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</row>
    <row r="69" spans="1:14" x14ac:dyDescent="0.2">
      <c r="L69" s="248"/>
    </row>
    <row r="70" spans="1:14" x14ac:dyDescent="0.2">
      <c r="C70" s="248"/>
    </row>
    <row r="71" spans="1:14" x14ac:dyDescent="0.2">
      <c r="C71" s="248"/>
      <c r="I71" s="248"/>
      <c r="M71" s="248"/>
      <c r="N71" s="248"/>
    </row>
  </sheetData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</vt:lpstr>
      <vt:lpstr>Fund Shift Log</vt:lpstr>
      <vt:lpstr>Event Summary</vt:lpstr>
      <vt:lpstr>SDGE Costs - AMDRMA Balance</vt:lpstr>
      <vt:lpstr>SDGE Costs -GRC 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Balance'!Print_Area</vt:lpstr>
      <vt:lpstr>'SDGE Costs -GRC 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2014-08-20T20:41:53Z</cp:lastPrinted>
  <dcterms:created xsi:type="dcterms:W3CDTF">2001-06-12T23:12:10Z</dcterms:created>
  <dcterms:modified xsi:type="dcterms:W3CDTF">2014-08-20T20:43:55Z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