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01B" lockStructure="1"/>
  <bookViews>
    <workbookView xWindow="12708" yWindow="-12" windowWidth="12516" windowHeight="9228" tabRatio="795"/>
  </bookViews>
  <sheets>
    <sheet name="Program MW@ " sheetId="33" r:id="rId1"/>
    <sheet name="Ex ante LI &amp; Eligibility Stats" sheetId="34" r:id="rId2"/>
    <sheet name="Ex post LI &amp; Eligibility Stats" sheetId="35" r:id="rId3"/>
    <sheet name="TA-TI Distribution@" sheetId="36" state="hidden" r:id="rId4"/>
    <sheet name="TA-TI Distribution@_v2" sheetId="131" r:id="rId5"/>
    <sheet name="DRP Expenditures" sheetId="117" r:id="rId6"/>
    <sheet name="Marketing" sheetId="134" r:id="rId7"/>
    <sheet name="Fund Shift Log" sheetId="29" r:id="rId8"/>
    <sheet name="Event Summary" sheetId="57" r:id="rId9"/>
    <sheet name="SDGE Costs - AMDRMA Balance" sheetId="119" r:id="rId10"/>
    <sheet name="SDGE Costs -GRC " sheetId="120" r:id="rId11"/>
    <sheet name="SDGE Costs -DPDRMA" sheetId="129" r:id="rId12"/>
  </sheets>
  <externalReferences>
    <externalReference r:id="rId13"/>
    <externalReference r:id="rId14"/>
  </externalReferences>
  <definedNames>
    <definedName name="_DAT1" localSheetId="5">#REF!</definedName>
    <definedName name="_DAT1" localSheetId="6">#REF!</definedName>
    <definedName name="_DAT1" localSheetId="9">#REF!</definedName>
    <definedName name="_DAT1" localSheetId="11">#REF!</definedName>
    <definedName name="_DAT1">#REF!</definedName>
    <definedName name="_DAT10" localSheetId="5">#REF!</definedName>
    <definedName name="_DAT10" localSheetId="6">#REF!</definedName>
    <definedName name="_DAT10" localSheetId="11">#REF!</definedName>
    <definedName name="_DAT10">#REF!</definedName>
    <definedName name="_DAT11" localSheetId="5">#REF!</definedName>
    <definedName name="_DAT11" localSheetId="6">#REF!</definedName>
    <definedName name="_DAT11" localSheetId="11">#REF!</definedName>
    <definedName name="_DAT11">#REF!</definedName>
    <definedName name="_DAT12" localSheetId="5">#REF!</definedName>
    <definedName name="_DAT12" localSheetId="11">#REF!</definedName>
    <definedName name="_DAT12">#REF!</definedName>
    <definedName name="_DAT13" localSheetId="5">#REF!</definedName>
    <definedName name="_DAT13" localSheetId="11">#REF!</definedName>
    <definedName name="_DAT13">#REF!</definedName>
    <definedName name="_DAT14" localSheetId="5">#REF!</definedName>
    <definedName name="_DAT14" localSheetId="11">#REF!</definedName>
    <definedName name="_DAT14">#REF!</definedName>
    <definedName name="_DAT15" localSheetId="5">#REF!</definedName>
    <definedName name="_DAT15" localSheetId="11">#REF!</definedName>
    <definedName name="_DAT15">#REF!</definedName>
    <definedName name="_DAT16" localSheetId="5">#REF!</definedName>
    <definedName name="_DAT16" localSheetId="11">#REF!</definedName>
    <definedName name="_DAT16">#REF!</definedName>
    <definedName name="_DAT17" localSheetId="5">#REF!</definedName>
    <definedName name="_DAT17" localSheetId="11">#REF!</definedName>
    <definedName name="_DAT17">#REF!</definedName>
    <definedName name="_DAT2" localSheetId="5">#REF!</definedName>
    <definedName name="_DAT2" localSheetId="11">#REF!</definedName>
    <definedName name="_DAT2">#REF!</definedName>
    <definedName name="_DAT3" localSheetId="5">#REF!</definedName>
    <definedName name="_DAT3" localSheetId="11">#REF!</definedName>
    <definedName name="_DAT3">#REF!</definedName>
    <definedName name="_DAT4" localSheetId="5">#REF!</definedName>
    <definedName name="_DAT4" localSheetId="11">#REF!</definedName>
    <definedName name="_DAT4">#REF!</definedName>
    <definedName name="_DAT5" localSheetId="5">#REF!</definedName>
    <definedName name="_DAT5" localSheetId="11">#REF!</definedName>
    <definedName name="_DAT5">#REF!</definedName>
    <definedName name="_DAT6" localSheetId="5">#REF!</definedName>
    <definedName name="_DAT6" localSheetId="11">#REF!</definedName>
    <definedName name="_DAT6">#REF!</definedName>
    <definedName name="_DAT7" localSheetId="5">#REF!</definedName>
    <definedName name="_DAT7" localSheetId="11">#REF!</definedName>
    <definedName name="_DAT7">#REF!</definedName>
    <definedName name="_DAT8" localSheetId="5">#REF!</definedName>
    <definedName name="_DAT8" localSheetId="11">#REF!</definedName>
    <definedName name="_DAT8">#REF!</definedName>
    <definedName name="_DAT9" localSheetId="5">#REF!</definedName>
    <definedName name="_DAT9" localSheetId="11">#REF!</definedName>
    <definedName name="_DAT9">#REF!</definedName>
    <definedName name="_xlnm._FilterDatabase" localSheetId="8" hidden="1">'Event Summary'!$A$2:$G$54</definedName>
    <definedName name="Achieve_GRC" localSheetId="5">#REF!</definedName>
    <definedName name="Achieve_GRC" localSheetId="1">#REF!</definedName>
    <definedName name="Achieve_GRC" localSheetId="2">#REF!</definedName>
    <definedName name="Achieve_GRC" localSheetId="0">#REF!</definedName>
    <definedName name="Achieve_GRC" localSheetId="11">#REF!</definedName>
    <definedName name="Achieve_GRC" localSheetId="3">#REF!</definedName>
    <definedName name="Achieve_GRC">#REF!</definedName>
    <definedName name="Achieve_Service_Excellenc" localSheetId="5">#REF!</definedName>
    <definedName name="Achieve_Service_Excellenc" localSheetId="1">#REF!</definedName>
    <definedName name="Achieve_Service_Excellenc" localSheetId="2">#REF!</definedName>
    <definedName name="Achieve_Service_Excellenc" localSheetId="0">#REF!</definedName>
    <definedName name="Achieve_Service_Excellenc" localSheetId="11">#REF!</definedName>
    <definedName name="Achieve_Service_Excellenc" localSheetId="3">#REF!</definedName>
    <definedName name="Achieve_Service_Excellenc">#REF!</definedName>
    <definedName name="Achieve_Service_Excellence" localSheetId="5">#REF!</definedName>
    <definedName name="Achieve_Service_Excellence" localSheetId="1">#REF!</definedName>
    <definedName name="Achieve_Service_Excellence" localSheetId="2">#REF!</definedName>
    <definedName name="Achieve_Service_Excellence" localSheetId="0">#REF!</definedName>
    <definedName name="Achieve_Service_Excellence" localSheetId="11">#REF!</definedName>
    <definedName name="Achieve_Service_Excellence" localSheetId="3">#REF!</definedName>
    <definedName name="Achieve_Service_Excellence">#REF!</definedName>
    <definedName name="Collect_Revenue" localSheetId="5">#REF!</definedName>
    <definedName name="Collect_Revenue" localSheetId="1">#REF!</definedName>
    <definedName name="Collect_Revenue" localSheetId="2">#REF!</definedName>
    <definedName name="Collect_Revenue" localSheetId="0">#REF!</definedName>
    <definedName name="Collect_Revenue" localSheetId="11">#REF!</definedName>
    <definedName name="Collect_Revenue" localSheetId="3">#REF!</definedName>
    <definedName name="Collect_Revenue">#REF!</definedName>
    <definedName name="DATA1" localSheetId="5">#REF!</definedName>
    <definedName name="DATA1" localSheetId="11">#REF!</definedName>
    <definedName name="DATA1">#REF!</definedName>
    <definedName name="DATA10" localSheetId="5">#REF!</definedName>
    <definedName name="DATA10" localSheetId="11">#REF!</definedName>
    <definedName name="DATA10">#REF!</definedName>
    <definedName name="DATA11" localSheetId="5">#REF!</definedName>
    <definedName name="DATA11" localSheetId="11">#REF!</definedName>
    <definedName name="DATA11">#REF!</definedName>
    <definedName name="DATA12" localSheetId="5">#REF!</definedName>
    <definedName name="DATA12" localSheetId="11">#REF!</definedName>
    <definedName name="DATA12">#REF!</definedName>
    <definedName name="DATA13" localSheetId="5">#REF!</definedName>
    <definedName name="DATA13" localSheetId="11">#REF!</definedName>
    <definedName name="DATA13">#REF!</definedName>
    <definedName name="DATA14" localSheetId="5">#REF!</definedName>
    <definedName name="DATA14" localSheetId="11">#REF!</definedName>
    <definedName name="DATA14">#REF!</definedName>
    <definedName name="DATA15" localSheetId="5">#REF!</definedName>
    <definedName name="DATA15" localSheetId="11">#REF!</definedName>
    <definedName name="DATA15">#REF!</definedName>
    <definedName name="DATA16" localSheetId="5">#REF!</definedName>
    <definedName name="DATA16" localSheetId="11">#REF!</definedName>
    <definedName name="DATA16">#REF!</definedName>
    <definedName name="DATA17" localSheetId="5">#REF!</definedName>
    <definedName name="DATA17" localSheetId="11">#REF!</definedName>
    <definedName name="DATA17">#REF!</definedName>
    <definedName name="DATA18" localSheetId="5">#REF!</definedName>
    <definedName name="DATA18" localSheetId="11">#REF!</definedName>
    <definedName name="DATA18">#REF!</definedName>
    <definedName name="DATA19" localSheetId="5">#REF!</definedName>
    <definedName name="DATA19" localSheetId="11">#REF!</definedName>
    <definedName name="DATA19">#REF!</definedName>
    <definedName name="DATA2" localSheetId="5">#REF!</definedName>
    <definedName name="DATA2" localSheetId="11">#REF!</definedName>
    <definedName name="DATA2">#REF!</definedName>
    <definedName name="DATA20" localSheetId="5">#REF!</definedName>
    <definedName name="DATA20" localSheetId="11">#REF!</definedName>
    <definedName name="DATA20">#REF!</definedName>
    <definedName name="DATA3" localSheetId="5">#REF!</definedName>
    <definedName name="DATA3" localSheetId="11">#REF!</definedName>
    <definedName name="DATA3">#REF!</definedName>
    <definedName name="DATA4" localSheetId="5">#REF!</definedName>
    <definedName name="DATA4" localSheetId="11">#REF!</definedName>
    <definedName name="DATA4">#REF!</definedName>
    <definedName name="DATA5" localSheetId="5">#REF!</definedName>
    <definedName name="DATA5" localSheetId="11">#REF!</definedName>
    <definedName name="DATA5">#REF!</definedName>
    <definedName name="data5000">'[1]ACTMA Detail'!$N$2:$N$102</definedName>
    <definedName name="DATA6" localSheetId="5">#REF!</definedName>
    <definedName name="DATA6" localSheetId="6">#REF!</definedName>
    <definedName name="DATA6" localSheetId="11">#REF!</definedName>
    <definedName name="DATA6">#REF!</definedName>
    <definedName name="DATA7" localSheetId="5">#REF!</definedName>
    <definedName name="DATA7" localSheetId="6">#REF!</definedName>
    <definedName name="DATA7" localSheetId="11">#REF!</definedName>
    <definedName name="DATA7">#REF!</definedName>
    <definedName name="DATA8" localSheetId="5">#REF!</definedName>
    <definedName name="DATA8" localSheetId="6">#REF!</definedName>
    <definedName name="DATA8" localSheetId="11">#REF!</definedName>
    <definedName name="DATA8">#REF!</definedName>
    <definedName name="DATA9" localSheetId="5">#REF!</definedName>
    <definedName name="DATA9" localSheetId="11">#REF!</definedName>
    <definedName name="DATA9">#REF!</definedName>
    <definedName name="DayTypeList" localSheetId="5">[2]LOOKUP!$E$2:$E$14</definedName>
    <definedName name="DayTypeList" localSheetId="9">[2]LOOKUP!$E$2:$E$14</definedName>
    <definedName name="DayTypeList" localSheetId="11">[2]LOOKUP!$E$2:$E$14</definedName>
    <definedName name="DayTypeList" localSheetId="10">[2]LOOKUP!$E$2:$E$14</definedName>
    <definedName name="DayTypeList">[2]LOOKUP!$E$2:$E$14</definedName>
    <definedName name="Enhance_Delivery_Channels" localSheetId="5">#REF!</definedName>
    <definedName name="Enhance_Delivery_Channels" localSheetId="1">#REF!</definedName>
    <definedName name="Enhance_Delivery_Channels" localSheetId="2">#REF!</definedName>
    <definedName name="Enhance_Delivery_Channels" localSheetId="0">#REF!</definedName>
    <definedName name="Enhance_Delivery_Channels" localSheetId="11">#REF!</definedName>
    <definedName name="Enhance_Delivery_Channels" localSheetId="3">#REF!</definedName>
    <definedName name="Enhance_Delivery_Channels">#REF!</definedName>
    <definedName name="Ethics_and_Compliance" localSheetId="5">#REF!</definedName>
    <definedName name="Ethics_and_Compliance" localSheetId="1">#REF!</definedName>
    <definedName name="Ethics_and_Compliance" localSheetId="2">#REF!</definedName>
    <definedName name="Ethics_and_Compliance" localSheetId="0">#REF!</definedName>
    <definedName name="Ethics_and_Compliance" localSheetId="11">#REF!</definedName>
    <definedName name="Ethics_and_Compliance" localSheetId="3">#REF!</definedName>
    <definedName name="Ethics_and_Compliance">#REF!</definedName>
    <definedName name="Launch_Refine_Market" localSheetId="5">#REF!</definedName>
    <definedName name="Launch_Refine_Market" localSheetId="1">#REF!</definedName>
    <definedName name="Launch_Refine_Market" localSheetId="2">#REF!</definedName>
    <definedName name="Launch_Refine_Market" localSheetId="0">#REF!</definedName>
    <definedName name="Launch_Refine_Market" localSheetId="11">#REF!</definedName>
    <definedName name="Launch_Refine_Market" localSheetId="3">#REF!</definedName>
    <definedName name="Launch_Refine_Market">#REF!</definedName>
    <definedName name="Manage_AMI" localSheetId="5">#REF!</definedName>
    <definedName name="Manage_AMI" localSheetId="1">#REF!</definedName>
    <definedName name="Manage_AMI" localSheetId="2">#REF!</definedName>
    <definedName name="Manage_AMI" localSheetId="0">#REF!</definedName>
    <definedName name="Manage_AMI" localSheetId="11">#REF!</definedName>
    <definedName name="Manage_AMI" localSheetId="3">#REF!</definedName>
    <definedName name="Manage_AMI">#REF!</definedName>
    <definedName name="Meet_Financial_Targets" localSheetId="5">#REF!</definedName>
    <definedName name="Meet_Financial_Targets" localSheetId="1">#REF!</definedName>
    <definedName name="Meet_Financial_Targets" localSheetId="2">#REF!</definedName>
    <definedName name="Meet_Financial_Targets" localSheetId="0">#REF!</definedName>
    <definedName name="Meet_Financial_Targets" localSheetId="11">#REF!</definedName>
    <definedName name="Meet_Financial_Targets" localSheetId="3">#REF!</definedName>
    <definedName name="Meet_Financial_Targets">#REF!</definedName>
    <definedName name="nnnnnn">'[1]ACTMA Detail'!$P$2:$P$102</definedName>
    <definedName name="_xlnm.Print_Area" localSheetId="5">'DRP Expenditures'!$A$1:$Z$57</definedName>
    <definedName name="_xlnm.Print_Area" localSheetId="8">'Event Summary'!$A$1:$G$109</definedName>
    <definedName name="_xlnm.Print_Area" localSheetId="1">'Ex ante LI &amp; Eligibility Stats'!$A$1:$P$28</definedName>
    <definedName name="_xlnm.Print_Area" localSheetId="2">'Ex post LI &amp; Eligibility Stats'!$A$1:$O$23</definedName>
    <definedName name="_xlnm.Print_Area" localSheetId="6">Marketing!$A$1:$Q$51</definedName>
    <definedName name="_xlnm.Print_Area" localSheetId="0">'Program MW@ '!$A$1:$U$54</definedName>
    <definedName name="_xlnm.Print_Area" localSheetId="9">'SDGE Costs - AMDRMA Balance'!$A$1:$R$67</definedName>
    <definedName name="_xlnm.Print_Area" localSheetId="11">'SDGE Costs -DPDRMA'!$A$1:$N$37</definedName>
    <definedName name="_xlnm.Print_Area" localSheetId="10">'SDGE Costs -GRC '!$A$1:$N$37</definedName>
    <definedName name="Reliability_Expectations" localSheetId="5">#REF!</definedName>
    <definedName name="Reliability_Expectations" localSheetId="1">#REF!</definedName>
    <definedName name="Reliability_Expectations" localSheetId="2">#REF!</definedName>
    <definedName name="Reliability_Expectations" localSheetId="6">#REF!</definedName>
    <definedName name="Reliability_Expectations" localSheetId="0">#REF!</definedName>
    <definedName name="Reliability_Expectations" localSheetId="11">#REF!</definedName>
    <definedName name="Reliability_Expectations" localSheetId="3">#REF!</definedName>
    <definedName name="Reliability_Expectations">#REF!</definedName>
    <definedName name="Stabilization_Customer_Base" localSheetId="5">#REF!</definedName>
    <definedName name="Stabilization_Customer_Base" localSheetId="1">#REF!</definedName>
    <definedName name="Stabilization_Customer_Base" localSheetId="2">#REF!</definedName>
    <definedName name="Stabilization_Customer_Base" localSheetId="6">#REF!</definedName>
    <definedName name="Stabilization_Customer_Base" localSheetId="0">#REF!</definedName>
    <definedName name="Stabilization_Customer_Base" localSheetId="11">#REF!</definedName>
    <definedName name="Stabilization_Customer_Base" localSheetId="3">#REF!</definedName>
    <definedName name="Stabilization_Customer_Base">#REF!</definedName>
    <definedName name="TEST0" localSheetId="5">#REF!</definedName>
    <definedName name="TEST0" localSheetId="6">#REF!</definedName>
    <definedName name="TEST0" localSheetId="11">#REF!</definedName>
    <definedName name="TEST0">#REF!</definedName>
    <definedName name="TEST1" localSheetId="5">#REF!</definedName>
    <definedName name="TEST1" localSheetId="11">#REF!</definedName>
    <definedName name="TEST1">#REF!</definedName>
    <definedName name="TEST10" localSheetId="5">#REF!</definedName>
    <definedName name="TEST10" localSheetId="11">#REF!</definedName>
    <definedName name="TEST10">#REF!</definedName>
    <definedName name="TEST11" localSheetId="5">#REF!</definedName>
    <definedName name="TEST11" localSheetId="11">#REF!</definedName>
    <definedName name="TEST11">#REF!</definedName>
    <definedName name="TEST12" localSheetId="5">#REF!</definedName>
    <definedName name="TEST12" localSheetId="11">#REF!</definedName>
    <definedName name="TEST12">#REF!</definedName>
    <definedName name="TEST13" localSheetId="5">#REF!</definedName>
    <definedName name="TEST13" localSheetId="11">#REF!</definedName>
    <definedName name="TEST13">#REF!</definedName>
    <definedName name="TEST14" localSheetId="5">#REF!</definedName>
    <definedName name="TEST14" localSheetId="11">#REF!</definedName>
    <definedName name="TEST14">#REF!</definedName>
    <definedName name="TEST15" localSheetId="5">#REF!</definedName>
    <definedName name="TEST15" localSheetId="11">#REF!</definedName>
    <definedName name="TEST15">#REF!</definedName>
    <definedName name="TEST16" localSheetId="5">#REF!</definedName>
    <definedName name="TEST16" localSheetId="11">#REF!</definedName>
    <definedName name="TEST16">#REF!</definedName>
    <definedName name="TEST17" localSheetId="5">#REF!</definedName>
    <definedName name="TEST17" localSheetId="11">#REF!</definedName>
    <definedName name="TEST17">#REF!</definedName>
    <definedName name="TEST18" localSheetId="5">#REF!</definedName>
    <definedName name="TEST18" localSheetId="11">#REF!</definedName>
    <definedName name="TEST18">#REF!</definedName>
    <definedName name="TEST19" localSheetId="5">#REF!</definedName>
    <definedName name="TEST19" localSheetId="11">#REF!</definedName>
    <definedName name="TEST19">#REF!</definedName>
    <definedName name="TEST2" localSheetId="5">#REF!</definedName>
    <definedName name="TEST2" localSheetId="11">#REF!</definedName>
    <definedName name="TEST2">#REF!</definedName>
    <definedName name="TEST20" localSheetId="5">#REF!</definedName>
    <definedName name="TEST20" localSheetId="11">#REF!</definedName>
    <definedName name="TEST20">#REF!</definedName>
    <definedName name="TEST21" localSheetId="5">#REF!</definedName>
    <definedName name="TEST21" localSheetId="11">#REF!</definedName>
    <definedName name="TEST21">#REF!</definedName>
    <definedName name="TEST22" localSheetId="5">#REF!</definedName>
    <definedName name="TEST22" localSheetId="11">#REF!</definedName>
    <definedName name="TEST22">#REF!</definedName>
    <definedName name="TEST23" localSheetId="5">#REF!</definedName>
    <definedName name="TEST23" localSheetId="11">#REF!</definedName>
    <definedName name="TEST23">#REF!</definedName>
    <definedName name="TEST24" localSheetId="5">#REF!</definedName>
    <definedName name="TEST24" localSheetId="11">#REF!</definedName>
    <definedName name="TEST24">#REF!</definedName>
    <definedName name="TEST25" localSheetId="5">#REF!</definedName>
    <definedName name="TEST25" localSheetId="11">#REF!</definedName>
    <definedName name="TEST25">#REF!</definedName>
    <definedName name="TEST26" localSheetId="5">#REF!</definedName>
    <definedName name="TEST26" localSheetId="11">#REF!</definedName>
    <definedName name="TEST26">#REF!</definedName>
    <definedName name="TEST27" localSheetId="5">#REF!</definedName>
    <definedName name="TEST27" localSheetId="11">#REF!</definedName>
    <definedName name="TEST27">#REF!</definedName>
    <definedName name="TEST28" localSheetId="5">#REF!</definedName>
    <definedName name="TEST28" localSheetId="11">#REF!</definedName>
    <definedName name="TEST28">#REF!</definedName>
    <definedName name="TEST3" localSheetId="5">#REF!</definedName>
    <definedName name="TEST3" localSheetId="11">#REF!</definedName>
    <definedName name="TEST3">#REF!</definedName>
    <definedName name="TEST4" localSheetId="5">#REF!</definedName>
    <definedName name="TEST4" localSheetId="11">#REF!</definedName>
    <definedName name="TEST4">#REF!</definedName>
    <definedName name="TEST5" localSheetId="5">#REF!</definedName>
    <definedName name="TEST5" localSheetId="11">#REF!</definedName>
    <definedName name="TEST5">#REF!</definedName>
    <definedName name="TEST6" localSheetId="5">#REF!</definedName>
    <definedName name="TEST6" localSheetId="11">#REF!</definedName>
    <definedName name="TEST6">#REF!</definedName>
    <definedName name="TEST7" localSheetId="5">#REF!</definedName>
    <definedName name="TEST7" localSheetId="11">#REF!</definedName>
    <definedName name="TEST7">#REF!</definedName>
    <definedName name="TEST8" localSheetId="5">#REF!</definedName>
    <definedName name="TEST8" localSheetId="11">#REF!</definedName>
    <definedName name="TEST8">#REF!</definedName>
    <definedName name="TEST9" localSheetId="5">#REF!</definedName>
    <definedName name="TEST9" localSheetId="11">#REF!</definedName>
    <definedName name="TEST9">#REF!</definedName>
    <definedName name="TESTHKEY" localSheetId="5">#REF!</definedName>
    <definedName name="TESTHKEY" localSheetId="11">#REF!</definedName>
    <definedName name="TESTHKEY">#REF!</definedName>
    <definedName name="TESTKEYS" localSheetId="5">#REF!</definedName>
    <definedName name="TESTKEYS" localSheetId="11">#REF!</definedName>
    <definedName name="TESTKEYS">#REF!</definedName>
    <definedName name="TESTVKEY" localSheetId="5">#REF!</definedName>
    <definedName name="TESTVKEY" localSheetId="11">#REF!</definedName>
    <definedName name="TESTVKEY">#REF!</definedName>
    <definedName name="Valued_Service_Provider" localSheetId="5">#REF!</definedName>
    <definedName name="Valued_Service_Provider" localSheetId="1">#REF!</definedName>
    <definedName name="Valued_Service_Provider" localSheetId="2">#REF!</definedName>
    <definedName name="Valued_Service_Provider" localSheetId="0">#REF!</definedName>
    <definedName name="Valued_Service_Provider" localSheetId="11">#REF!</definedName>
    <definedName name="Valued_Service_Provider" localSheetId="3">#REF!</definedName>
    <definedName name="Valued_Service_Provider">#REF!</definedName>
    <definedName name="Voice_of_Customer" localSheetId="5">#REF!</definedName>
    <definedName name="Voice_of_Customer" localSheetId="1">#REF!</definedName>
    <definedName name="Voice_of_Customer" localSheetId="2">#REF!</definedName>
    <definedName name="Voice_of_Customer" localSheetId="0">#REF!</definedName>
    <definedName name="Voice_of_Customer" localSheetId="11">#REF!</definedName>
    <definedName name="Voice_of_Customer" localSheetId="3">#REF!</definedName>
    <definedName name="Voice_of_Customer">#REF!</definedName>
    <definedName name="Z_E5DF83AA_DC53_4EBF_A523_33DA0FE284E8_.wvu.PrintArea" localSheetId="2" hidden="1">'Ex post LI &amp; Eligibility Stats'!$A$1:$O$22</definedName>
    <definedName name="Z_E5DF83AA_DC53_4EBF_A523_33DA0FE284E8_.wvu.PrintArea" localSheetId="0" hidden="1">'Program MW@ '!$A$1:$Z$53</definedName>
    <definedName name="Z_E5DF83AA_DC53_4EBF_A523_33DA0FE284E8_.wvu.PrintArea" localSheetId="3" hidden="1">'TA-TI Distribution@'!#REF!</definedName>
  </definedNames>
  <calcPr calcId="145621"/>
</workbook>
</file>

<file path=xl/calcChain.xml><?xml version="1.0" encoding="utf-8"?>
<calcChain xmlns="http://schemas.openxmlformats.org/spreadsheetml/2006/main">
  <c r="Q12" i="117" l="1"/>
  <c r="Q42" i="117"/>
  <c r="O44" i="134" l="1"/>
  <c r="M44" i="134"/>
  <c r="L44" i="134"/>
  <c r="K44" i="134"/>
  <c r="J44" i="134"/>
  <c r="I44" i="134"/>
  <c r="H44" i="134"/>
  <c r="G44" i="134"/>
  <c r="F44" i="134"/>
  <c r="E44" i="134"/>
  <c r="D44" i="134"/>
  <c r="C44" i="134"/>
  <c r="B44" i="134"/>
  <c r="P43" i="134"/>
  <c r="N43" i="134"/>
  <c r="N42" i="134"/>
  <c r="P42" i="134" s="1"/>
  <c r="P41" i="134"/>
  <c r="N41" i="134"/>
  <c r="E41" i="134"/>
  <c r="N40" i="134"/>
  <c r="N44" i="134" s="1"/>
  <c r="M37" i="134"/>
  <c r="L37" i="134"/>
  <c r="K37" i="134"/>
  <c r="J37" i="134"/>
  <c r="I37" i="134"/>
  <c r="H37" i="134"/>
  <c r="G37" i="134"/>
  <c r="E37" i="134"/>
  <c r="D37" i="134"/>
  <c r="C37" i="134"/>
  <c r="B37" i="134"/>
  <c r="N36" i="134"/>
  <c r="P36" i="134" s="1"/>
  <c r="F36" i="134"/>
  <c r="F37" i="134" s="1"/>
  <c r="N35" i="134"/>
  <c r="P35" i="134" s="1"/>
  <c r="P34" i="134"/>
  <c r="N34" i="134"/>
  <c r="E34" i="134"/>
  <c r="N33" i="134"/>
  <c r="P33" i="134" s="1"/>
  <c r="P32" i="134"/>
  <c r="N32" i="134"/>
  <c r="N37" i="134" s="1"/>
  <c r="M29" i="134"/>
  <c r="L29" i="134"/>
  <c r="K29" i="134"/>
  <c r="J29" i="134"/>
  <c r="I29" i="134"/>
  <c r="P28" i="134"/>
  <c r="N28" i="134"/>
  <c r="N27" i="134"/>
  <c r="P27" i="134" s="1"/>
  <c r="F26" i="134"/>
  <c r="N26" i="134" s="1"/>
  <c r="P26" i="134" s="1"/>
  <c r="P25" i="134"/>
  <c r="N25" i="134"/>
  <c r="N24" i="134"/>
  <c r="P24" i="134" s="1"/>
  <c r="H20" i="134"/>
  <c r="H29" i="134" s="1"/>
  <c r="G20" i="134"/>
  <c r="G29" i="134" s="1"/>
  <c r="F20" i="134"/>
  <c r="F29" i="134" s="1"/>
  <c r="E20" i="134"/>
  <c r="E29" i="134" s="1"/>
  <c r="D20" i="134"/>
  <c r="D29" i="134" s="1"/>
  <c r="C20" i="134"/>
  <c r="C29" i="134" s="1"/>
  <c r="B20" i="134"/>
  <c r="N20" i="134" s="1"/>
  <c r="P20" i="134" s="1"/>
  <c r="P19" i="134"/>
  <c r="N19" i="134"/>
  <c r="N18" i="134"/>
  <c r="P18" i="134" s="1"/>
  <c r="P17" i="134"/>
  <c r="N17" i="134"/>
  <c r="N16" i="134"/>
  <c r="P16" i="134" s="1"/>
  <c r="P15" i="134"/>
  <c r="N15" i="134"/>
  <c r="N14" i="134"/>
  <c r="P14" i="134" s="1"/>
  <c r="P13" i="134"/>
  <c r="N13" i="134"/>
  <c r="O7" i="134"/>
  <c r="M7" i="134"/>
  <c r="L7" i="134"/>
  <c r="K7" i="134"/>
  <c r="J7" i="134"/>
  <c r="I7" i="134"/>
  <c r="H7" i="134"/>
  <c r="G7" i="134"/>
  <c r="F7" i="134"/>
  <c r="E7" i="134"/>
  <c r="D7" i="134"/>
  <c r="C7" i="134"/>
  <c r="B7" i="134"/>
  <c r="N6" i="134"/>
  <c r="N7" i="134" s="1"/>
  <c r="P5" i="134"/>
  <c r="O5" i="134"/>
  <c r="N5" i="134"/>
  <c r="P7" i="134" l="1"/>
  <c r="P29" i="134"/>
  <c r="P37" i="134"/>
  <c r="B29" i="134"/>
  <c r="N29" i="134"/>
  <c r="P40" i="134"/>
  <c r="P44" i="134" s="1"/>
  <c r="P6" i="134"/>
  <c r="N29" i="129"/>
  <c r="M27" i="129"/>
  <c r="L27" i="129"/>
  <c r="K27" i="129"/>
  <c r="J27" i="129"/>
  <c r="I27" i="129"/>
  <c r="H27" i="129"/>
  <c r="G27" i="129"/>
  <c r="F27" i="129"/>
  <c r="E27" i="129"/>
  <c r="D27" i="129"/>
  <c r="C27" i="129"/>
  <c r="B27" i="129"/>
  <c r="N26" i="129"/>
  <c r="N25" i="129"/>
  <c r="N24" i="129"/>
  <c r="N23" i="129"/>
  <c r="M20" i="129"/>
  <c r="L20" i="129"/>
  <c r="K20" i="129"/>
  <c r="J20" i="129"/>
  <c r="I20" i="129"/>
  <c r="H20" i="129"/>
  <c r="G20" i="129"/>
  <c r="F20" i="129"/>
  <c r="E20" i="129"/>
  <c r="D20" i="129"/>
  <c r="C20" i="129"/>
  <c r="B20" i="129"/>
  <c r="N19" i="129"/>
  <c r="M16" i="129"/>
  <c r="L16" i="129"/>
  <c r="K16" i="129"/>
  <c r="J16" i="129"/>
  <c r="I16" i="129"/>
  <c r="H16" i="129"/>
  <c r="G16" i="129"/>
  <c r="F16" i="129"/>
  <c r="E16" i="129"/>
  <c r="D16" i="129"/>
  <c r="C16" i="129"/>
  <c r="B16" i="129"/>
  <c r="N15" i="129"/>
  <c r="M12" i="129"/>
  <c r="L12" i="129"/>
  <c r="K12" i="129"/>
  <c r="J12" i="129"/>
  <c r="I12" i="129"/>
  <c r="H12" i="129"/>
  <c r="G12" i="129"/>
  <c r="F12" i="129"/>
  <c r="E12" i="129"/>
  <c r="D12" i="129"/>
  <c r="C12" i="129"/>
  <c r="B12" i="129"/>
  <c r="N11" i="129"/>
  <c r="N10" i="129"/>
  <c r="N9" i="129"/>
  <c r="N8" i="129"/>
  <c r="N7" i="129"/>
  <c r="N29" i="120"/>
  <c r="M27" i="120"/>
  <c r="L27" i="120"/>
  <c r="K27" i="120"/>
  <c r="J27" i="120"/>
  <c r="I27" i="120"/>
  <c r="H27" i="120"/>
  <c r="G27" i="120"/>
  <c r="F27" i="120"/>
  <c r="E27" i="120"/>
  <c r="D27" i="120"/>
  <c r="C27" i="120"/>
  <c r="B27" i="120"/>
  <c r="N26" i="120"/>
  <c r="N25" i="120"/>
  <c r="N24" i="120"/>
  <c r="N23" i="120"/>
  <c r="M20" i="120"/>
  <c r="L20" i="120"/>
  <c r="K20" i="120"/>
  <c r="J20" i="120"/>
  <c r="I20" i="120"/>
  <c r="H20" i="120"/>
  <c r="G20" i="120"/>
  <c r="F20" i="120"/>
  <c r="E20" i="120"/>
  <c r="D20" i="120"/>
  <c r="C20" i="120"/>
  <c r="B20" i="120"/>
  <c r="N19" i="120"/>
  <c r="M16" i="120"/>
  <c r="L16" i="120"/>
  <c r="K16" i="120"/>
  <c r="J16" i="120"/>
  <c r="I16" i="120"/>
  <c r="H16" i="120"/>
  <c r="G16" i="120"/>
  <c r="F16" i="120"/>
  <c r="E16" i="120"/>
  <c r="D16" i="120"/>
  <c r="C16" i="120"/>
  <c r="B16" i="120"/>
  <c r="N15" i="120"/>
  <c r="M12" i="120"/>
  <c r="L12" i="120"/>
  <c r="K12" i="120"/>
  <c r="J12" i="120"/>
  <c r="I12" i="120"/>
  <c r="H12" i="120"/>
  <c r="G12" i="120"/>
  <c r="F12" i="120"/>
  <c r="E12" i="120"/>
  <c r="D12" i="120"/>
  <c r="C12" i="120"/>
  <c r="B12" i="120"/>
  <c r="N11" i="120"/>
  <c r="N10" i="120"/>
  <c r="N9" i="120"/>
  <c r="N8" i="120"/>
  <c r="N7" i="120"/>
  <c r="D60" i="119"/>
  <c r="N60" i="119" s="1"/>
  <c r="O57" i="119"/>
  <c r="M57" i="119"/>
  <c r="L57" i="119"/>
  <c r="K57" i="119"/>
  <c r="J57" i="119"/>
  <c r="I57" i="119"/>
  <c r="H57" i="119"/>
  <c r="G57" i="119"/>
  <c r="F57" i="119"/>
  <c r="E57" i="119"/>
  <c r="D57" i="119"/>
  <c r="C57" i="119"/>
  <c r="B57" i="119"/>
  <c r="N56" i="119"/>
  <c r="N55" i="119"/>
  <c r="N54" i="119"/>
  <c r="N53" i="119"/>
  <c r="N52" i="119"/>
  <c r="N51" i="119"/>
  <c r="N50" i="119"/>
  <c r="N49" i="119"/>
  <c r="N48" i="119"/>
  <c r="O45" i="119"/>
  <c r="M45" i="119"/>
  <c r="L45" i="119"/>
  <c r="K45" i="119"/>
  <c r="J45" i="119"/>
  <c r="I45" i="119"/>
  <c r="H45" i="119"/>
  <c r="G45" i="119"/>
  <c r="F45" i="119"/>
  <c r="E45" i="119"/>
  <c r="D45" i="119"/>
  <c r="C45" i="119"/>
  <c r="B45" i="119"/>
  <c r="N44" i="119"/>
  <c r="N43" i="119"/>
  <c r="O40" i="119"/>
  <c r="M40" i="119"/>
  <c r="L40" i="119"/>
  <c r="K40" i="119"/>
  <c r="I40" i="119"/>
  <c r="H40" i="119"/>
  <c r="G40" i="119"/>
  <c r="F40" i="119"/>
  <c r="E40" i="119"/>
  <c r="D40" i="119"/>
  <c r="C40" i="119"/>
  <c r="B40" i="119"/>
  <c r="N39" i="119"/>
  <c r="N38" i="119"/>
  <c r="O35" i="119"/>
  <c r="M35" i="119"/>
  <c r="L35" i="119"/>
  <c r="K35" i="119"/>
  <c r="J35" i="119"/>
  <c r="I35" i="119"/>
  <c r="H35" i="119"/>
  <c r="G35" i="119"/>
  <c r="E35" i="119"/>
  <c r="D35" i="119"/>
  <c r="C35" i="119"/>
  <c r="B35" i="119"/>
  <c r="N32" i="119"/>
  <c r="N31" i="119"/>
  <c r="N30" i="119"/>
  <c r="N29" i="119"/>
  <c r="N28" i="119"/>
  <c r="N27" i="119"/>
  <c r="N26" i="119"/>
  <c r="N25" i="119"/>
  <c r="N24" i="119"/>
  <c r="F23" i="119"/>
  <c r="N23" i="119" s="1"/>
  <c r="N22" i="119"/>
  <c r="N21" i="119"/>
  <c r="N20" i="119"/>
  <c r="N19" i="119"/>
  <c r="N18" i="119"/>
  <c r="N17" i="119"/>
  <c r="N16" i="119"/>
  <c r="N15" i="119"/>
  <c r="N14" i="119"/>
  <c r="N13" i="119"/>
  <c r="N12" i="119"/>
  <c r="N11" i="119"/>
  <c r="N10" i="119"/>
  <c r="N9" i="119"/>
  <c r="N8" i="119"/>
  <c r="N7" i="119"/>
  <c r="B15" i="29"/>
  <c r="R43" i="117"/>
  <c r="Q43" i="117"/>
  <c r="N43" i="117"/>
  <c r="M43" i="117"/>
  <c r="L43" i="117"/>
  <c r="K43" i="117"/>
  <c r="J43" i="117"/>
  <c r="I43" i="117"/>
  <c r="H43" i="117"/>
  <c r="G43" i="117"/>
  <c r="F43" i="117"/>
  <c r="E43" i="117"/>
  <c r="D43" i="117"/>
  <c r="C43" i="117"/>
  <c r="B43" i="117"/>
  <c r="O42" i="117"/>
  <c r="P42" i="117" s="1"/>
  <c r="R39" i="117"/>
  <c r="Q39" i="117"/>
  <c r="N39" i="117"/>
  <c r="M39" i="117"/>
  <c r="L39" i="117"/>
  <c r="K39" i="117"/>
  <c r="J39" i="117"/>
  <c r="I39" i="117"/>
  <c r="H39" i="117"/>
  <c r="G39" i="117"/>
  <c r="F39" i="117"/>
  <c r="E39" i="117"/>
  <c r="D39" i="117"/>
  <c r="C39" i="117"/>
  <c r="B39" i="117"/>
  <c r="O38" i="117"/>
  <c r="P38" i="117" s="1"/>
  <c r="S38" i="117" s="1"/>
  <c r="O37" i="117"/>
  <c r="P37" i="117" s="1"/>
  <c r="R34" i="117"/>
  <c r="Q34" i="117"/>
  <c r="N34" i="117"/>
  <c r="M34" i="117"/>
  <c r="L34" i="117"/>
  <c r="K34" i="117"/>
  <c r="J34" i="117"/>
  <c r="I34" i="117"/>
  <c r="H34" i="117"/>
  <c r="G34" i="117"/>
  <c r="F34" i="117"/>
  <c r="E34" i="117"/>
  <c r="D34" i="117"/>
  <c r="C34" i="117"/>
  <c r="B34" i="117"/>
  <c r="O33" i="117"/>
  <c r="P33" i="117" s="1"/>
  <c r="R30" i="117"/>
  <c r="Q30" i="117"/>
  <c r="N30" i="117"/>
  <c r="M30" i="117"/>
  <c r="L30" i="117"/>
  <c r="K30" i="117"/>
  <c r="J30" i="117"/>
  <c r="I30" i="117"/>
  <c r="H30" i="117"/>
  <c r="G30" i="117"/>
  <c r="F30" i="117"/>
  <c r="E30" i="117"/>
  <c r="D30" i="117"/>
  <c r="C30" i="117"/>
  <c r="B30" i="117"/>
  <c r="O29" i="117"/>
  <c r="P29" i="117" s="1"/>
  <c r="S29" i="117" s="1"/>
  <c r="O28" i="117"/>
  <c r="R25" i="117"/>
  <c r="Q25" i="117"/>
  <c r="N25" i="117"/>
  <c r="M25" i="117"/>
  <c r="L25" i="117"/>
  <c r="K25" i="117"/>
  <c r="J25" i="117"/>
  <c r="I25" i="117"/>
  <c r="H25" i="117"/>
  <c r="G25" i="117"/>
  <c r="F25" i="117"/>
  <c r="E25" i="117"/>
  <c r="D25" i="117"/>
  <c r="C25" i="117"/>
  <c r="B25" i="117"/>
  <c r="O24" i="117"/>
  <c r="O25" i="117" s="1"/>
  <c r="R21" i="117"/>
  <c r="Q21" i="117"/>
  <c r="N21" i="117"/>
  <c r="M21" i="117"/>
  <c r="L21" i="117"/>
  <c r="K21" i="117"/>
  <c r="J21" i="117"/>
  <c r="I21" i="117"/>
  <c r="H21" i="117"/>
  <c r="G21" i="117"/>
  <c r="F21" i="117"/>
  <c r="E21" i="117"/>
  <c r="D21" i="117"/>
  <c r="C21" i="117"/>
  <c r="B21" i="117"/>
  <c r="O20" i="117"/>
  <c r="P20" i="117" s="1"/>
  <c r="S20" i="117" s="1"/>
  <c r="O19" i="117"/>
  <c r="P19" i="117" s="1"/>
  <c r="S19" i="117" s="1"/>
  <c r="O18" i="117"/>
  <c r="N15" i="117"/>
  <c r="M15" i="117"/>
  <c r="L15" i="117"/>
  <c r="K15" i="117"/>
  <c r="J15" i="117"/>
  <c r="I15" i="117"/>
  <c r="H15" i="117"/>
  <c r="G15" i="117"/>
  <c r="F15" i="117"/>
  <c r="E15" i="117"/>
  <c r="D15" i="117"/>
  <c r="C15" i="117"/>
  <c r="B15" i="117"/>
  <c r="O14" i="117"/>
  <c r="P14" i="117" s="1"/>
  <c r="S14" i="117" s="1"/>
  <c r="O13" i="117"/>
  <c r="P13" i="117" s="1"/>
  <c r="S13" i="117" s="1"/>
  <c r="R12" i="117"/>
  <c r="R15" i="117" s="1"/>
  <c r="Q15" i="117"/>
  <c r="Q46" i="117" s="1"/>
  <c r="O12" i="117"/>
  <c r="P12" i="117" s="1"/>
  <c r="O11" i="117"/>
  <c r="R8" i="117"/>
  <c r="Q8" i="117"/>
  <c r="N8" i="117"/>
  <c r="M8" i="117"/>
  <c r="L8" i="117"/>
  <c r="K8" i="117"/>
  <c r="J8" i="117"/>
  <c r="I8" i="117"/>
  <c r="H8" i="117"/>
  <c r="G8" i="117"/>
  <c r="F8" i="117"/>
  <c r="E8" i="117"/>
  <c r="D8" i="117"/>
  <c r="C8" i="117"/>
  <c r="B8" i="117"/>
  <c r="O7" i="117"/>
  <c r="O8" i="117" s="1"/>
  <c r="U47" i="131"/>
  <c r="U49" i="131" s="1"/>
  <c r="Q47" i="131"/>
  <c r="Q49" i="131" s="1"/>
  <c r="M47" i="131"/>
  <c r="M49" i="131" s="1"/>
  <c r="I47" i="131"/>
  <c r="I49" i="131" s="1"/>
  <c r="F47" i="131"/>
  <c r="F49" i="131" s="1"/>
  <c r="B47" i="131"/>
  <c r="B49" i="131" s="1"/>
  <c r="V42" i="131"/>
  <c r="R42" i="131"/>
  <c r="N42" i="131"/>
  <c r="Y40" i="131"/>
  <c r="U40" i="131"/>
  <c r="Q40" i="131"/>
  <c r="L40" i="131"/>
  <c r="K40" i="131"/>
  <c r="H40" i="131"/>
  <c r="G40" i="131"/>
  <c r="E40" i="131"/>
  <c r="D40" i="131"/>
  <c r="C40" i="131"/>
  <c r="Y39" i="131"/>
  <c r="U39" i="131"/>
  <c r="Q39" i="131"/>
  <c r="M39" i="131"/>
  <c r="I39" i="131"/>
  <c r="Y38" i="131"/>
  <c r="U38" i="131"/>
  <c r="Q38" i="131"/>
  <c r="M38" i="131"/>
  <c r="I38" i="131"/>
  <c r="Y37" i="131"/>
  <c r="U37" i="131"/>
  <c r="Q37" i="131"/>
  <c r="M37" i="131"/>
  <c r="I37" i="131"/>
  <c r="Y36" i="131"/>
  <c r="U36" i="131"/>
  <c r="Q36" i="131"/>
  <c r="M36" i="131"/>
  <c r="I36" i="131"/>
  <c r="Y35" i="131"/>
  <c r="U35" i="131"/>
  <c r="Q35" i="131"/>
  <c r="M35" i="131"/>
  <c r="I35" i="131"/>
  <c r="X33" i="131"/>
  <c r="X42" i="131" s="1"/>
  <c r="W33" i="131"/>
  <c r="W42" i="131" s="1"/>
  <c r="T33" i="131"/>
  <c r="T42" i="131" s="1"/>
  <c r="S33" i="131"/>
  <c r="P33" i="131"/>
  <c r="P42" i="131" s="1"/>
  <c r="O33" i="131"/>
  <c r="L33" i="131"/>
  <c r="K33" i="131"/>
  <c r="H33" i="131"/>
  <c r="G33" i="131"/>
  <c r="D33" i="131"/>
  <c r="C33" i="131"/>
  <c r="Y32" i="131"/>
  <c r="U32" i="131"/>
  <c r="Q32" i="131"/>
  <c r="M32" i="131"/>
  <c r="I32" i="131"/>
  <c r="E32" i="131"/>
  <c r="Q31" i="131"/>
  <c r="M31" i="131"/>
  <c r="I31" i="131"/>
  <c r="Q30" i="131"/>
  <c r="M30" i="131"/>
  <c r="I30" i="131"/>
  <c r="Q29" i="131"/>
  <c r="M29" i="131"/>
  <c r="I29" i="131"/>
  <c r="Y28" i="131"/>
  <c r="U28" i="131"/>
  <c r="Q28" i="131"/>
  <c r="M28" i="131"/>
  <c r="I28" i="131"/>
  <c r="E28" i="131"/>
  <c r="V20" i="131"/>
  <c r="V22" i="131" s="1"/>
  <c r="R20" i="131"/>
  <c r="R22" i="131" s="1"/>
  <c r="N20" i="131"/>
  <c r="N22" i="131" s="1"/>
  <c r="J20" i="131"/>
  <c r="J22" i="131" s="1"/>
  <c r="F20" i="131"/>
  <c r="F22" i="131" s="1"/>
  <c r="B20" i="131"/>
  <c r="B22" i="131" s="1"/>
  <c r="U14" i="131"/>
  <c r="M14" i="131"/>
  <c r="X13" i="131"/>
  <c r="W13" i="131"/>
  <c r="U13" i="131"/>
  <c r="T13" i="131"/>
  <c r="S13" i="131"/>
  <c r="Q13" i="131"/>
  <c r="P13" i="131"/>
  <c r="O13" i="131"/>
  <c r="M13" i="131"/>
  <c r="L13" i="131"/>
  <c r="K13" i="131"/>
  <c r="I13" i="131"/>
  <c r="H13" i="131"/>
  <c r="G13" i="131"/>
  <c r="E13" i="131"/>
  <c r="D13" i="131"/>
  <c r="Y11" i="131"/>
  <c r="Y10" i="131"/>
  <c r="Y9" i="131"/>
  <c r="X7" i="131"/>
  <c r="W7" i="131"/>
  <c r="T7" i="131"/>
  <c r="T15" i="131" s="1"/>
  <c r="S7" i="131"/>
  <c r="P7" i="131"/>
  <c r="O7" i="131"/>
  <c r="L7" i="131"/>
  <c r="K7" i="131"/>
  <c r="H7" i="131"/>
  <c r="G7" i="131"/>
  <c r="D7" i="131"/>
  <c r="C7" i="131"/>
  <c r="C15" i="131" s="1"/>
  <c r="Y6" i="131"/>
  <c r="U6" i="131"/>
  <c r="Q6" i="131"/>
  <c r="M6" i="131"/>
  <c r="I6" i="131"/>
  <c r="E6" i="131"/>
  <c r="Y5" i="131"/>
  <c r="Y7" i="131" s="1"/>
  <c r="U5" i="131"/>
  <c r="Q5" i="131"/>
  <c r="M5" i="131"/>
  <c r="I5" i="131"/>
  <c r="I7" i="131" s="1"/>
  <c r="I15" i="131" s="1"/>
  <c r="E5" i="131"/>
  <c r="U47" i="36"/>
  <c r="U49" i="36" s="1"/>
  <c r="Q47" i="36"/>
  <c r="Q49" i="36" s="1"/>
  <c r="M47" i="36"/>
  <c r="M49" i="36" s="1"/>
  <c r="I47" i="36"/>
  <c r="I49" i="36" s="1"/>
  <c r="F47" i="36"/>
  <c r="F49" i="36" s="1"/>
  <c r="B47" i="36"/>
  <c r="B49" i="36" s="1"/>
  <c r="V42" i="36"/>
  <c r="R42" i="36"/>
  <c r="N42" i="36"/>
  <c r="Y40" i="36"/>
  <c r="U40" i="36"/>
  <c r="Q40" i="36"/>
  <c r="L40" i="36"/>
  <c r="K40" i="36"/>
  <c r="H40" i="36"/>
  <c r="G40" i="36"/>
  <c r="E40" i="36"/>
  <c r="D40" i="36"/>
  <c r="C40" i="36"/>
  <c r="Y39" i="36"/>
  <c r="U39" i="36"/>
  <c r="Q39" i="36"/>
  <c r="M39" i="36"/>
  <c r="I39" i="36"/>
  <c r="Y38" i="36"/>
  <c r="U38" i="36"/>
  <c r="Q38" i="36"/>
  <c r="M38" i="36"/>
  <c r="I38" i="36"/>
  <c r="Y37" i="36"/>
  <c r="U37" i="36"/>
  <c r="Q37" i="36"/>
  <c r="M37" i="36"/>
  <c r="I37" i="36"/>
  <c r="Y36" i="36"/>
  <c r="U36" i="36"/>
  <c r="Q36" i="36"/>
  <c r="M36" i="36"/>
  <c r="I36" i="36"/>
  <c r="Y35" i="36"/>
  <c r="U35" i="36"/>
  <c r="Q35" i="36"/>
  <c r="M35" i="36"/>
  <c r="I35" i="36"/>
  <c r="X33" i="36"/>
  <c r="X42" i="36" s="1"/>
  <c r="W33" i="36"/>
  <c r="W42" i="36" s="1"/>
  <c r="T33" i="36"/>
  <c r="T42" i="36" s="1"/>
  <c r="S33" i="36"/>
  <c r="P33" i="36"/>
  <c r="P42" i="36" s="1"/>
  <c r="O33" i="36"/>
  <c r="L33" i="36"/>
  <c r="K33" i="36"/>
  <c r="H33" i="36"/>
  <c r="G33" i="36"/>
  <c r="D33" i="36"/>
  <c r="C33" i="36"/>
  <c r="Y32" i="36"/>
  <c r="U32" i="36"/>
  <c r="Q32" i="36"/>
  <c r="M32" i="36"/>
  <c r="I32" i="36"/>
  <c r="E32" i="36"/>
  <c r="Q31" i="36"/>
  <c r="M31" i="36"/>
  <c r="I31" i="36"/>
  <c r="Q30" i="36"/>
  <c r="M30" i="36"/>
  <c r="I30" i="36"/>
  <c r="Q29" i="36"/>
  <c r="M29" i="36"/>
  <c r="I29" i="36"/>
  <c r="Y28" i="36"/>
  <c r="U28" i="36"/>
  <c r="Q28" i="36"/>
  <c r="M28" i="36"/>
  <c r="I28" i="36"/>
  <c r="E28" i="36"/>
  <c r="V20" i="36"/>
  <c r="V22" i="36" s="1"/>
  <c r="R20" i="36"/>
  <c r="R22" i="36" s="1"/>
  <c r="N20" i="36"/>
  <c r="N22" i="36" s="1"/>
  <c r="J20" i="36"/>
  <c r="J22" i="36" s="1"/>
  <c r="F20" i="36"/>
  <c r="F22" i="36" s="1"/>
  <c r="B20" i="36"/>
  <c r="B22" i="36" s="1"/>
  <c r="U14" i="36"/>
  <c r="Q14" i="36"/>
  <c r="M14" i="36"/>
  <c r="X13" i="36"/>
  <c r="W13" i="36"/>
  <c r="U13" i="36"/>
  <c r="T13" i="36"/>
  <c r="S13" i="36"/>
  <c r="Q13" i="36"/>
  <c r="P13" i="36"/>
  <c r="O13" i="36"/>
  <c r="M13" i="36"/>
  <c r="L13" i="36"/>
  <c r="K13" i="36"/>
  <c r="I13" i="36"/>
  <c r="H13" i="36"/>
  <c r="G13" i="36"/>
  <c r="E13" i="36"/>
  <c r="D13" i="36"/>
  <c r="Y11" i="36"/>
  <c r="Y10" i="36"/>
  <c r="Y9" i="36"/>
  <c r="X7" i="36"/>
  <c r="W7" i="36"/>
  <c r="T7" i="36"/>
  <c r="T15" i="36" s="1"/>
  <c r="S7" i="36"/>
  <c r="S15" i="36" s="1"/>
  <c r="P7" i="36"/>
  <c r="O7" i="36"/>
  <c r="L7" i="36"/>
  <c r="K7" i="36"/>
  <c r="H7" i="36"/>
  <c r="G7" i="36"/>
  <c r="D7" i="36"/>
  <c r="C7" i="36"/>
  <c r="C15" i="36" s="1"/>
  <c r="Y6" i="36"/>
  <c r="U6" i="36"/>
  <c r="Q6" i="36"/>
  <c r="M6" i="36"/>
  <c r="I6" i="36"/>
  <c r="E6" i="36"/>
  <c r="Y5" i="36"/>
  <c r="Y7" i="36" s="1"/>
  <c r="U5" i="36"/>
  <c r="U7" i="36" s="1"/>
  <c r="U15" i="36" s="1"/>
  <c r="Q5" i="36"/>
  <c r="Q7" i="36" s="1"/>
  <c r="M5" i="36"/>
  <c r="I5" i="36"/>
  <c r="I7" i="36" s="1"/>
  <c r="I15" i="36" s="1"/>
  <c r="E5" i="36"/>
  <c r="E7" i="36" s="1"/>
  <c r="Q47" i="33"/>
  <c r="N47" i="33"/>
  <c r="K47" i="33"/>
  <c r="H47" i="33"/>
  <c r="E47" i="33"/>
  <c r="B47" i="33"/>
  <c r="S46" i="33"/>
  <c r="R46" i="33"/>
  <c r="P46" i="33"/>
  <c r="O46" i="33"/>
  <c r="M46" i="33"/>
  <c r="L46" i="33"/>
  <c r="J46" i="33"/>
  <c r="I46" i="33"/>
  <c r="G46" i="33"/>
  <c r="F46" i="33"/>
  <c r="D46" i="33"/>
  <c r="C46" i="33"/>
  <c r="S45" i="33"/>
  <c r="R45" i="33"/>
  <c r="P45" i="33"/>
  <c r="O45" i="33"/>
  <c r="M45" i="33"/>
  <c r="L45" i="33"/>
  <c r="J45" i="33"/>
  <c r="I45" i="33"/>
  <c r="G45" i="33"/>
  <c r="F45" i="33"/>
  <c r="D45" i="33"/>
  <c r="C45" i="33"/>
  <c r="S44" i="33"/>
  <c r="R44" i="33"/>
  <c r="P44" i="33"/>
  <c r="O44" i="33"/>
  <c r="M44" i="33"/>
  <c r="L44" i="33"/>
  <c r="J44" i="33"/>
  <c r="I44" i="33"/>
  <c r="G44" i="33"/>
  <c r="F44" i="33"/>
  <c r="D44" i="33"/>
  <c r="C44" i="33"/>
  <c r="S43" i="33"/>
  <c r="R43" i="33"/>
  <c r="P43" i="33"/>
  <c r="O43" i="33"/>
  <c r="M43" i="33"/>
  <c r="L43" i="33"/>
  <c r="J43" i="33"/>
  <c r="I43" i="33"/>
  <c r="G43" i="33"/>
  <c r="F43" i="33"/>
  <c r="D43" i="33"/>
  <c r="C43" i="33"/>
  <c r="S42" i="33"/>
  <c r="R42" i="33"/>
  <c r="P42" i="33"/>
  <c r="O42" i="33"/>
  <c r="M42" i="33"/>
  <c r="L42" i="33"/>
  <c r="J42" i="33"/>
  <c r="I42" i="33"/>
  <c r="G42" i="33"/>
  <c r="F42" i="33"/>
  <c r="D42" i="33"/>
  <c r="C42" i="33"/>
  <c r="S41" i="33"/>
  <c r="R41" i="33"/>
  <c r="P41" i="33"/>
  <c r="O41" i="33"/>
  <c r="M41" i="33"/>
  <c r="L41" i="33"/>
  <c r="J41" i="33"/>
  <c r="I41" i="33"/>
  <c r="G41" i="33"/>
  <c r="F41" i="33"/>
  <c r="D41" i="33"/>
  <c r="C41" i="33"/>
  <c r="S40" i="33"/>
  <c r="R40" i="33"/>
  <c r="P40" i="33"/>
  <c r="O40" i="33"/>
  <c r="M40" i="33"/>
  <c r="L40" i="33"/>
  <c r="J40" i="33"/>
  <c r="I40" i="33"/>
  <c r="G40" i="33"/>
  <c r="F40" i="33"/>
  <c r="D40" i="33"/>
  <c r="C40" i="33"/>
  <c r="S39" i="33"/>
  <c r="R39" i="33"/>
  <c r="P39" i="33"/>
  <c r="O39" i="33"/>
  <c r="M39" i="33"/>
  <c r="L39" i="33"/>
  <c r="J39" i="33"/>
  <c r="I39" i="33"/>
  <c r="G39" i="33"/>
  <c r="F39" i="33"/>
  <c r="D39" i="33"/>
  <c r="C39" i="33"/>
  <c r="S38" i="33"/>
  <c r="R38" i="33"/>
  <c r="P38" i="33"/>
  <c r="O38" i="33"/>
  <c r="M38" i="33"/>
  <c r="L38" i="33"/>
  <c r="J38" i="33"/>
  <c r="I38" i="33"/>
  <c r="G38" i="33"/>
  <c r="F38" i="33"/>
  <c r="D38" i="33"/>
  <c r="C38" i="33"/>
  <c r="S37" i="33"/>
  <c r="R37" i="33"/>
  <c r="P37" i="33"/>
  <c r="O37" i="33"/>
  <c r="M37" i="33"/>
  <c r="L37" i="33"/>
  <c r="J37" i="33"/>
  <c r="I37" i="33"/>
  <c r="G37" i="33"/>
  <c r="F37" i="33"/>
  <c r="D37" i="33"/>
  <c r="C37" i="33"/>
  <c r="S36" i="33"/>
  <c r="R36" i="33"/>
  <c r="P36" i="33"/>
  <c r="O36" i="33"/>
  <c r="M36" i="33"/>
  <c r="L36" i="33"/>
  <c r="L47" i="33" s="1"/>
  <c r="J36" i="33"/>
  <c r="I36" i="33"/>
  <c r="G36" i="33"/>
  <c r="F36" i="33"/>
  <c r="D36" i="33"/>
  <c r="C36" i="33"/>
  <c r="Q34" i="33"/>
  <c r="Q48" i="33" s="1"/>
  <c r="N34" i="33"/>
  <c r="K34" i="33"/>
  <c r="H34" i="33"/>
  <c r="H48" i="33" s="1"/>
  <c r="E34" i="33"/>
  <c r="B34" i="33"/>
  <c r="S33" i="33"/>
  <c r="S34" i="33" s="1"/>
  <c r="R33" i="33"/>
  <c r="R34" i="33" s="1"/>
  <c r="P33" i="33"/>
  <c r="P34" i="33" s="1"/>
  <c r="O33" i="33"/>
  <c r="O34" i="33" s="1"/>
  <c r="M33" i="33"/>
  <c r="M34" i="33" s="1"/>
  <c r="L33" i="33"/>
  <c r="L34" i="33" s="1"/>
  <c r="J33" i="33"/>
  <c r="J34" i="33" s="1"/>
  <c r="I33" i="33"/>
  <c r="I34" i="33" s="1"/>
  <c r="G33" i="33"/>
  <c r="G34" i="33" s="1"/>
  <c r="F33" i="33"/>
  <c r="F34" i="33" s="1"/>
  <c r="D33" i="33"/>
  <c r="D34" i="33" s="1"/>
  <c r="C33" i="33"/>
  <c r="C34" i="33" s="1"/>
  <c r="C29" i="33"/>
  <c r="H24" i="33"/>
  <c r="S23" i="33"/>
  <c r="R23" i="33"/>
  <c r="P23" i="33"/>
  <c r="O23" i="33"/>
  <c r="M23" i="33"/>
  <c r="L23" i="33"/>
  <c r="J23" i="33"/>
  <c r="I23" i="33"/>
  <c r="G23" i="33"/>
  <c r="F23" i="33"/>
  <c r="D23" i="33"/>
  <c r="C23" i="33"/>
  <c r="S22" i="33"/>
  <c r="R22" i="33"/>
  <c r="P22" i="33"/>
  <c r="O22" i="33"/>
  <c r="M22" i="33"/>
  <c r="L22" i="33"/>
  <c r="J22" i="33"/>
  <c r="I22" i="33"/>
  <c r="G22" i="33"/>
  <c r="F22" i="33"/>
  <c r="D22" i="33"/>
  <c r="C22" i="33"/>
  <c r="S21" i="33"/>
  <c r="R21" i="33"/>
  <c r="P21" i="33"/>
  <c r="O21" i="33"/>
  <c r="M21" i="33"/>
  <c r="L21" i="33"/>
  <c r="J21" i="33"/>
  <c r="I21" i="33"/>
  <c r="G21" i="33"/>
  <c r="F21" i="33"/>
  <c r="D21" i="33"/>
  <c r="C21" i="33"/>
  <c r="S20" i="33"/>
  <c r="R20" i="33"/>
  <c r="P20" i="33"/>
  <c r="O20" i="33"/>
  <c r="M20" i="33"/>
  <c r="L20" i="33"/>
  <c r="J20" i="33"/>
  <c r="I20" i="33"/>
  <c r="G20" i="33"/>
  <c r="F20" i="33"/>
  <c r="B20" i="33"/>
  <c r="D20" i="33" s="1"/>
  <c r="K19" i="33"/>
  <c r="J19" i="33"/>
  <c r="I19" i="33"/>
  <c r="B19" i="33"/>
  <c r="E19" i="33" s="1"/>
  <c r="S18" i="33"/>
  <c r="R18" i="33"/>
  <c r="P18" i="33"/>
  <c r="O18" i="33"/>
  <c r="M18" i="33"/>
  <c r="L18" i="33"/>
  <c r="J18" i="33"/>
  <c r="G18" i="33"/>
  <c r="F18" i="33"/>
  <c r="D18" i="33"/>
  <c r="C18" i="33"/>
  <c r="S17" i="33"/>
  <c r="R17" i="33"/>
  <c r="P17" i="33"/>
  <c r="O17" i="33"/>
  <c r="M17" i="33"/>
  <c r="L17" i="33"/>
  <c r="J17" i="33"/>
  <c r="I17" i="33"/>
  <c r="G17" i="33"/>
  <c r="F17" i="33"/>
  <c r="D17" i="33"/>
  <c r="C17" i="33"/>
  <c r="S16" i="33"/>
  <c r="R16" i="33"/>
  <c r="P16" i="33"/>
  <c r="O16" i="33"/>
  <c r="M16" i="33"/>
  <c r="L16" i="33"/>
  <c r="J16" i="33"/>
  <c r="I16" i="33"/>
  <c r="G16" i="33"/>
  <c r="F16" i="33"/>
  <c r="D16" i="33"/>
  <c r="C16" i="33"/>
  <c r="S15" i="33"/>
  <c r="R15" i="33"/>
  <c r="P15" i="33"/>
  <c r="O15" i="33"/>
  <c r="M15" i="33"/>
  <c r="L15" i="33"/>
  <c r="J15" i="33"/>
  <c r="I15" i="33"/>
  <c r="G15" i="33"/>
  <c r="F15" i="33"/>
  <c r="D15" i="33"/>
  <c r="C15" i="33"/>
  <c r="S14" i="33"/>
  <c r="R14" i="33"/>
  <c r="P14" i="33"/>
  <c r="O14" i="33"/>
  <c r="M14" i="33"/>
  <c r="L14" i="33"/>
  <c r="J14" i="33"/>
  <c r="I14" i="33"/>
  <c r="G14" i="33"/>
  <c r="F14" i="33"/>
  <c r="D14" i="33"/>
  <c r="C14" i="33"/>
  <c r="S13" i="33"/>
  <c r="R13" i="33"/>
  <c r="P13" i="33"/>
  <c r="O13" i="33"/>
  <c r="M13" i="33"/>
  <c r="L13" i="33"/>
  <c r="G13" i="33"/>
  <c r="F13" i="33"/>
  <c r="D13" i="33"/>
  <c r="C13" i="33"/>
  <c r="Q11" i="33"/>
  <c r="N11" i="33"/>
  <c r="H11" i="33"/>
  <c r="E11" i="33"/>
  <c r="B11" i="33"/>
  <c r="S10" i="33"/>
  <c r="S11" i="33" s="1"/>
  <c r="R10" i="33"/>
  <c r="R11" i="33" s="1"/>
  <c r="P10" i="33"/>
  <c r="P11" i="33" s="1"/>
  <c r="O10" i="33"/>
  <c r="O11" i="33" s="1"/>
  <c r="M10" i="33"/>
  <c r="M11" i="33" s="1"/>
  <c r="L10" i="33"/>
  <c r="L11" i="33" s="1"/>
  <c r="J10" i="33"/>
  <c r="J11" i="33" s="1"/>
  <c r="I10" i="33"/>
  <c r="I11" i="33" s="1"/>
  <c r="G10" i="33"/>
  <c r="G11" i="33" s="1"/>
  <c r="F10" i="33"/>
  <c r="F11" i="33" s="1"/>
  <c r="D10" i="33"/>
  <c r="D11" i="33" s="1"/>
  <c r="C10" i="33"/>
  <c r="C11" i="33" s="1"/>
  <c r="F5" i="33"/>
  <c r="G5" i="33" s="1"/>
  <c r="G29" i="33" s="1"/>
  <c r="D5" i="33"/>
  <c r="D29" i="33" s="1"/>
  <c r="E48" i="33" l="1"/>
  <c r="D47" i="33"/>
  <c r="D48" i="33" s="1"/>
  <c r="G47" i="33"/>
  <c r="C47" i="33"/>
  <c r="C48" i="33" s="1"/>
  <c r="P47" i="33"/>
  <c r="P48" i="33" s="1"/>
  <c r="O47" i="33"/>
  <c r="O48" i="33" s="1"/>
  <c r="M47" i="33"/>
  <c r="M48" i="33" s="1"/>
  <c r="J47" i="33"/>
  <c r="J48" i="33" s="1"/>
  <c r="C30" i="129"/>
  <c r="I30" i="129"/>
  <c r="F47" i="33"/>
  <c r="F48" i="33" s="1"/>
  <c r="H42" i="36"/>
  <c r="I47" i="33"/>
  <c r="I48" i="33" s="1"/>
  <c r="L42" i="36"/>
  <c r="S12" i="117"/>
  <c r="E33" i="36"/>
  <c r="E42" i="36" s="1"/>
  <c r="L42" i="131"/>
  <c r="G30" i="129"/>
  <c r="L15" i="36"/>
  <c r="D15" i="36"/>
  <c r="W15" i="36"/>
  <c r="B30" i="120"/>
  <c r="E15" i="36"/>
  <c r="H25" i="33"/>
  <c r="K30" i="120"/>
  <c r="K30" i="129"/>
  <c r="U33" i="36"/>
  <c r="U42" i="36" s="1"/>
  <c r="D42" i="36"/>
  <c r="K15" i="131"/>
  <c r="J58" i="119"/>
  <c r="Q15" i="36"/>
  <c r="C42" i="36"/>
  <c r="Q33" i="36"/>
  <c r="Q42" i="36" s="1"/>
  <c r="M40" i="36"/>
  <c r="C30" i="120"/>
  <c r="K15" i="36"/>
  <c r="B46" i="117"/>
  <c r="N46" i="117"/>
  <c r="J30" i="120"/>
  <c r="I30" i="120"/>
  <c r="O15" i="36"/>
  <c r="P15" i="36"/>
  <c r="M33" i="36"/>
  <c r="O15" i="131"/>
  <c r="Q33" i="131"/>
  <c r="Q42" i="131" s="1"/>
  <c r="M40" i="131"/>
  <c r="M30" i="129"/>
  <c r="G15" i="36"/>
  <c r="F35" i="119"/>
  <c r="F58" i="119" s="1"/>
  <c r="M30" i="120"/>
  <c r="I58" i="119"/>
  <c r="I33" i="36"/>
  <c r="C46" i="117"/>
  <c r="I46" i="117"/>
  <c r="O58" i="119"/>
  <c r="D58" i="119"/>
  <c r="L30" i="129"/>
  <c r="M7" i="36"/>
  <c r="M15" i="36" s="1"/>
  <c r="Y13" i="36"/>
  <c r="Y15" i="36" s="1"/>
  <c r="I40" i="36"/>
  <c r="L15" i="131"/>
  <c r="D46" i="117"/>
  <c r="J46" i="117"/>
  <c r="C58" i="119"/>
  <c r="E58" i="119"/>
  <c r="N20" i="120"/>
  <c r="B30" i="129"/>
  <c r="C20" i="33"/>
  <c r="H15" i="36"/>
  <c r="E33" i="131"/>
  <c r="E42" i="131" s="1"/>
  <c r="E46" i="117"/>
  <c r="K46" i="117"/>
  <c r="L58" i="119"/>
  <c r="D30" i="120"/>
  <c r="N16" i="129"/>
  <c r="D15" i="131"/>
  <c r="F46" i="117"/>
  <c r="L46" i="117"/>
  <c r="K58" i="119"/>
  <c r="M58" i="119"/>
  <c r="F30" i="120"/>
  <c r="E30" i="120"/>
  <c r="J30" i="129"/>
  <c r="X15" i="36"/>
  <c r="G42" i="36"/>
  <c r="G46" i="117"/>
  <c r="M46" i="117"/>
  <c r="N40" i="119"/>
  <c r="N45" i="119"/>
  <c r="H58" i="119"/>
  <c r="L30" i="120"/>
  <c r="E30" i="129"/>
  <c r="D30" i="129"/>
  <c r="P7" i="117"/>
  <c r="P8" i="117" s="1"/>
  <c r="S8" i="117" s="1"/>
  <c r="H30" i="120"/>
  <c r="H30" i="129"/>
  <c r="N20" i="129"/>
  <c r="N27" i="129"/>
  <c r="F30" i="129"/>
  <c r="N27" i="120"/>
  <c r="G30" i="120"/>
  <c r="N16" i="120"/>
  <c r="N57" i="119"/>
  <c r="N35" i="119"/>
  <c r="G58" i="119"/>
  <c r="O30" i="117"/>
  <c r="P24" i="117"/>
  <c r="S24" i="117" s="1"/>
  <c r="O21" i="117"/>
  <c r="O15" i="117"/>
  <c r="H46" i="117"/>
  <c r="H15" i="131"/>
  <c r="X15" i="131"/>
  <c r="E7" i="131"/>
  <c r="E15" i="131" s="1"/>
  <c r="M7" i="131"/>
  <c r="M15" i="131" s="1"/>
  <c r="S15" i="131"/>
  <c r="U33" i="131"/>
  <c r="U42" i="131" s="1"/>
  <c r="Y13" i="131"/>
  <c r="Y15" i="131" s="1"/>
  <c r="G42" i="131"/>
  <c r="M33" i="131"/>
  <c r="G15" i="131"/>
  <c r="W15" i="131"/>
  <c r="H42" i="131"/>
  <c r="I40" i="131"/>
  <c r="D42" i="131"/>
  <c r="Q7" i="131"/>
  <c r="Q15" i="131" s="1"/>
  <c r="P15" i="131"/>
  <c r="I33" i="131"/>
  <c r="C42" i="131"/>
  <c r="K48" i="33"/>
  <c r="B48" i="33"/>
  <c r="N48" i="33"/>
  <c r="I5" i="33"/>
  <c r="L5" i="33" s="1"/>
  <c r="M5" i="33" s="1"/>
  <c r="M29" i="33" s="1"/>
  <c r="M19" i="33"/>
  <c r="M24" i="33" s="1"/>
  <c r="M25" i="33" s="1"/>
  <c r="N19" i="33"/>
  <c r="Q19" i="33" s="1"/>
  <c r="R47" i="33"/>
  <c r="R48" i="33" s="1"/>
  <c r="S47" i="33"/>
  <c r="S48" i="33" s="1"/>
  <c r="U7" i="131"/>
  <c r="U15" i="131" s="1"/>
  <c r="N12" i="129"/>
  <c r="N12" i="120"/>
  <c r="B58" i="119"/>
  <c r="S42" i="117"/>
  <c r="P43" i="117"/>
  <c r="S43" i="117" s="1"/>
  <c r="R46" i="117"/>
  <c r="P34" i="117"/>
  <c r="S34" i="117" s="1"/>
  <c r="S33" i="117"/>
  <c r="S37" i="117"/>
  <c r="P39" i="117"/>
  <c r="S39" i="117" s="1"/>
  <c r="O34" i="117"/>
  <c r="P11" i="117"/>
  <c r="P18" i="117"/>
  <c r="P28" i="117"/>
  <c r="O43" i="117"/>
  <c r="O39" i="117"/>
  <c r="Y33" i="131"/>
  <c r="Y42" i="131" s="1"/>
  <c r="K42" i="131"/>
  <c r="O42" i="131"/>
  <c r="S42" i="131"/>
  <c r="Y33" i="36"/>
  <c r="Y42" i="36" s="1"/>
  <c r="K42" i="36"/>
  <c r="O42" i="36"/>
  <c r="S42" i="36"/>
  <c r="L48" i="33"/>
  <c r="E24" i="33"/>
  <c r="E25" i="33" s="1"/>
  <c r="G19" i="33"/>
  <c r="G24" i="33" s="1"/>
  <c r="G25" i="33" s="1"/>
  <c r="F19" i="33"/>
  <c r="F24" i="33" s="1"/>
  <c r="F25" i="33" s="1"/>
  <c r="G48" i="33"/>
  <c r="B24" i="33"/>
  <c r="B25" i="33" s="1"/>
  <c r="C19" i="33"/>
  <c r="L19" i="33"/>
  <c r="L24" i="33" s="1"/>
  <c r="L25" i="33" s="1"/>
  <c r="K24" i="33"/>
  <c r="K25" i="33" s="1"/>
  <c r="D19" i="33"/>
  <c r="D24" i="33" s="1"/>
  <c r="D25" i="33" s="1"/>
  <c r="F29" i="33"/>
  <c r="P25" i="117" l="1"/>
  <c r="S25" i="117" s="1"/>
  <c r="M42" i="36"/>
  <c r="I42" i="36"/>
  <c r="O5" i="33"/>
  <c r="P5" i="33" s="1"/>
  <c r="P29" i="33" s="1"/>
  <c r="L29" i="33"/>
  <c r="M42" i="131"/>
  <c r="J5" i="33"/>
  <c r="J29" i="33" s="1"/>
  <c r="I29" i="33"/>
  <c r="N30" i="129"/>
  <c r="C24" i="33"/>
  <c r="C25" i="33" s="1"/>
  <c r="S7" i="117"/>
  <c r="Q24" i="33"/>
  <c r="Q25" i="33" s="1"/>
  <c r="R19" i="33"/>
  <c r="R24" i="33" s="1"/>
  <c r="R25" i="33" s="1"/>
  <c r="S19" i="33"/>
  <c r="S24" i="33" s="1"/>
  <c r="S25" i="33" s="1"/>
  <c r="N30" i="120"/>
  <c r="N58" i="119"/>
  <c r="O46" i="117"/>
  <c r="I42" i="131"/>
  <c r="O19" i="33"/>
  <c r="O24" i="33" s="1"/>
  <c r="O25" i="33" s="1"/>
  <c r="N24" i="33"/>
  <c r="N25" i="33" s="1"/>
  <c r="P19" i="33"/>
  <c r="P24" i="33" s="1"/>
  <c r="P25" i="33" s="1"/>
  <c r="S28" i="117"/>
  <c r="P30" i="117"/>
  <c r="S30" i="117" s="1"/>
  <c r="P21" i="117"/>
  <c r="S21" i="117" s="1"/>
  <c r="S18" i="117"/>
  <c r="S11" i="117"/>
  <c r="P15" i="117"/>
  <c r="R5" i="33"/>
  <c r="O29" i="33"/>
  <c r="S15" i="117" l="1"/>
  <c r="P46" i="117"/>
  <c r="S46" i="117" s="1"/>
  <c r="S5" i="33"/>
  <c r="S29" i="33" s="1"/>
  <c r="R29" i="33"/>
  <c r="D7" i="34" l="1"/>
  <c r="I13" i="33" s="1"/>
  <c r="I24" i="33" s="1"/>
  <c r="I25" i="33" s="1"/>
  <c r="D8" i="35" l="1"/>
  <c r="J13" i="33" s="1"/>
  <c r="J24" i="33" s="1"/>
  <c r="J25" i="33" s="1"/>
</calcChain>
</file>

<file path=xl/sharedStrings.xml><?xml version="1.0" encoding="utf-8"?>
<sst xmlns="http://schemas.openxmlformats.org/spreadsheetml/2006/main" count="784" uniqueCount="259">
  <si>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</si>
  <si>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</si>
  <si>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</si>
  <si>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</si>
  <si>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</si>
  <si>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</si>
  <si>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</si>
  <si>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</si>
  <si>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</si>
  <si>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</si>
  <si>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</si>
  <si>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</si>
  <si>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BIP</t>
  </si>
  <si>
    <t xml:space="preserve"> </t>
  </si>
  <si>
    <t>OBMC</t>
  </si>
  <si>
    <t>Service Accounts</t>
  </si>
  <si>
    <t>Year-to-Date Total Cost</t>
  </si>
  <si>
    <t>Annual Total Cost</t>
  </si>
  <si>
    <t>Cost Item</t>
  </si>
  <si>
    <t>Date</t>
  </si>
  <si>
    <t xml:space="preserve">  Sub-Total Interruptible</t>
  </si>
  <si>
    <t>Programs</t>
  </si>
  <si>
    <t>Interruptible/Reliability</t>
  </si>
  <si>
    <t>Total All Programs</t>
  </si>
  <si>
    <t>Event Beginning:End</t>
  </si>
  <si>
    <t>Notes:</t>
  </si>
  <si>
    <t>Event Trigger(1)</t>
  </si>
  <si>
    <t>Total Incremental Cost</t>
  </si>
  <si>
    <t>SLRP</t>
  </si>
  <si>
    <t xml:space="preserve"> Budget Category 1 Total</t>
  </si>
  <si>
    <t xml:space="preserve"> Budget Category 2 Total</t>
  </si>
  <si>
    <t>Capacity Bidding Program</t>
  </si>
  <si>
    <t>Event No.</t>
  </si>
  <si>
    <t xml:space="preserve">  Sub-Total Price Response</t>
  </si>
  <si>
    <t>Category 2:  Price Responsive Programs</t>
  </si>
  <si>
    <t xml:space="preserve"> Budget Category 4 Total</t>
  </si>
  <si>
    <t xml:space="preserve"> Budget Category 5 Total</t>
  </si>
  <si>
    <t xml:space="preserve"> Budget Category 6 Total</t>
  </si>
  <si>
    <t xml:space="preserve"> Budget Category 7 Total</t>
  </si>
  <si>
    <t xml:space="preserve"> Budget Category 8 Total</t>
  </si>
  <si>
    <t xml:space="preserve"> Budget Category 10 Total</t>
  </si>
  <si>
    <t>Price Responsive</t>
  </si>
  <si>
    <t>Program</t>
  </si>
  <si>
    <t xml:space="preserve">August </t>
  </si>
  <si>
    <t xml:space="preserve">September </t>
  </si>
  <si>
    <t xml:space="preserve">November </t>
  </si>
  <si>
    <t>Percent Funding</t>
  </si>
  <si>
    <t>FUND SHIFTING DOCUMENTATION PER DECISION 09-08-027 ORDERING PARAGRAPH 35</t>
  </si>
  <si>
    <t>OP 35:</t>
  </si>
  <si>
    <t>The utilities may shift up to 50% of a program funds to another program's funds to another program within the same budget category.</t>
  </si>
  <si>
    <t>The utilities shall document the amount of and reason for each shift in their monthly demand response reports.</t>
  </si>
  <si>
    <t>Fund Shift</t>
  </si>
  <si>
    <t>Rationale for Fundshift</t>
  </si>
  <si>
    <t>Programs Impacted</t>
  </si>
  <si>
    <t>Program Category</t>
  </si>
  <si>
    <t>Total</t>
  </si>
  <si>
    <t>Fundshift Adjustments (a)</t>
  </si>
  <si>
    <t>(a) See "Fund Shift Log" for explanations.</t>
  </si>
  <si>
    <t>Year-to-Date Program Expenditures</t>
  </si>
  <si>
    <t>Year-to-Date Event Summary</t>
  </si>
  <si>
    <t>General Program</t>
  </si>
  <si>
    <t>BIP - 30 minute option</t>
  </si>
  <si>
    <t>CPP-D</t>
  </si>
  <si>
    <t>Summer Saver Residential</t>
  </si>
  <si>
    <t>Summer Saver Commercial</t>
  </si>
  <si>
    <t xml:space="preserve">CBP - Day-Ahead </t>
  </si>
  <si>
    <t xml:space="preserve">CBP - Day-Of </t>
  </si>
  <si>
    <t>All C &amp; I customers &gt; 100kW</t>
  </si>
  <si>
    <t>All non-residential customers with interval meter</t>
  </si>
  <si>
    <t>n/a</t>
  </si>
  <si>
    <t>Residential customers with AC</t>
  </si>
  <si>
    <t>Commercial Customers &lt; 100kw</t>
  </si>
  <si>
    <t>Programs in General Rate Case</t>
  </si>
  <si>
    <t>Administrative (O&amp;M)</t>
  </si>
  <si>
    <t xml:space="preserve">AL-TOU-CP </t>
  </si>
  <si>
    <t>Peak Generation (RBRP)</t>
  </si>
  <si>
    <t xml:space="preserve">  Total Administrative (O&amp;M)</t>
  </si>
  <si>
    <t>Capital</t>
  </si>
  <si>
    <t>Peak Generation (RBRP) (1)</t>
  </si>
  <si>
    <t xml:space="preserve">  Total Capital</t>
  </si>
  <si>
    <t>Measurement and Evaluation</t>
  </si>
  <si>
    <t xml:space="preserve">Peak Generation (RBRP) </t>
  </si>
  <si>
    <t>Total M&amp;E</t>
  </si>
  <si>
    <t>Customer Incentives</t>
  </si>
  <si>
    <t>Total Customer Incentives</t>
  </si>
  <si>
    <t xml:space="preserve">Revenue from Penalties </t>
  </si>
  <si>
    <t>Total GRC Program Costs</t>
  </si>
  <si>
    <t>(1) Capital costs for meters provided free to customers and charged to the programs.</t>
  </si>
  <si>
    <t>Year-to-Date Cost</t>
  </si>
  <si>
    <t>% of Budget</t>
  </si>
  <si>
    <t>Base Interruptible Program</t>
  </si>
  <si>
    <t>Technology Incentives</t>
  </si>
  <si>
    <t>Emerging Markets/Technologies</t>
  </si>
  <si>
    <t>Celerity **</t>
  </si>
  <si>
    <t>Summer Saver **</t>
  </si>
  <si>
    <t>Permanent Load Shifting</t>
  </si>
  <si>
    <t xml:space="preserve">  Total Administrative (O&amp;M) </t>
  </si>
  <si>
    <t xml:space="preserve">Capital </t>
  </si>
  <si>
    <t>Emerging Markets</t>
  </si>
  <si>
    <t xml:space="preserve">  Total Capital </t>
  </si>
  <si>
    <t xml:space="preserve">Measurement and Evaluation </t>
  </si>
  <si>
    <t xml:space="preserve">Summer Saver </t>
  </si>
  <si>
    <t>General Administration</t>
  </si>
  <si>
    <t xml:space="preserve">Total M&amp;E </t>
  </si>
  <si>
    <t xml:space="preserve">Base Interruptible Program </t>
  </si>
  <si>
    <t xml:space="preserve">Total </t>
  </si>
  <si>
    <t>** Budgeted under a different proceeding</t>
  </si>
  <si>
    <t>Base Interruptible Program (BIP)</t>
  </si>
  <si>
    <t>Capacity Bidding Program (CBP)</t>
  </si>
  <si>
    <t>Technical Incentives (TI)</t>
  </si>
  <si>
    <t>Emerging Technologies (ET)</t>
  </si>
  <si>
    <t>Ex Ante Estimated MW</t>
  </si>
  <si>
    <t>Ex Post Estimated MW</t>
  </si>
  <si>
    <t>Price Response</t>
  </si>
  <si>
    <t>Average Ex Ante Load Impact kW / Customer</t>
  </si>
  <si>
    <t>Eligibility Criteria (Refer to tariff for specifics)</t>
  </si>
  <si>
    <t>Average Ex Post Load Impact kW / Customer</t>
  </si>
  <si>
    <t>TA Identified MWs</t>
  </si>
  <si>
    <t>Auto DR Verified MWs</t>
  </si>
  <si>
    <t>TI Verified MWs</t>
  </si>
  <si>
    <t>Total Technology MWs</t>
  </si>
  <si>
    <t>CBP</t>
  </si>
  <si>
    <t>TA (may also be enrolled in TI and AutoDR)</t>
  </si>
  <si>
    <t>Total TA MWs</t>
  </si>
  <si>
    <t>AMP</t>
  </si>
  <si>
    <t>DBP</t>
  </si>
  <si>
    <t>Peak Choice - Best Effort</t>
  </si>
  <si>
    <t>Peak Choice - Committed</t>
  </si>
  <si>
    <t xml:space="preserve">Load Reduction     kW </t>
  </si>
  <si>
    <t>Program Tolled Hours (Annual)</t>
  </si>
  <si>
    <t>PTR</t>
  </si>
  <si>
    <t>Research</t>
  </si>
  <si>
    <t>Category 1:  Reliability Programs</t>
  </si>
  <si>
    <t>Peak Time Rebate (PTR)</t>
  </si>
  <si>
    <t>Category 4:  Emerging &amp; Enabling Technologies</t>
  </si>
  <si>
    <t>Small Customer Technology Incentives (SCTD)</t>
  </si>
  <si>
    <t xml:space="preserve">Category 5:  Pilots </t>
  </si>
  <si>
    <t>New Construction DR</t>
  </si>
  <si>
    <t>Category 6:  Evaluation, Measurement &amp; Verification</t>
  </si>
  <si>
    <t>DRMEC</t>
  </si>
  <si>
    <t>Category 7:  Marketing Education &amp; Outreach</t>
  </si>
  <si>
    <t>Category 8:  DR System Support Activities</t>
  </si>
  <si>
    <t>Regulatory Policy &amp; Program Support</t>
  </si>
  <si>
    <t>IT Infrastructure &amp; System Support</t>
  </si>
  <si>
    <t>Category 10:  Special Projects</t>
  </si>
  <si>
    <t>SCTD</t>
  </si>
  <si>
    <t>;</t>
  </si>
  <si>
    <t>Authorized Budget (if Applicable)</t>
  </si>
  <si>
    <t>Carryover Expenditures to Date 2012 - 2014</t>
  </si>
  <si>
    <t xml:space="preserve">I. STATEWIDE MARKETING </t>
  </si>
  <si>
    <t xml:space="preserve">I. TOTAL STATEWIDE MARKETING </t>
  </si>
  <si>
    <t>II. UTILITY MARKETING BY ACTIVITY * (1)</t>
  </si>
  <si>
    <t>Customer Research</t>
  </si>
  <si>
    <t>Collateral- Development, Printing, Distribution etc. (all non-labor costs)</t>
  </si>
  <si>
    <t>Paid Media</t>
  </si>
  <si>
    <t>Other Costs</t>
  </si>
  <si>
    <t>Labor</t>
  </si>
  <si>
    <t>II. TOTAL UTILITY MARKETING BY ACTIVITY</t>
  </si>
  <si>
    <t xml:space="preserve">III. UTILITY MARKETING BY ITEMIZED COST </t>
  </si>
  <si>
    <t xml:space="preserve">III. TOTAL UTILITY MARKETING BY ITEMIZED COST </t>
  </si>
  <si>
    <t>IV. UTILITY MARKETING BY CUSTOMER SEGMENT</t>
  </si>
  <si>
    <t>Large Commercial and Industrial</t>
  </si>
  <si>
    <t>Small and Medium Commercial</t>
  </si>
  <si>
    <t>Residential</t>
  </si>
  <si>
    <t>IV. TOTAL UTILITY MARKETING BY CUSTOMER SEGMENT</t>
  </si>
  <si>
    <t>SAN DIEGO GAS AND ELECTRIC</t>
  </si>
  <si>
    <r>
      <t>PROGRAMS, RATES &amp; ACTIVITES WHICH DO NOT REQUIRE ITEMIZED ACCOUNTING</t>
    </r>
    <r>
      <rPr>
        <b/>
        <vertAlign val="superscript"/>
        <sz val="10"/>
        <rFont val="Calibri"/>
        <family val="2"/>
      </rPr>
      <t xml:space="preserve"> 1,2</t>
    </r>
  </si>
  <si>
    <t>Small Customer Technology Deployment</t>
  </si>
  <si>
    <t>Customer Awareness, Education and Outreach (CEAO - DR)</t>
  </si>
  <si>
    <r>
      <t>PROGRAMS &amp; RATES WHICH REQUIRE ITEMIZED ACCOUNTING</t>
    </r>
    <r>
      <rPr>
        <b/>
        <vertAlign val="superscript"/>
        <sz val="10"/>
        <rFont val="Calibri"/>
        <family val="2"/>
      </rPr>
      <t xml:space="preserve"> 3,4  </t>
    </r>
  </si>
  <si>
    <t xml:space="preserve">Reduce Your Use (PTR) </t>
  </si>
  <si>
    <t>PTR Residential</t>
  </si>
  <si>
    <t>Eligible Accounts as of Aug 31, 2012</t>
  </si>
  <si>
    <t xml:space="preserve">All residential customers </t>
  </si>
  <si>
    <t>SW-COM-Customer Services (TA)</t>
  </si>
  <si>
    <t>SW-IND-Customer Services (TA)</t>
  </si>
  <si>
    <t>SW-AG-Customer Services (TA)</t>
  </si>
  <si>
    <t>Local-IDSM-ME&amp;O-Behavioral Programs</t>
  </si>
  <si>
    <t>Local-IDSM-ME&amp;O-Local Marketing</t>
  </si>
  <si>
    <t xml:space="preserve">DBP </t>
  </si>
  <si>
    <t>Non-residential customers who can provide load reduciton &gt; 5 MW</t>
  </si>
  <si>
    <t>Agricultural</t>
  </si>
  <si>
    <t>TOU-A-P Small Commercial</t>
  </si>
  <si>
    <t>Program-to-Date Total Expenditures 2015-2016</t>
  </si>
  <si>
    <t>2-Year Funding</t>
  </si>
  <si>
    <t>Demand Bidding Program (DBP)</t>
  </si>
  <si>
    <t>Local Marketing Education &amp; Outreach</t>
  </si>
  <si>
    <t>Local-IDSM-ME&amp;O-Small Commercial Behavior</t>
  </si>
  <si>
    <t>Information Technology</t>
  </si>
  <si>
    <t>RNC</t>
  </si>
  <si>
    <t>Regulatory Policy</t>
  </si>
  <si>
    <t>2015- 2016 Funding Cycle Customer Communication, Marketing, and Outreach</t>
  </si>
  <si>
    <t>2015-2016 Total Expenditures</t>
  </si>
  <si>
    <t xml:space="preserve">IOU Administrative Costs </t>
  </si>
  <si>
    <t>Statewide ME&amp;O contract</t>
  </si>
  <si>
    <t>TOTAL AUTHORIZED UTILITY MARKETING BUDGET FOR 2015-2016</t>
  </si>
  <si>
    <t>Smart Pricing</t>
  </si>
  <si>
    <t>Local Marketing Education and Outreach</t>
  </si>
  <si>
    <t xml:space="preserve">Local IDSM Marketing </t>
  </si>
  <si>
    <r>
      <t>AMDRMA Account End of Month Balance for WG2</t>
    </r>
    <r>
      <rPr>
        <b/>
        <vertAlign val="superscript"/>
        <sz val="10"/>
        <rFont val="Arial"/>
        <family val="2"/>
      </rPr>
      <t>1</t>
    </r>
  </si>
  <si>
    <t>SCTD Residential</t>
  </si>
  <si>
    <t>SCTD Commercial</t>
  </si>
  <si>
    <t>Residential customers</t>
  </si>
  <si>
    <t xml:space="preserve">Commercial customers with AC </t>
  </si>
  <si>
    <t>Non-residential customers on TOU rates</t>
  </si>
  <si>
    <t>Customers on TOU rates</t>
  </si>
  <si>
    <t>Small Commercial customers with demand less than 20kW</t>
  </si>
  <si>
    <r>
      <t xml:space="preserve">Residential customers </t>
    </r>
    <r>
      <rPr>
        <sz val="11"/>
        <rFont val="Calibri"/>
        <family val="2"/>
        <scheme val="minor"/>
      </rPr>
      <t>with AC and other constraints</t>
    </r>
  </si>
  <si>
    <t>Residential customers with AC and other constraints</t>
  </si>
  <si>
    <t xml:space="preserve"> - Permanent Load Shifting Service Accounts - SDG&amp;E only reports the active service accounts.</t>
  </si>
  <si>
    <t>Detailed Breakdown of MWs To Date in TA/Auto DR/TI Programs (A)</t>
  </si>
  <si>
    <t xml:space="preserve">CPP-D </t>
  </si>
  <si>
    <t>·         TA Identified MW</t>
  </si>
  <si>
    <t>Represents identified MW for service accounts from completed TA in accumulative value (may or may not be enrolled in DR).</t>
  </si>
  <si>
    <t>·         AutoDR Verified MW</t>
  </si>
  <si>
    <t>Represents verified/tested MW for service accounts from complete TI (i.e. must be enrolled in DR) and must be Auto DR in accumulative value.</t>
  </si>
  <si>
    <t>·         TI Verified MW</t>
  </si>
  <si>
    <t>Represents verified MW for service accounts from completed TI (i.e. must be enrolled in DR) but not AutoDR in accumulative value; MW reported here not necessarily amount enrolled in DR.</t>
  </si>
  <si>
    <t>·         Total Technology MW</t>
  </si>
  <si>
    <t>Represents the sum of verified MW associated with the service accounts from the completed TI (i.e. must be enrolled in DR), including Auto DR and non-Auto DR.</t>
  </si>
  <si>
    <t>Demand Response Auction Mechanism Pilot (DRAM)</t>
  </si>
  <si>
    <t>ddd</t>
  </si>
  <si>
    <t>DRAM</t>
  </si>
  <si>
    <t>2015 Expenditures</t>
  </si>
  <si>
    <t>Year-to Date 2016 Expenditures</t>
  </si>
  <si>
    <t>SW-ME&amp;O</t>
  </si>
  <si>
    <t>Eligible Accounts as January 2016</t>
  </si>
  <si>
    <t>Eligible Accounts as of January 2016</t>
  </si>
  <si>
    <t>Price-Responsive Programs</t>
  </si>
  <si>
    <t>To fund DRAM per D.14-12-024</t>
  </si>
  <si>
    <t>Demand Response Auction Mechanism Pilot</t>
  </si>
  <si>
    <t>To fund additional Incentives per AL2801-E</t>
  </si>
  <si>
    <t>Rule 32</t>
  </si>
  <si>
    <t>Total DPDRMA Program Costs</t>
  </si>
  <si>
    <t>Per D.12-04-045, Technical Audits was only funded through 2012.  Ordering Paragraph 74 per D.12-04-045 requested SDG&amp;E to seek funding for Integrated Demand Side Management (IDSM) activities in their request for 2013-2014 Energy Efficiency funding.</t>
  </si>
  <si>
    <t xml:space="preserve"> - Effective May 2016, Capacity Bidding will report the number of nominations not enrollments.</t>
  </si>
  <si>
    <t xml:space="preserve">- Estimated Average Ex Ante Load Impact kW/Customer = Average kW / Customer, under 1-in-2 weather conditions, of an event that would occur from 1 - 6 pm on the system peak day of the month, as reported in the load impact reports filed in April 2015. </t>
  </si>
  <si>
    <t xml:space="preserve">Notes: </t>
  </si>
  <si>
    <t xml:space="preserve"> - Estimated Average Ex Post Load Impact kW / Customer = Average kW / Customer service account over all actual event hours for the preceeding year if events occurred, as reported in the load impact reports filed in April 2015.  </t>
  </si>
  <si>
    <t>Shall remain the same since the program design has changed to only allow Auto DR Technology to receive incentives.</t>
  </si>
  <si>
    <r>
      <rPr>
        <vertAlign val="superscript"/>
        <sz val="9"/>
        <rFont val="Calibri"/>
        <family val="2"/>
      </rPr>
      <t>4</t>
    </r>
    <r>
      <rPr>
        <sz val="9"/>
        <rFont val="Calibri"/>
        <family val="2"/>
      </rPr>
      <t xml:space="preserve"> Programs, Rates &amp; Activities does not include "Critical Peak Pricing &lt; 200kW" as program funding is not approved or directed in D.12-04-045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</si>
  <si>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Programs, Rates &amp; Activities does not include SDG&amp;E's Summer Saver program as program funding is not approved or directed in D.12-04-045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</si>
  <si>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Programs, Rates &amp; Activities does not include "Critical Peak Pricing &gt; 200kW" (CPP-D) as program funding is not approved or directed in D.12-04-045</t>
    </r>
  </si>
  <si>
    <r>
      <t>1</t>
    </r>
    <r>
      <rPr>
        <sz val="9"/>
        <rFont val="Calibri"/>
        <family val="2"/>
      </rPr>
      <t xml:space="preserve"> Programs, Rates &amp; Activities does not include "Marketing My Account/Energy and Integrated Online Audit Tools" - the 2012 ICEAT program is funded through D.09-09-047</t>
    </r>
  </si>
  <si>
    <t xml:space="preserve">Capacity Bidding Program - Day Of </t>
  </si>
  <si>
    <t>Met Price Triggers</t>
  </si>
  <si>
    <t xml:space="preserve"> 3:00 PM to 7:00 PM</t>
  </si>
  <si>
    <t>Summer Saver Residential&amp;Commercial</t>
  </si>
  <si>
    <t>System load</t>
  </si>
  <si>
    <t>- The Estimated Average Ex Post Load Impacts kW / Customer were updated April-Dec (Programs: BIP-30 minute option, Summer Saver Residential, Summer Saver Commericial and SCTD Commercial). Reason: Adjusted hours to reflect accuracy of the results.</t>
  </si>
  <si>
    <t>- The Estimated Average Ex Ante Load Impacts kW / Customer were updated from May through Oct for CBP Day-Of. Reason: Adjusted hours to reflect accuracy of the results.</t>
  </si>
  <si>
    <t>- The Estimated Average Ex Post Load Impacts kW / Customer were updated May-Dec (Programs: CPB Day Ahead and CPB Day Of) . Reason: Adjusted hours to reflect accuracy of the results.</t>
  </si>
  <si>
    <t xml:space="preserve"> - PTR Residential -  Effective  May 1, 2014 per  D.13-07-003.  Data reflects cumulative PTR residential customers who opt into the  program.</t>
  </si>
  <si>
    <t xml:space="preserve">TA Identified MWs column:  </t>
  </si>
  <si>
    <t xml:space="preserve">TI Verified MWs column:  </t>
  </si>
  <si>
    <t xml:space="preserve">AutoDR Verified MWs column:  </t>
  </si>
  <si>
    <t xml:space="preserve">Total Technology MWs column:  </t>
  </si>
  <si>
    <t>Capacity Bidding Program - Day Ahead</t>
  </si>
  <si>
    <t>AL-TOU-CP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</si>
</sst>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#,##0.0"/>
    <numFmt numFmtId="167" formatCode="0.0%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mm/dd/yy;@"/>
    <numFmt numFmtId="172" formatCode="0.0"/>
    <numFmt numFmtId="173" formatCode="0.0_);[Red]\(0.0\)"/>
    <numFmt numFmtId="174" formatCode="_(* #,##0.0_);_(* \(#,##0.0\);_(* &quot;-&quot;_);_(@_)"/>
    <numFmt numFmtId="175" formatCode="_(&quot;$&quot;* #,##0.0_);_(&quot;$&quot;* \(#,##0.0\);_(&quot;$&quot;* &quot;-&quot;??_);_(@_)"/>
    <numFmt numFmtId="176" formatCode="0.00000"/>
    <numFmt numFmtId="177" formatCode="0.000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1F497D"/>
      <name val="Calibri"/>
      <family val="2"/>
    </font>
    <font>
      <sz val="11"/>
      <color rgb="FF000000"/>
      <name val="Calibri"/>
      <family val="2"/>
    </font>
    <font>
      <sz val="10"/>
      <color rgb="FF0070C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10"/>
      <name val="Calibri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1"/>
      <color rgb="FF1F497D"/>
      <name val="Calibri"/>
      <family val="2"/>
    </font>
    <font>
      <b/>
      <sz val="11"/>
      <name val="Calibri"/>
      <family val="2"/>
    </font>
    <font>
      <sz val="10"/>
      <color rgb="FFFF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4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1" fillId="27" borderId="0" applyNumberFormat="0" applyBorder="0" applyAlignment="0" applyProtection="0"/>
    <xf numFmtId="0" fontId="13" fillId="18" borderId="0" applyNumberFormat="0" applyBorder="0" applyAlignment="0" applyProtection="0"/>
    <xf numFmtId="0" fontId="14" fillId="28" borderId="1" applyNumberFormat="0" applyAlignment="0" applyProtection="0"/>
    <xf numFmtId="0" fontId="15" fillId="19" borderId="2" applyNumberFormat="0" applyAlignment="0" applyProtection="0"/>
    <xf numFmtId="4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7" borderId="1" applyNumberFormat="0" applyAlignment="0" applyProtection="0"/>
    <xf numFmtId="0" fontId="23" fillId="0" borderId="6" applyNumberFormat="0" applyFill="0" applyAlignment="0" applyProtection="0"/>
    <xf numFmtId="0" fontId="24" fillId="27" borderId="0" applyNumberFormat="0" applyBorder="0" applyAlignment="0" applyProtection="0"/>
    <xf numFmtId="0" fontId="5" fillId="0" borderId="0"/>
    <xf numFmtId="0" fontId="7" fillId="0" borderId="0"/>
    <xf numFmtId="0" fontId="5" fillId="26" borderId="7" applyNumberFormat="0" applyFont="0" applyAlignment="0" applyProtection="0"/>
    <xf numFmtId="0" fontId="25" fillId="28" borderId="8" applyNumberFormat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26" fillId="33" borderId="9" applyNumberFormat="0" applyProtection="0">
      <alignment vertical="center"/>
    </xf>
    <xf numFmtId="4" fontId="27" fillId="33" borderId="9" applyNumberFormat="0" applyProtection="0">
      <alignment vertical="center"/>
    </xf>
    <xf numFmtId="4" fontId="26" fillId="33" borderId="9" applyNumberFormat="0" applyProtection="0">
      <alignment horizontal="left" vertical="center" indent="1"/>
    </xf>
    <xf numFmtId="0" fontId="26" fillId="33" borderId="9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9" fillId="7" borderId="9" applyNumberFormat="0" applyProtection="0">
      <alignment horizontal="right" vertical="center"/>
    </xf>
    <xf numFmtId="4" fontId="9" fillId="3" borderId="9" applyNumberFormat="0" applyProtection="0">
      <alignment horizontal="right" vertical="center"/>
    </xf>
    <xf numFmtId="4" fontId="9" fillId="34" borderId="9" applyNumberFormat="0" applyProtection="0">
      <alignment horizontal="right" vertical="center"/>
    </xf>
    <xf numFmtId="4" fontId="9" fillId="35" borderId="9" applyNumberFormat="0" applyProtection="0">
      <alignment horizontal="right" vertical="center"/>
    </xf>
    <xf numFmtId="4" fontId="9" fillId="36" borderId="9" applyNumberFormat="0" applyProtection="0">
      <alignment horizontal="right" vertical="center"/>
    </xf>
    <xf numFmtId="4" fontId="9" fillId="37" borderId="9" applyNumberFormat="0" applyProtection="0">
      <alignment horizontal="right" vertical="center"/>
    </xf>
    <xf numFmtId="4" fontId="9" fillId="9" borderId="9" applyNumberFormat="0" applyProtection="0">
      <alignment horizontal="right" vertical="center"/>
    </xf>
    <xf numFmtId="4" fontId="9" fillId="38" borderId="9" applyNumberFormat="0" applyProtection="0">
      <alignment horizontal="right" vertical="center"/>
    </xf>
    <xf numFmtId="4" fontId="9" fillId="39" borderId="9" applyNumberFormat="0" applyProtection="0">
      <alignment horizontal="right" vertical="center"/>
    </xf>
    <xf numFmtId="4" fontId="26" fillId="40" borderId="10" applyNumberFormat="0" applyProtection="0">
      <alignment horizontal="left" vertical="center" indent="1"/>
    </xf>
    <xf numFmtId="4" fontId="9" fillId="41" borderId="0" applyNumberFormat="0" applyProtection="0">
      <alignment horizontal="left" vertical="center" indent="1"/>
    </xf>
    <xf numFmtId="4" fontId="28" fillId="8" borderId="0" applyNumberFormat="0" applyProtection="0">
      <alignment horizontal="left" vertical="center" indent="1"/>
    </xf>
    <xf numFmtId="4" fontId="9" fillId="2" borderId="9" applyNumberFormat="0" applyProtection="0">
      <alignment horizontal="right" vertical="center"/>
    </xf>
    <xf numFmtId="4" fontId="7" fillId="41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5" fillId="8" borderId="9" applyNumberFormat="0" applyProtection="0">
      <alignment horizontal="left" vertical="center" indent="1"/>
    </xf>
    <xf numFmtId="0" fontId="5" fillId="8" borderId="9" applyNumberFormat="0" applyProtection="0">
      <alignment horizontal="left" vertical="top" indent="1"/>
    </xf>
    <xf numFmtId="0" fontId="5" fillId="2" borderId="9" applyNumberFormat="0" applyProtection="0">
      <alignment horizontal="left" vertical="center" indent="1"/>
    </xf>
    <xf numFmtId="0" fontId="5" fillId="2" borderId="9" applyNumberFormat="0" applyProtection="0">
      <alignment horizontal="left" vertical="top" indent="1"/>
    </xf>
    <xf numFmtId="0" fontId="5" fillId="6" borderId="9" applyNumberFormat="0" applyProtection="0">
      <alignment horizontal="left" vertical="center" indent="1"/>
    </xf>
    <xf numFmtId="0" fontId="5" fillId="6" borderId="9" applyNumberFormat="0" applyProtection="0">
      <alignment horizontal="left" vertical="top" indent="1"/>
    </xf>
    <xf numFmtId="0" fontId="5" fillId="41" borderId="9" applyNumberFormat="0" applyProtection="0">
      <alignment horizontal="left" vertical="center" indent="1"/>
    </xf>
    <xf numFmtId="0" fontId="5" fillId="41" borderId="9" applyNumberFormat="0" applyProtection="0">
      <alignment horizontal="left" vertical="top" indent="1"/>
    </xf>
    <xf numFmtId="0" fontId="5" fillId="5" borderId="11" applyNumberFormat="0">
      <protection locked="0"/>
    </xf>
    <xf numFmtId="4" fontId="9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9" fillId="4" borderId="9" applyNumberFormat="0" applyProtection="0">
      <alignment horizontal="left" vertical="center" indent="1"/>
    </xf>
    <xf numFmtId="0" fontId="9" fillId="4" borderId="9" applyNumberFormat="0" applyProtection="0">
      <alignment horizontal="left" vertical="top" indent="1"/>
    </xf>
    <xf numFmtId="4" fontId="9" fillId="41" borderId="9" applyNumberFormat="0" applyProtection="0">
      <alignment horizontal="right" vertical="center"/>
    </xf>
    <xf numFmtId="4" fontId="29" fillId="41" borderId="9" applyNumberFormat="0" applyProtection="0">
      <alignment horizontal="right" vertical="center"/>
    </xf>
    <xf numFmtId="4" fontId="9" fillId="2" borderId="9" applyNumberFormat="0" applyProtection="0">
      <alignment horizontal="left" vertical="center" indent="1"/>
    </xf>
    <xf numFmtId="0" fontId="9" fillId="2" borderId="9" applyNumberFormat="0" applyProtection="0">
      <alignment horizontal="left" vertical="top" indent="1"/>
    </xf>
    <xf numFmtId="4" fontId="30" fillId="42" borderId="0" applyNumberFormat="0" applyProtection="0">
      <alignment horizontal="left" vertical="center" indent="1"/>
    </xf>
    <xf numFmtId="4" fontId="31" fillId="41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44" fontId="5" fillId="0" borderId="0" applyFont="0" applyFill="0" applyBorder="0" applyAlignment="0" applyProtection="0"/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34" borderId="9" applyNumberFormat="0" applyProtection="0">
      <alignment horizontal="right" vertical="center"/>
    </xf>
    <xf numFmtId="4" fontId="7" fillId="35" borderId="9" applyNumberFormat="0" applyProtection="0">
      <alignment horizontal="right" vertical="center"/>
    </xf>
    <xf numFmtId="4" fontId="7" fillId="36" borderId="9" applyNumberFormat="0" applyProtection="0">
      <alignment horizontal="right" vertical="center"/>
    </xf>
    <xf numFmtId="4" fontId="7" fillId="37" borderId="9" applyNumberFormat="0" applyProtection="0">
      <alignment horizontal="right" vertical="center"/>
    </xf>
    <xf numFmtId="4" fontId="7" fillId="9" borderId="9" applyNumberFormat="0" applyProtection="0">
      <alignment horizontal="right" vertical="center"/>
    </xf>
    <xf numFmtId="4" fontId="7" fillId="38" borderId="9" applyNumberFormat="0" applyProtection="0">
      <alignment horizontal="right" vertical="center"/>
    </xf>
    <xf numFmtId="4" fontId="7" fillId="39" borderId="9" applyNumberFormat="0" applyProtection="0">
      <alignment horizontal="right" vertical="center"/>
    </xf>
    <xf numFmtId="4" fontId="7" fillId="41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7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1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9" fontId="60" fillId="0" borderId="0" applyFont="0" applyFill="0" applyBorder="0" applyAlignment="0" applyProtection="0"/>
    <xf numFmtId="0" fontId="66" fillId="0" borderId="0"/>
    <xf numFmtId="0" fontId="4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3" fillId="18" borderId="0" applyNumberFormat="0" applyBorder="0" applyAlignment="0" applyProtection="0"/>
    <xf numFmtId="0" fontId="14" fillId="28" borderId="1" applyNumberFormat="0" applyAlignment="0" applyProtection="0"/>
    <xf numFmtId="0" fontId="15" fillId="19" borderId="2" applyNumberFormat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7" borderId="1" applyNumberFormat="0" applyAlignment="0" applyProtection="0"/>
    <xf numFmtId="0" fontId="23" fillId="0" borderId="6" applyNumberFormat="0" applyFill="0" applyAlignment="0" applyProtection="0"/>
    <xf numFmtId="0" fontId="24" fillId="27" borderId="0" applyNumberFormat="0" applyBorder="0" applyAlignment="0" applyProtection="0"/>
    <xf numFmtId="0" fontId="5" fillId="26" borderId="7" applyNumberFormat="0" applyFont="0" applyAlignment="0" applyProtection="0"/>
    <xf numFmtId="0" fontId="25" fillId="28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3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69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3" fillId="18" borderId="0" applyNumberFormat="0" applyBorder="0" applyAlignment="0" applyProtection="0"/>
    <xf numFmtId="0" fontId="14" fillId="28" borderId="1" applyNumberFormat="0" applyAlignment="0" applyProtection="0"/>
    <xf numFmtId="0" fontId="15" fillId="19" borderId="2" applyNumberFormat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7" borderId="1" applyNumberFormat="0" applyAlignment="0" applyProtection="0"/>
    <xf numFmtId="0" fontId="23" fillId="0" borderId="6" applyNumberFormat="0" applyFill="0" applyAlignment="0" applyProtection="0"/>
    <xf numFmtId="0" fontId="24" fillId="27" borderId="0" applyNumberFormat="0" applyBorder="0" applyAlignment="0" applyProtection="0"/>
    <xf numFmtId="0" fontId="5" fillId="26" borderId="7" applyNumberFormat="0" applyFont="0" applyAlignment="0" applyProtection="0"/>
    <xf numFmtId="0" fontId="25" fillId="28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3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3" fillId="18" borderId="0" applyNumberFormat="0" applyBorder="0" applyAlignment="0" applyProtection="0"/>
    <xf numFmtId="0" fontId="14" fillId="28" borderId="1" applyNumberFormat="0" applyAlignment="0" applyProtection="0"/>
    <xf numFmtId="0" fontId="15" fillId="19" borderId="2" applyNumberFormat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7" borderId="1" applyNumberFormat="0" applyAlignment="0" applyProtection="0"/>
    <xf numFmtId="0" fontId="23" fillId="0" borderId="6" applyNumberFormat="0" applyFill="0" applyAlignment="0" applyProtection="0"/>
    <xf numFmtId="0" fontId="24" fillId="27" borderId="0" applyNumberFormat="0" applyBorder="0" applyAlignment="0" applyProtection="0"/>
    <xf numFmtId="0" fontId="5" fillId="26" borderId="7" applyNumberFormat="0" applyFont="0" applyAlignment="0" applyProtection="0"/>
    <xf numFmtId="0" fontId="25" fillId="28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3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3" fillId="18" borderId="0" applyNumberFormat="0" applyBorder="0" applyAlignment="0" applyProtection="0"/>
    <xf numFmtId="0" fontId="14" fillId="28" borderId="1" applyNumberFormat="0" applyAlignment="0" applyProtection="0"/>
    <xf numFmtId="0" fontId="15" fillId="19" borderId="2" applyNumberFormat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7" borderId="1" applyNumberFormat="0" applyAlignment="0" applyProtection="0"/>
    <xf numFmtId="0" fontId="23" fillId="0" borderId="6" applyNumberFormat="0" applyFill="0" applyAlignment="0" applyProtection="0"/>
    <xf numFmtId="0" fontId="24" fillId="27" borderId="0" applyNumberFormat="0" applyBorder="0" applyAlignment="0" applyProtection="0"/>
    <xf numFmtId="0" fontId="5" fillId="26" borderId="7" applyNumberFormat="0" applyFont="0" applyAlignment="0" applyProtection="0"/>
    <xf numFmtId="0" fontId="25" fillId="28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3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7">
    <xf numFmtId="0" fontId="0" fillId="0" borderId="0" xfId="0"/>
    <xf numFmtId="3" fontId="5" fillId="0" borderId="24" xfId="0" applyNumberFormat="1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165" fontId="5" fillId="0" borderId="25" xfId="0" applyNumberFormat="1" applyFont="1" applyFill="1" applyBorder="1" applyAlignment="1" applyProtection="1">
      <alignment horizontal="center"/>
    </xf>
    <xf numFmtId="165" fontId="5" fillId="0" borderId="24" xfId="0" applyNumberFormat="1" applyFont="1" applyFill="1" applyBorder="1" applyAlignment="1" applyProtection="1">
      <alignment horizontal="center"/>
    </xf>
    <xf numFmtId="3" fontId="36" fillId="0" borderId="18" xfId="0" applyNumberFormat="1" applyFont="1" applyFill="1" applyBorder="1" applyAlignment="1" applyProtection="1">
      <alignment horizontal="center" wrapText="1"/>
    </xf>
    <xf numFmtId="0" fontId="36" fillId="0" borderId="26" xfId="0" applyFont="1" applyFill="1" applyBorder="1" applyAlignment="1" applyProtection="1">
      <alignment horizontal="center"/>
    </xf>
    <xf numFmtId="3" fontId="36" fillId="0" borderId="20" xfId="0" applyNumberFormat="1" applyFont="1" applyFill="1" applyBorder="1" applyAlignment="1" applyProtection="1">
      <alignment horizontal="center" wrapText="1"/>
    </xf>
    <xf numFmtId="2" fontId="36" fillId="0" borderId="18" xfId="0" applyNumberFormat="1" applyFont="1" applyFill="1" applyBorder="1" applyAlignment="1" applyProtection="1">
      <alignment horizontal="center" wrapText="1"/>
    </xf>
    <xf numFmtId="3" fontId="5" fillId="0" borderId="31" xfId="0" applyNumberFormat="1" applyFont="1" applyBorder="1" applyAlignment="1" applyProtection="1">
      <alignment horizontal="center"/>
    </xf>
    <xf numFmtId="165" fontId="5" fillId="0" borderId="32" xfId="0" applyNumberFormat="1" applyFont="1" applyBorder="1" applyAlignment="1" applyProtection="1">
      <alignment horizontal="center"/>
    </xf>
    <xf numFmtId="165" fontId="5" fillId="0" borderId="32" xfId="0" applyNumberFormat="1" applyFont="1" applyFill="1" applyBorder="1" applyAlignment="1" applyProtection="1">
      <alignment horizontal="center"/>
    </xf>
    <xf numFmtId="3" fontId="5" fillId="0" borderId="33" xfId="0" applyNumberFormat="1" applyFont="1" applyFill="1" applyBorder="1" applyAlignment="1" applyProtection="1">
      <alignment horizontal="center"/>
    </xf>
    <xf numFmtId="165" fontId="5" fillId="0" borderId="30" xfId="0" applyNumberFormat="1" applyFont="1" applyBorder="1" applyAlignment="1" applyProtection="1">
      <alignment horizontal="center"/>
    </xf>
    <xf numFmtId="0" fontId="39" fillId="0" borderId="0" xfId="0" applyFont="1" applyProtection="1"/>
    <xf numFmtId="3" fontId="39" fillId="0" borderId="0" xfId="0" applyNumberFormat="1" applyFont="1" applyProtection="1"/>
    <xf numFmtId="1" fontId="39" fillId="0" borderId="0" xfId="0" applyNumberFormat="1" applyFont="1" applyProtection="1"/>
    <xf numFmtId="3" fontId="36" fillId="43" borderId="18" xfId="0" applyNumberFormat="1" applyFont="1" applyFill="1" applyBorder="1" applyAlignment="1" applyProtection="1">
      <alignment horizontal="center" wrapText="1"/>
    </xf>
    <xf numFmtId="0" fontId="36" fillId="43" borderId="26" xfId="0" applyFont="1" applyFill="1" applyBorder="1" applyAlignment="1" applyProtection="1">
      <alignment horizontal="center"/>
    </xf>
    <xf numFmtId="4" fontId="5" fillId="0" borderId="24" xfId="0" applyNumberFormat="1" applyFont="1" applyFill="1" applyBorder="1" applyAlignment="1" applyProtection="1">
      <alignment horizontal="center"/>
    </xf>
    <xf numFmtId="40" fontId="5" fillId="0" borderId="32" xfId="0" applyNumberFormat="1" applyFont="1" applyBorder="1" applyAlignment="1" applyProtection="1">
      <alignment horizontal="center"/>
    </xf>
    <xf numFmtId="0" fontId="31" fillId="0" borderId="0" xfId="66" applyFont="1" applyProtection="1"/>
    <xf numFmtId="1" fontId="31" fillId="0" borderId="0" xfId="66" applyNumberFormat="1" applyFont="1" applyProtection="1"/>
    <xf numFmtId="3" fontId="31" fillId="0" borderId="0" xfId="66" applyNumberFormat="1" applyFont="1" applyProtection="1"/>
    <xf numFmtId="8" fontId="31" fillId="0" borderId="0" xfId="66" applyNumberFormat="1" applyFont="1" applyProtection="1"/>
    <xf numFmtId="164" fontId="31" fillId="0" borderId="0" xfId="66" applyNumberFormat="1" applyFont="1" applyProtection="1"/>
    <xf numFmtId="4" fontId="5" fillId="0" borderId="25" xfId="0" applyNumberFormat="1" applyFont="1" applyFill="1" applyBorder="1" applyAlignment="1" applyProtection="1">
      <alignment horizontal="center"/>
    </xf>
    <xf numFmtId="165" fontId="5" fillId="0" borderId="25" xfId="0" applyNumberFormat="1" applyFont="1" applyBorder="1" applyAlignment="1" applyProtection="1">
      <alignment horizontal="center"/>
    </xf>
    <xf numFmtId="0" fontId="54" fillId="0" borderId="0" xfId="0" applyFont="1" applyProtection="1"/>
    <xf numFmtId="0" fontId="36" fillId="0" borderId="67" xfId="0" applyFont="1" applyFill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center"/>
    </xf>
    <xf numFmtId="4" fontId="5" fillId="0" borderId="30" xfId="0" applyNumberFormat="1" applyFont="1" applyFill="1" applyBorder="1" applyAlignment="1" applyProtection="1">
      <alignment horizontal="center"/>
    </xf>
    <xf numFmtId="4" fontId="5" fillId="0" borderId="32" xfId="0" applyNumberFormat="1" applyFont="1" applyBorder="1" applyAlignment="1" applyProtection="1">
      <alignment horizontal="center"/>
    </xf>
    <xf numFmtId="2" fontId="5" fillId="0" borderId="29" xfId="0" applyNumberFormat="1" applyFont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36" fillId="0" borderId="17" xfId="0" applyFont="1" applyBorder="1" applyAlignment="1" applyProtection="1">
      <protection locked="0"/>
    </xf>
    <xf numFmtId="0" fontId="36" fillId="0" borderId="19" xfId="0" applyFont="1" applyBorder="1" applyAlignment="1" applyProtection="1">
      <alignment horizontal="center" wrapText="1"/>
      <protection locked="0"/>
    </xf>
    <xf numFmtId="0" fontId="36" fillId="0" borderId="19" xfId="0" applyFont="1" applyBorder="1" applyAlignment="1" applyProtection="1">
      <alignment horizontal="center"/>
      <protection locked="0"/>
    </xf>
    <xf numFmtId="3" fontId="5" fillId="0" borderId="46" xfId="0" applyNumberFormat="1" applyFont="1" applyBorder="1" applyAlignment="1" applyProtection="1">
      <alignment wrapText="1"/>
      <protection locked="0"/>
    </xf>
    <xf numFmtId="165" fontId="5" fillId="0" borderId="25" xfId="0" applyNumberFormat="1" applyFont="1" applyFill="1" applyBorder="1" applyAlignment="1" applyProtection="1">
      <alignment horizontal="center"/>
      <protection locked="0"/>
    </xf>
    <xf numFmtId="0" fontId="36" fillId="0" borderId="19" xfId="0" applyFont="1" applyFill="1" applyBorder="1" applyAlignment="1" applyProtection="1">
      <alignment horizontal="center"/>
      <protection locked="0"/>
    </xf>
    <xf numFmtId="165" fontId="5" fillId="0" borderId="0" xfId="0" applyNumberFormat="1" applyFont="1" applyBorder="1" applyProtection="1">
      <protection locked="0"/>
    </xf>
    <xf numFmtId="3" fontId="5" fillId="0" borderId="66" xfId="0" applyNumberFormat="1" applyFont="1" applyBorder="1" applyAlignment="1" applyProtection="1">
      <alignment wrapText="1"/>
      <protection locked="0"/>
    </xf>
    <xf numFmtId="165" fontId="5" fillId="0" borderId="0" xfId="0" applyNumberFormat="1" applyFont="1" applyFill="1" applyBorder="1" applyProtection="1">
      <protection locked="0"/>
    </xf>
    <xf numFmtId="165" fontId="5" fillId="0" borderId="32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Protection="1"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36" fillId="0" borderId="0" xfId="0" applyFont="1" applyFill="1" applyBorder="1" applyAlignment="1" applyProtection="1"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0" fontId="57" fillId="0" borderId="0" xfId="0" applyFont="1" applyProtection="1">
      <protection locked="0"/>
    </xf>
    <xf numFmtId="1" fontId="5" fillId="0" borderId="0" xfId="0" applyNumberFormat="1" applyFont="1" applyBorder="1" applyProtection="1">
      <protection locked="0"/>
    </xf>
    <xf numFmtId="0" fontId="39" fillId="0" borderId="0" xfId="0" applyFont="1" applyProtection="1">
      <protection locked="0"/>
    </xf>
    <xf numFmtId="3" fontId="39" fillId="0" borderId="0" xfId="0" applyNumberFormat="1" applyFont="1" applyProtection="1">
      <protection locked="0"/>
    </xf>
    <xf numFmtId="1" fontId="39" fillId="0" borderId="0" xfId="0" applyNumberFormat="1" applyFont="1" applyProtection="1">
      <protection locked="0"/>
    </xf>
    <xf numFmtId="0" fontId="6" fillId="0" borderId="0" xfId="0" applyFont="1" applyFill="1" applyAlignment="1" applyProtection="1">
      <alignment wrapText="1"/>
      <protection locked="0"/>
    </xf>
    <xf numFmtId="0" fontId="36" fillId="0" borderId="0" xfId="0" applyFont="1" applyAlignment="1" applyProtection="1">
      <alignment wrapText="1"/>
      <protection locked="0"/>
    </xf>
    <xf numFmtId="0" fontId="36" fillId="0" borderId="0" xfId="0" applyFont="1" applyProtection="1">
      <protection locked="0"/>
    </xf>
    <xf numFmtId="0" fontId="36" fillId="0" borderId="0" xfId="0" applyFont="1" applyFill="1" applyProtection="1">
      <protection locked="0"/>
    </xf>
    <xf numFmtId="0" fontId="40" fillId="0" borderId="0" xfId="0" applyFont="1" applyProtection="1">
      <protection locked="0"/>
    </xf>
    <xf numFmtId="43" fontId="43" fillId="43" borderId="0" xfId="46" quotePrefix="1" applyFont="1" applyFill="1" applyBorder="1" applyAlignment="1" applyProtection="1">
      <alignment horizontal="left"/>
    </xf>
    <xf numFmtId="3" fontId="38" fillId="0" borderId="17" xfId="0" applyNumberFormat="1" applyFont="1" applyFill="1" applyBorder="1" applyAlignment="1" applyProtection="1">
      <alignment horizontal="center"/>
    </xf>
    <xf numFmtId="43" fontId="43" fillId="43" borderId="46" xfId="46" quotePrefix="1" applyFont="1" applyFill="1" applyBorder="1" applyAlignment="1" applyProtection="1">
      <alignment horizontal="left"/>
    </xf>
    <xf numFmtId="3" fontId="38" fillId="0" borderId="22" xfId="0" applyNumberFormat="1" applyFont="1" applyFill="1" applyBorder="1" applyAlignment="1" applyProtection="1">
      <alignment horizontal="center"/>
    </xf>
    <xf numFmtId="43" fontId="43" fillId="43" borderId="27" xfId="46" quotePrefix="1" applyFont="1" applyFill="1" applyBorder="1" applyAlignment="1" applyProtection="1">
      <alignment horizontal="left"/>
    </xf>
    <xf numFmtId="43" fontId="43" fillId="43" borderId="66" xfId="46" quotePrefix="1" applyFont="1" applyFill="1" applyBorder="1" applyAlignment="1" applyProtection="1">
      <alignment horizontal="left"/>
    </xf>
    <xf numFmtId="3" fontId="38" fillId="0" borderId="21" xfId="0" applyNumberFormat="1" applyFont="1" applyFill="1" applyBorder="1" applyAlignment="1" applyProtection="1">
      <alignment horizontal="center"/>
    </xf>
    <xf numFmtId="43" fontId="43" fillId="43" borderId="14" xfId="46" quotePrefix="1" applyFont="1" applyFill="1" applyBorder="1" applyAlignment="1" applyProtection="1">
      <alignment horizontal="left"/>
    </xf>
    <xf numFmtId="43" fontId="43" fillId="43" borderId="16" xfId="46" quotePrefix="1" applyFont="1" applyFill="1" applyBorder="1" applyAlignment="1" applyProtection="1">
      <alignment horizontal="left"/>
    </xf>
    <xf numFmtId="0" fontId="8" fillId="0" borderId="43" xfId="66" applyFont="1" applyFill="1" applyBorder="1" applyAlignment="1" applyProtection="1">
      <alignment wrapText="1"/>
    </xf>
    <xf numFmtId="0" fontId="8" fillId="0" borderId="44" xfId="66" applyFont="1" applyFill="1" applyBorder="1" applyAlignment="1" applyProtection="1">
      <alignment wrapText="1"/>
    </xf>
    <xf numFmtId="6" fontId="5" fillId="0" borderId="0" xfId="66" applyNumberFormat="1" applyFill="1" applyBorder="1" applyProtection="1"/>
    <xf numFmtId="0" fontId="5" fillId="0" borderId="45" xfId="66" applyFill="1" applyBorder="1" applyAlignment="1" applyProtection="1">
      <alignment horizontal="left" indent="1"/>
    </xf>
    <xf numFmtId="6" fontId="5" fillId="0" borderId="43" xfId="66" applyNumberFormat="1" applyFill="1" applyBorder="1" applyProtection="1"/>
    <xf numFmtId="6" fontId="5" fillId="0" borderId="13" xfId="66" applyNumberFormat="1" applyFill="1" applyBorder="1" applyProtection="1"/>
    <xf numFmtId="6" fontId="5" fillId="0" borderId="13" xfId="66" applyNumberFormat="1" applyFont="1" applyFill="1" applyBorder="1" applyAlignment="1" applyProtection="1">
      <alignment horizontal="right"/>
    </xf>
    <xf numFmtId="167" fontId="5" fillId="0" borderId="13" xfId="66" applyNumberFormat="1" applyFont="1" applyFill="1" applyBorder="1" applyAlignment="1" applyProtection="1">
      <alignment horizontal="right"/>
    </xf>
    <xf numFmtId="0" fontId="6" fillId="0" borderId="47" xfId="66" applyFont="1" applyFill="1" applyBorder="1" applyProtection="1"/>
    <xf numFmtId="6" fontId="5" fillId="0" borderId="42" xfId="66" applyNumberFormat="1" applyFill="1" applyBorder="1" applyProtection="1"/>
    <xf numFmtId="6" fontId="5" fillId="0" borderId="18" xfId="66" applyNumberFormat="1" applyFont="1" applyFill="1" applyBorder="1" applyProtection="1"/>
    <xf numFmtId="6" fontId="5" fillId="0" borderId="11" xfId="66" applyNumberFormat="1" applyFill="1" applyBorder="1" applyProtection="1"/>
    <xf numFmtId="167" fontId="5" fillId="0" borderId="11" xfId="66" applyNumberFormat="1" applyFont="1" applyFill="1" applyBorder="1" applyAlignment="1" applyProtection="1">
      <alignment horizontal="right"/>
    </xf>
    <xf numFmtId="0" fontId="5" fillId="0" borderId="43" xfId="66" applyFill="1" applyBorder="1" applyAlignment="1" applyProtection="1">
      <alignment horizontal="left" indent="1"/>
    </xf>
    <xf numFmtId="0" fontId="6" fillId="0" borderId="42" xfId="66" applyFont="1" applyFill="1" applyBorder="1" applyProtection="1"/>
    <xf numFmtId="167" fontId="5" fillId="0" borderId="11" xfId="66" applyNumberFormat="1" applyFill="1" applyBorder="1" applyProtection="1"/>
    <xf numFmtId="0" fontId="8" fillId="0" borderId="45" xfId="66" applyFont="1" applyFill="1" applyBorder="1" applyAlignment="1" applyProtection="1">
      <alignment wrapText="1"/>
    </xf>
    <xf numFmtId="167" fontId="5" fillId="0" borderId="13" xfId="66" applyNumberFormat="1" applyFill="1" applyBorder="1" applyProtection="1"/>
    <xf numFmtId="6" fontId="5" fillId="0" borderId="13" xfId="66" applyNumberFormat="1" applyFont="1" applyFill="1" applyBorder="1" applyProtection="1"/>
    <xf numFmtId="6" fontId="5" fillId="0" borderId="17" xfId="66" applyNumberFormat="1" applyFill="1" applyBorder="1" applyProtection="1"/>
    <xf numFmtId="6" fontId="5" fillId="0" borderId="13" xfId="66" applyNumberFormat="1" applyFill="1" applyBorder="1" applyAlignment="1" applyProtection="1">
      <alignment horizontal="right" vertical="center"/>
    </xf>
    <xf numFmtId="0" fontId="6" fillId="0" borderId="43" xfId="66" applyFont="1" applyFill="1" applyBorder="1" applyAlignment="1" applyProtection="1">
      <alignment horizontal="left" indent="1"/>
    </xf>
    <xf numFmtId="0" fontId="6" fillId="0" borderId="44" xfId="66" applyFont="1" applyFill="1" applyBorder="1" applyAlignment="1" applyProtection="1">
      <alignment horizontal="left" indent="1"/>
    </xf>
    <xf numFmtId="6" fontId="5" fillId="0" borderId="0" xfId="66" applyNumberFormat="1" applyFont="1" applyFill="1" applyBorder="1" applyProtection="1"/>
    <xf numFmtId="0" fontId="6" fillId="0" borderId="42" xfId="66" applyFont="1" applyFill="1" applyBorder="1" applyAlignment="1" applyProtection="1">
      <alignment wrapText="1"/>
    </xf>
    <xf numFmtId="6" fontId="5" fillId="0" borderId="48" xfId="66" applyNumberFormat="1" applyFont="1" applyFill="1" applyBorder="1" applyAlignment="1" applyProtection="1">
      <alignment wrapText="1"/>
    </xf>
    <xf numFmtId="6" fontId="5" fillId="0" borderId="24" xfId="66" applyNumberFormat="1" applyFill="1" applyBorder="1" applyProtection="1"/>
    <xf numFmtId="6" fontId="5" fillId="0" borderId="23" xfId="66" applyNumberFormat="1" applyFill="1" applyBorder="1" applyProtection="1"/>
    <xf numFmtId="167" fontId="5" fillId="0" borderId="23" xfId="66" applyNumberFormat="1" applyFill="1" applyBorder="1" applyProtection="1"/>
    <xf numFmtId="0" fontId="5" fillId="0" borderId="0" xfId="66" applyProtection="1"/>
    <xf numFmtId="0" fontId="45" fillId="0" borderId="0" xfId="66" applyFont="1" applyAlignment="1" applyProtection="1"/>
    <xf numFmtId="0" fontId="26" fillId="0" borderId="0" xfId="67" applyFont="1" applyProtection="1"/>
    <xf numFmtId="0" fontId="7" fillId="0" borderId="0" xfId="67" applyFont="1" applyProtection="1"/>
    <xf numFmtId="0" fontId="7" fillId="0" borderId="0" xfId="67" applyProtection="1"/>
    <xf numFmtId="0" fontId="26" fillId="0" borderId="11" xfId="67" applyFont="1" applyBorder="1" applyAlignment="1" applyProtection="1">
      <alignment horizontal="center"/>
    </xf>
    <xf numFmtId="0" fontId="26" fillId="0" borderId="0" xfId="67" applyFont="1" applyAlignment="1" applyProtection="1">
      <alignment horizontal="center"/>
    </xf>
    <xf numFmtId="6" fontId="7" fillId="0" borderId="11" xfId="67" applyNumberFormat="1" applyFont="1" applyBorder="1" applyProtection="1"/>
    <xf numFmtId="0" fontId="7" fillId="0" borderId="11" xfId="67" applyFont="1" applyBorder="1" applyProtection="1"/>
    <xf numFmtId="14" fontId="7" fillId="0" borderId="11" xfId="67" applyNumberFormat="1" applyBorder="1" applyProtection="1"/>
    <xf numFmtId="0" fontId="5" fillId="44" borderId="0" xfId="66" applyFont="1" applyFill="1" applyBorder="1" applyProtection="1"/>
    <xf numFmtId="0" fontId="5" fillId="0" borderId="0" xfId="66" applyFont="1" applyFill="1" applyBorder="1" applyProtection="1"/>
    <xf numFmtId="44" fontId="5" fillId="44" borderId="0" xfId="50" applyFont="1" applyFill="1" applyBorder="1" applyProtection="1"/>
    <xf numFmtId="0" fontId="6" fillId="45" borderId="35" xfId="66" applyFont="1" applyFill="1" applyBorder="1" applyProtection="1"/>
    <xf numFmtId="0" fontId="5" fillId="44" borderId="38" xfId="66" applyFont="1" applyFill="1" applyBorder="1" applyProtection="1"/>
    <xf numFmtId="44" fontId="5" fillId="44" borderId="38" xfId="50" applyFont="1" applyFill="1" applyBorder="1" applyProtection="1"/>
    <xf numFmtId="0" fontId="5" fillId="44" borderId="51" xfId="66" applyFont="1" applyFill="1" applyBorder="1" applyProtection="1"/>
    <xf numFmtId="0" fontId="6" fillId="45" borderId="52" xfId="66" applyFont="1" applyFill="1" applyBorder="1" applyAlignment="1" applyProtection="1">
      <alignment horizontal="center"/>
    </xf>
    <xf numFmtId="0" fontId="6" fillId="44" borderId="18" xfId="66" applyFont="1" applyFill="1" applyBorder="1" applyAlignment="1" applyProtection="1">
      <alignment horizontal="center"/>
    </xf>
    <xf numFmtId="44" fontId="6" fillId="44" borderId="18" xfId="50" applyFont="1" applyFill="1" applyBorder="1" applyAlignment="1" applyProtection="1">
      <alignment horizontal="center"/>
    </xf>
    <xf numFmtId="0" fontId="6" fillId="44" borderId="20" xfId="66" applyFont="1" applyFill="1" applyBorder="1" applyAlignment="1" applyProtection="1">
      <alignment horizontal="center" wrapText="1"/>
    </xf>
    <xf numFmtId="0" fontId="6" fillId="44" borderId="11" xfId="66" applyFont="1" applyFill="1" applyBorder="1" applyAlignment="1" applyProtection="1">
      <alignment horizontal="center" wrapText="1"/>
    </xf>
    <xf numFmtId="0" fontId="6" fillId="44" borderId="53" xfId="66" applyFont="1" applyFill="1" applyBorder="1" applyAlignment="1" applyProtection="1">
      <alignment horizontal="center" wrapText="1"/>
    </xf>
    <xf numFmtId="0" fontId="6" fillId="45" borderId="54" xfId="66" applyFont="1" applyFill="1" applyBorder="1" applyAlignment="1" applyProtection="1">
      <alignment horizontal="center"/>
    </xf>
    <xf numFmtId="0" fontId="6" fillId="44" borderId="0" xfId="66" applyFont="1" applyFill="1" applyBorder="1" applyAlignment="1" applyProtection="1">
      <alignment horizontal="center"/>
    </xf>
    <xf numFmtId="44" fontId="6" fillId="44" borderId="0" xfId="50" applyFont="1" applyFill="1" applyBorder="1" applyAlignment="1" applyProtection="1">
      <alignment horizontal="center"/>
    </xf>
    <xf numFmtId="0" fontId="6" fillId="44" borderId="17" xfId="66" applyFont="1" applyFill="1" applyBorder="1" applyAlignment="1" applyProtection="1">
      <alignment horizontal="center" wrapText="1"/>
    </xf>
    <xf numFmtId="0" fontId="6" fillId="44" borderId="13" xfId="66" applyFont="1" applyFill="1" applyBorder="1" applyAlignment="1" applyProtection="1">
      <alignment horizontal="center" wrapText="1"/>
    </xf>
    <xf numFmtId="0" fontId="6" fillId="44" borderId="55" xfId="66" applyFont="1" applyFill="1" applyBorder="1" applyAlignment="1" applyProtection="1">
      <alignment horizontal="center" wrapText="1"/>
    </xf>
    <xf numFmtId="0" fontId="6" fillId="0" borderId="54" xfId="66" applyFont="1" applyFill="1" applyBorder="1" applyAlignment="1" applyProtection="1">
      <alignment horizontal="center"/>
    </xf>
    <xf numFmtId="0" fontId="6" fillId="0" borderId="17" xfId="66" applyFont="1" applyFill="1" applyBorder="1" applyAlignment="1" applyProtection="1">
      <alignment horizontal="center" wrapText="1"/>
    </xf>
    <xf numFmtId="0" fontId="5" fillId="0" borderId="54" xfId="66" applyFill="1" applyBorder="1" applyProtection="1"/>
    <xf numFmtId="164" fontId="5" fillId="44" borderId="0" xfId="66" applyNumberFormat="1" applyFont="1" applyFill="1" applyBorder="1" applyProtection="1"/>
    <xf numFmtId="164" fontId="5" fillId="0" borderId="0" xfId="66" applyNumberFormat="1" applyFont="1" applyFill="1" applyBorder="1" applyProtection="1"/>
    <xf numFmtId="164" fontId="5" fillId="0" borderId="17" xfId="66" applyNumberFormat="1" applyFont="1" applyFill="1" applyBorder="1" applyProtection="1"/>
    <xf numFmtId="164" fontId="5" fillId="44" borderId="13" xfId="66" applyNumberFormat="1" applyFont="1" applyFill="1" applyBorder="1" applyProtection="1"/>
    <xf numFmtId="167" fontId="5" fillId="44" borderId="55" xfId="71" applyNumberFormat="1" applyFont="1" applyFill="1" applyBorder="1" applyAlignment="1" applyProtection="1">
      <alignment horizontal="center"/>
    </xf>
    <xf numFmtId="164" fontId="5" fillId="44" borderId="13" xfId="66" applyNumberFormat="1" applyFont="1" applyFill="1" applyBorder="1" applyAlignment="1" applyProtection="1">
      <alignment horizontal="right"/>
    </xf>
    <xf numFmtId="164" fontId="5" fillId="0" borderId="13" xfId="66" applyNumberFormat="1" applyFont="1" applyFill="1" applyBorder="1" applyProtection="1"/>
    <xf numFmtId="0" fontId="6" fillId="0" borderId="52" xfId="66" applyFont="1" applyFill="1" applyBorder="1" applyProtection="1"/>
    <xf numFmtId="164" fontId="6" fillId="44" borderId="18" xfId="66" applyNumberFormat="1" applyFont="1" applyFill="1" applyBorder="1" applyAlignment="1" applyProtection="1">
      <alignment horizontal="right"/>
    </xf>
    <xf numFmtId="164" fontId="6" fillId="0" borderId="11" xfId="66" applyNumberFormat="1" applyFont="1" applyFill="1" applyBorder="1" applyAlignment="1" applyProtection="1">
      <alignment horizontal="right"/>
    </xf>
    <xf numFmtId="167" fontId="6" fillId="44" borderId="53" xfId="71" applyNumberFormat="1" applyFont="1" applyFill="1" applyBorder="1" applyAlignment="1" applyProtection="1">
      <alignment horizontal="center"/>
    </xf>
    <xf numFmtId="0" fontId="5" fillId="0" borderId="54" xfId="66" applyFont="1" applyFill="1" applyBorder="1" applyProtection="1"/>
    <xf numFmtId="164" fontId="5" fillId="44" borderId="55" xfId="66" applyNumberFormat="1" applyFont="1" applyFill="1" applyBorder="1" applyProtection="1"/>
    <xf numFmtId="8" fontId="5" fillId="44" borderId="0" xfId="66" applyNumberFormat="1" applyFont="1" applyFill="1" applyBorder="1" applyProtection="1"/>
    <xf numFmtId="164" fontId="6" fillId="44" borderId="18" xfId="66" applyNumberFormat="1" applyFont="1" applyFill="1" applyBorder="1" applyProtection="1"/>
    <xf numFmtId="164" fontId="6" fillId="0" borderId="20" xfId="66" applyNumberFormat="1" applyFont="1" applyFill="1" applyBorder="1" applyProtection="1"/>
    <xf numFmtId="164" fontId="6" fillId="44" borderId="11" xfId="66" applyNumberFormat="1" applyFont="1" applyFill="1" applyBorder="1" applyProtection="1"/>
    <xf numFmtId="49" fontId="6" fillId="44" borderId="0" xfId="66" applyNumberFormat="1" applyFont="1" applyFill="1" applyBorder="1" applyAlignment="1" applyProtection="1">
      <alignment horizontal="center"/>
    </xf>
    <xf numFmtId="164" fontId="5" fillId="44" borderId="17" xfId="66" applyNumberFormat="1" applyFont="1" applyFill="1" applyBorder="1" applyProtection="1"/>
    <xf numFmtId="0" fontId="6" fillId="0" borderId="52" xfId="66" applyFont="1" applyFill="1" applyBorder="1" applyAlignment="1" applyProtection="1">
      <alignment horizontal="left" wrapText="1" indent="1"/>
    </xf>
    <xf numFmtId="164" fontId="6" fillId="0" borderId="11" xfId="66" applyNumberFormat="1" applyFont="1" applyFill="1" applyBorder="1" applyProtection="1"/>
    <xf numFmtId="164" fontId="6" fillId="44" borderId="20" xfId="66" applyNumberFormat="1" applyFont="1" applyFill="1" applyBorder="1" applyProtection="1"/>
    <xf numFmtId="164" fontId="6" fillId="44" borderId="19" xfId="66" applyNumberFormat="1" applyFont="1" applyFill="1" applyBorder="1" applyProtection="1"/>
    <xf numFmtId="164" fontId="6" fillId="0" borderId="18" xfId="66" applyNumberFormat="1" applyFont="1" applyFill="1" applyBorder="1" applyProtection="1"/>
    <xf numFmtId="0" fontId="6" fillId="0" borderId="52" xfId="66" applyFont="1" applyFill="1" applyBorder="1" applyAlignment="1" applyProtection="1">
      <alignment wrapText="1"/>
    </xf>
    <xf numFmtId="0" fontId="6" fillId="0" borderId="27" xfId="66" applyFont="1" applyFill="1" applyBorder="1" applyProtection="1"/>
    <xf numFmtId="164" fontId="6" fillId="44" borderId="27" xfId="66" applyNumberFormat="1" applyFont="1" applyFill="1" applyBorder="1" applyProtection="1"/>
    <xf numFmtId="164" fontId="6" fillId="44" borderId="0" xfId="66" applyNumberFormat="1" applyFont="1" applyFill="1" applyBorder="1" applyProtection="1"/>
    <xf numFmtId="44" fontId="6" fillId="44" borderId="0" xfId="50" applyFont="1" applyFill="1" applyBorder="1" applyProtection="1"/>
    <xf numFmtId="0" fontId="6" fillId="0" borderId="56" xfId="66" applyFont="1" applyFill="1" applyBorder="1" applyAlignment="1" applyProtection="1">
      <alignment wrapText="1"/>
    </xf>
    <xf numFmtId="164" fontId="6" fillId="44" borderId="57" xfId="66" applyNumberFormat="1" applyFont="1" applyFill="1" applyBorder="1" applyProtection="1"/>
    <xf numFmtId="164" fontId="6" fillId="44" borderId="50" xfId="66" applyNumberFormat="1" applyFont="1" applyFill="1" applyBorder="1" applyProtection="1"/>
    <xf numFmtId="164" fontId="6" fillId="44" borderId="58" xfId="66" applyNumberFormat="1" applyFont="1" applyFill="1" applyBorder="1" applyProtection="1"/>
    <xf numFmtId="164" fontId="6" fillId="0" borderId="57" xfId="66" applyNumberFormat="1" applyFont="1" applyFill="1" applyBorder="1" applyAlignment="1" applyProtection="1">
      <alignment horizontal="center"/>
    </xf>
    <xf numFmtId="164" fontId="6" fillId="44" borderId="59" xfId="66" applyNumberFormat="1" applyFont="1" applyFill="1" applyBorder="1" applyAlignment="1" applyProtection="1">
      <alignment horizontal="center"/>
    </xf>
    <xf numFmtId="164" fontId="6" fillId="44" borderId="60" xfId="66" applyNumberFormat="1" applyFont="1" applyFill="1" applyBorder="1" applyAlignment="1" applyProtection="1">
      <alignment horizontal="center"/>
    </xf>
    <xf numFmtId="164" fontId="5" fillId="44" borderId="0" xfId="50" applyNumberFormat="1" applyFont="1" applyFill="1" applyBorder="1" applyProtection="1"/>
    <xf numFmtId="0" fontId="35" fillId="0" borderId="0" xfId="66" applyFont="1" applyProtection="1"/>
    <xf numFmtId="0" fontId="6" fillId="45" borderId="35" xfId="66" applyFont="1" applyFill="1" applyBorder="1" applyAlignment="1" applyProtection="1">
      <alignment horizontal="center"/>
    </xf>
    <xf numFmtId="0" fontId="6" fillId="0" borderId="37" xfId="66" applyFont="1" applyBorder="1" applyAlignment="1" applyProtection="1">
      <alignment horizontal="center"/>
    </xf>
    <xf numFmtId="0" fontId="6" fillId="0" borderId="61" xfId="66" applyFont="1" applyBorder="1" applyAlignment="1" applyProtection="1">
      <alignment horizontal="center" wrapText="1"/>
    </xf>
    <xf numFmtId="0" fontId="37" fillId="0" borderId="54" xfId="66" applyFont="1" applyBorder="1" applyAlignment="1" applyProtection="1">
      <alignment horizontal="center"/>
    </xf>
    <xf numFmtId="0" fontId="5" fillId="0" borderId="0" xfId="66" applyBorder="1" applyAlignment="1" applyProtection="1"/>
    <xf numFmtId="0" fontId="5" fillId="0" borderId="55" xfId="66" applyBorder="1" applyAlignment="1" applyProtection="1"/>
    <xf numFmtId="0" fontId="6" fillId="0" borderId="54" xfId="66" applyFont="1" applyBorder="1" applyAlignment="1" applyProtection="1">
      <alignment horizontal="center"/>
    </xf>
    <xf numFmtId="0" fontId="5" fillId="0" borderId="54" xfId="66" applyBorder="1" applyProtection="1"/>
    <xf numFmtId="164" fontId="5" fillId="0" borderId="0" xfId="66" applyNumberFormat="1" applyBorder="1" applyAlignment="1" applyProtection="1"/>
    <xf numFmtId="164" fontId="5" fillId="0" borderId="55" xfId="66" applyNumberFormat="1" applyBorder="1" applyAlignment="1" applyProtection="1"/>
    <xf numFmtId="164" fontId="5" fillId="0" borderId="0" xfId="66" applyNumberFormat="1" applyProtection="1"/>
    <xf numFmtId="164" fontId="5" fillId="0" borderId="18" xfId="66" applyNumberFormat="1" applyFill="1" applyBorder="1" applyAlignment="1" applyProtection="1"/>
    <xf numFmtId="164" fontId="5" fillId="0" borderId="53" xfId="66" applyNumberFormat="1" applyFill="1" applyBorder="1" applyAlignment="1" applyProtection="1"/>
    <xf numFmtId="0" fontId="6" fillId="0" borderId="54" xfId="66" applyFont="1" applyFill="1" applyBorder="1" applyProtection="1"/>
    <xf numFmtId="164" fontId="5" fillId="0" borderId="0" xfId="66" applyNumberFormat="1" applyFill="1" applyBorder="1" applyAlignment="1" applyProtection="1"/>
    <xf numFmtId="164" fontId="5" fillId="0" borderId="55" xfId="66" applyNumberFormat="1" applyFill="1" applyBorder="1" applyAlignment="1" applyProtection="1"/>
    <xf numFmtId="164" fontId="5" fillId="0" borderId="0" xfId="66" applyNumberFormat="1" applyFill="1" applyBorder="1" applyAlignment="1" applyProtection="1">
      <alignment horizontal="right"/>
    </xf>
    <xf numFmtId="0" fontId="6" fillId="0" borderId="54" xfId="66" applyFont="1" applyFill="1" applyBorder="1" applyAlignment="1" applyProtection="1">
      <alignment horizontal="left" indent="1"/>
    </xf>
    <xf numFmtId="164" fontId="5" fillId="0" borderId="27" xfId="66" applyNumberFormat="1" applyFill="1" applyBorder="1" applyAlignment="1" applyProtection="1"/>
    <xf numFmtId="0" fontId="6" fillId="0" borderId="54" xfId="66" applyFont="1" applyFill="1" applyBorder="1" applyAlignment="1" applyProtection="1">
      <alignment horizontal="center" wrapText="1"/>
    </xf>
    <xf numFmtId="0" fontId="6" fillId="0" borderId="52" xfId="66" applyFont="1" applyFill="1" applyBorder="1" applyAlignment="1" applyProtection="1">
      <alignment horizontal="left" indent="1"/>
    </xf>
    <xf numFmtId="0" fontId="6" fillId="0" borderId="62" xfId="66" applyFont="1" applyFill="1" applyBorder="1" applyAlignment="1" applyProtection="1">
      <alignment horizontal="left" indent="1"/>
    </xf>
    <xf numFmtId="164" fontId="5" fillId="0" borderId="63" xfId="66" applyNumberFormat="1" applyFill="1" applyBorder="1" applyAlignment="1" applyProtection="1"/>
    <xf numFmtId="0" fontId="6" fillId="0" borderId="11" xfId="66" applyFont="1" applyFill="1" applyBorder="1" applyProtection="1"/>
    <xf numFmtId="164" fontId="5" fillId="45" borderId="18" xfId="66" applyNumberFormat="1" applyFill="1" applyBorder="1" applyAlignment="1" applyProtection="1"/>
    <xf numFmtId="164" fontId="5" fillId="45" borderId="18" xfId="66" applyNumberFormat="1" applyFill="1" applyBorder="1" applyAlignment="1" applyProtection="1">
      <alignment horizontal="right"/>
    </xf>
    <xf numFmtId="164" fontId="5" fillId="45" borderId="19" xfId="66" applyNumberFormat="1" applyFill="1" applyBorder="1" applyAlignment="1" applyProtection="1">
      <alignment horizontal="right"/>
    </xf>
    <xf numFmtId="164" fontId="5" fillId="45" borderId="53" xfId="66" applyNumberFormat="1" applyFill="1" applyBorder="1" applyAlignment="1" applyProtection="1">
      <alignment horizontal="right"/>
    </xf>
    <xf numFmtId="164" fontId="5" fillId="45" borderId="0" xfId="66" applyNumberFormat="1" applyFill="1" applyBorder="1" applyAlignment="1" applyProtection="1"/>
    <xf numFmtId="164" fontId="6" fillId="0" borderId="58" xfId="66" applyNumberFormat="1" applyFont="1" applyFill="1" applyBorder="1" applyAlignment="1" applyProtection="1"/>
    <xf numFmtId="164" fontId="6" fillId="0" borderId="60" xfId="66" applyNumberFormat="1" applyFont="1" applyFill="1" applyBorder="1" applyAlignment="1" applyProtection="1"/>
    <xf numFmtId="0" fontId="6" fillId="0" borderId="38" xfId="66" applyFont="1" applyFill="1" applyBorder="1" applyAlignment="1" applyProtection="1">
      <alignment wrapText="1"/>
    </xf>
    <xf numFmtId="164" fontId="6" fillId="0" borderId="38" xfId="66" applyNumberFormat="1" applyFont="1" applyFill="1" applyBorder="1" applyAlignment="1" applyProtection="1"/>
    <xf numFmtId="0" fontId="6" fillId="0" borderId="0" xfId="66" applyFont="1" applyBorder="1" applyAlignment="1" applyProtection="1">
      <alignment wrapText="1"/>
    </xf>
    <xf numFmtId="164" fontId="5" fillId="0" borderId="0" xfId="66" applyNumberFormat="1" applyBorder="1" applyProtection="1"/>
    <xf numFmtId="0" fontId="6" fillId="0" borderId="0" xfId="0" applyFont="1" applyFill="1" applyProtection="1"/>
    <xf numFmtId="0" fontId="0" fillId="0" borderId="0" xfId="0" applyFill="1" applyProtection="1"/>
    <xf numFmtId="0" fontId="54" fillId="0" borderId="0" xfId="0" applyFont="1" applyFill="1" applyProtection="1"/>
    <xf numFmtId="0" fontId="0" fillId="0" borderId="15" xfId="0" applyFill="1" applyBorder="1" applyProtection="1"/>
    <xf numFmtId="0" fontId="6" fillId="0" borderId="34" xfId="0" applyFont="1" applyFill="1" applyBorder="1" applyProtection="1"/>
    <xf numFmtId="0" fontId="6" fillId="0" borderId="11" xfId="0" applyFont="1" applyFill="1" applyBorder="1" applyAlignment="1" applyProtection="1">
      <alignment horizontal="center"/>
    </xf>
    <xf numFmtId="0" fontId="6" fillId="0" borderId="34" xfId="0" applyFont="1" applyFill="1" applyBorder="1" applyAlignment="1" applyProtection="1">
      <alignment horizontal="center"/>
    </xf>
    <xf numFmtId="0" fontId="0" fillId="0" borderId="13" xfId="0" applyBorder="1" applyProtection="1"/>
    <xf numFmtId="172" fontId="44" fillId="0" borderId="11" xfId="0" applyNumberFormat="1" applyFont="1" applyFill="1" applyBorder="1" applyAlignment="1" applyProtection="1"/>
    <xf numFmtId="3" fontId="5" fillId="49" borderId="11" xfId="0" applyNumberFormat="1" applyFont="1" applyFill="1" applyBorder="1" applyAlignment="1" applyProtection="1">
      <alignment wrapText="1"/>
    </xf>
    <xf numFmtId="0" fontId="0" fillId="0" borderId="0" xfId="0" applyProtection="1"/>
    <xf numFmtId="0" fontId="5" fillId="0" borderId="0" xfId="0" applyFont="1" applyFill="1" applyProtection="1"/>
    <xf numFmtId="172" fontId="44" fillId="0" borderId="11" xfId="0" applyNumberFormat="1" applyFont="1" applyFill="1" applyBorder="1" applyAlignment="1" applyProtection="1">
      <alignment horizontal="right"/>
    </xf>
    <xf numFmtId="0" fontId="0" fillId="0" borderId="0" xfId="0" applyBorder="1" applyProtection="1"/>
    <xf numFmtId="172" fontId="7" fillId="0" borderId="11" xfId="0" applyNumberFormat="1" applyFont="1" applyFill="1" applyBorder="1" applyAlignment="1" applyProtection="1">
      <alignment horizontal="right"/>
    </xf>
    <xf numFmtId="172" fontId="7" fillId="0" borderId="11" xfId="0" applyNumberFormat="1" applyFont="1" applyFill="1" applyBorder="1" applyAlignment="1" applyProtection="1"/>
    <xf numFmtId="0" fontId="5" fillId="0" borderId="13" xfId="0" applyFont="1" applyBorder="1" applyProtection="1"/>
    <xf numFmtId="176" fontId="44" fillId="0" borderId="11" xfId="0" applyNumberFormat="1" applyFont="1" applyFill="1" applyBorder="1" applyAlignment="1" applyProtection="1">
      <alignment horizontal="right"/>
    </xf>
    <xf numFmtId="0" fontId="5" fillId="0" borderId="0" xfId="0" applyFont="1" applyBorder="1" applyProtection="1"/>
    <xf numFmtId="0" fontId="0" fillId="0" borderId="0" xfId="0" applyFont="1" applyBorder="1" applyProtection="1"/>
    <xf numFmtId="0" fontId="5" fillId="0" borderId="0" xfId="0" applyFont="1" applyProtection="1"/>
    <xf numFmtId="0" fontId="5" fillId="0" borderId="11" xfId="0" applyFont="1" applyFill="1" applyBorder="1" applyProtection="1"/>
    <xf numFmtId="172" fontId="64" fillId="0" borderId="11" xfId="0" applyNumberFormat="1" applyFont="1" applyFill="1" applyBorder="1" applyAlignment="1" applyProtection="1">
      <alignment horizontal="right"/>
    </xf>
    <xf numFmtId="172" fontId="64" fillId="0" borderId="13" xfId="0" applyNumberFormat="1" applyFont="1" applyFill="1" applyBorder="1" applyAlignment="1" applyProtection="1">
      <alignment horizontal="right"/>
    </xf>
    <xf numFmtId="172" fontId="7" fillId="0" borderId="13" xfId="0" applyNumberFormat="1" applyFont="1" applyFill="1" applyBorder="1" applyAlignment="1" applyProtection="1">
      <alignment horizontal="right"/>
    </xf>
    <xf numFmtId="0" fontId="0" fillId="0" borderId="17" xfId="0" applyBorder="1" applyProtection="1"/>
    <xf numFmtId="0" fontId="5" fillId="0" borderId="17" xfId="0" applyFont="1" applyBorder="1" applyProtection="1"/>
    <xf numFmtId="172" fontId="5" fillId="0" borderId="13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5" fillId="0" borderId="34" xfId="0" applyFont="1" applyFill="1" applyBorder="1" applyProtection="1"/>
    <xf numFmtId="0" fontId="6" fillId="0" borderId="0" xfId="0" quotePrefix="1" applyFont="1" applyFill="1" applyProtection="1">
      <protection locked="0"/>
    </xf>
    <xf numFmtId="0" fontId="36" fillId="0" borderId="20" xfId="0" applyFont="1" applyFill="1" applyBorder="1" applyAlignment="1" applyProtection="1">
      <alignment horizontal="center" wrapText="1"/>
    </xf>
    <xf numFmtId="0" fontId="36" fillId="0" borderId="11" xfId="0" applyFont="1" applyFill="1" applyBorder="1" applyAlignment="1" applyProtection="1">
      <alignment horizontal="center" wrapText="1"/>
    </xf>
    <xf numFmtId="0" fontId="36" fillId="0" borderId="19" xfId="0" applyFont="1" applyFill="1" applyBorder="1" applyAlignment="1" applyProtection="1">
      <alignment horizontal="center" wrapText="1"/>
    </xf>
    <xf numFmtId="0" fontId="36" fillId="0" borderId="18" xfId="0" applyFont="1" applyFill="1" applyBorder="1" applyAlignment="1" applyProtection="1">
      <alignment horizontal="center" wrapText="1"/>
    </xf>
    <xf numFmtId="0" fontId="36" fillId="0" borderId="19" xfId="0" applyFont="1" applyFill="1" applyBorder="1" applyAlignment="1" applyProtection="1">
      <alignment horizontal="center"/>
    </xf>
    <xf numFmtId="0" fontId="5" fillId="44" borderId="0" xfId="66" applyFont="1" applyFill="1" applyProtection="1">
      <protection locked="0"/>
    </xf>
    <xf numFmtId="0" fontId="5" fillId="44" borderId="0" xfId="66" applyFont="1" applyFill="1" applyBorder="1" applyProtection="1">
      <protection locked="0"/>
    </xf>
    <xf numFmtId="0" fontId="5" fillId="0" borderId="0" xfId="66" applyFont="1" applyFill="1" applyBorder="1" applyProtection="1">
      <protection locked="0"/>
    </xf>
    <xf numFmtId="0" fontId="5" fillId="50" borderId="0" xfId="66" applyFont="1" applyFill="1" applyBorder="1" applyProtection="1">
      <protection locked="0"/>
    </xf>
    <xf numFmtId="0" fontId="5" fillId="44" borderId="0" xfId="66" applyFont="1" applyFill="1" applyAlignment="1" applyProtection="1">
      <alignment horizontal="center"/>
      <protection locked="0"/>
    </xf>
    <xf numFmtId="0" fontId="6" fillId="44" borderId="0" xfId="66" applyFont="1" applyFill="1" applyAlignment="1" applyProtection="1">
      <alignment horizontal="center"/>
      <protection locked="0"/>
    </xf>
    <xf numFmtId="171" fontId="5" fillId="44" borderId="0" xfId="66" applyNumberFormat="1" applyFont="1" applyFill="1" applyAlignment="1" applyProtection="1">
      <alignment horizontal="center"/>
      <protection locked="0"/>
    </xf>
    <xf numFmtId="0" fontId="5" fillId="44" borderId="0" xfId="66" applyFont="1" applyFill="1" applyAlignment="1" applyProtection="1">
      <alignment horizontal="right"/>
      <protection locked="0"/>
    </xf>
    <xf numFmtId="0" fontId="2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26" fillId="0" borderId="0" xfId="0" applyFont="1" applyFill="1" applyBorder="1" applyProtection="1">
      <protection locked="0"/>
    </xf>
    <xf numFmtId="165" fontId="7" fillId="0" borderId="0" xfId="0" applyNumberFormat="1" applyFont="1" applyFill="1" applyBorder="1" applyAlignment="1" applyProtection="1">
      <protection locked="0"/>
    </xf>
    <xf numFmtId="0" fontId="41" fillId="0" borderId="0" xfId="0" applyFont="1" applyFill="1" applyProtection="1">
      <protection locked="0"/>
    </xf>
    <xf numFmtId="172" fontId="26" fillId="0" borderId="0" xfId="0" applyNumberFormat="1" applyFont="1" applyFill="1" applyBorder="1" applyAlignment="1" applyProtection="1">
      <alignment horizontal="right"/>
      <protection locked="0"/>
    </xf>
    <xf numFmtId="172" fontId="26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Protection="1">
      <protection locked="0"/>
    </xf>
    <xf numFmtId="38" fontId="42" fillId="0" borderId="0" xfId="0" applyNumberFormat="1" applyFont="1" applyFill="1" applyBorder="1" applyAlignment="1" applyProtection="1">
      <protection locked="0"/>
    </xf>
    <xf numFmtId="165" fontId="42" fillId="0" borderId="0" xfId="0" applyNumberFormat="1" applyFont="1" applyFill="1" applyBorder="1" applyAlignment="1" applyProtection="1">
      <protection locked="0"/>
    </xf>
    <xf numFmtId="0" fontId="42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alignment horizontal="left" indent="1"/>
      <protection locked="0"/>
    </xf>
    <xf numFmtId="0" fontId="7" fillId="0" borderId="0" xfId="0" applyFont="1" applyFill="1" applyProtection="1"/>
    <xf numFmtId="0" fontId="26" fillId="0" borderId="11" xfId="0" applyFont="1" applyFill="1" applyBorder="1" applyAlignment="1" applyProtection="1">
      <alignment horizontal="center" wrapText="1"/>
    </xf>
    <xf numFmtId="0" fontId="7" fillId="0" borderId="11" xfId="0" applyFont="1" applyFill="1" applyBorder="1" applyProtection="1"/>
    <xf numFmtId="172" fontId="7" fillId="0" borderId="11" xfId="0" applyNumberFormat="1" applyFont="1" applyFill="1" applyBorder="1" applyProtection="1"/>
    <xf numFmtId="172" fontId="7" fillId="0" borderId="11" xfId="46" applyNumberFormat="1" applyFont="1" applyFill="1" applyBorder="1" applyAlignment="1" applyProtection="1">
      <alignment horizontal="right"/>
    </xf>
    <xf numFmtId="166" fontId="7" fillId="0" borderId="11" xfId="46" applyNumberFormat="1" applyFont="1" applyFill="1" applyBorder="1" applyAlignment="1" applyProtection="1">
      <alignment horizontal="right"/>
    </xf>
    <xf numFmtId="172" fontId="26" fillId="0" borderId="11" xfId="46" applyNumberFormat="1" applyFont="1" applyFill="1" applyBorder="1" applyAlignment="1" applyProtection="1">
      <alignment horizontal="right" wrapText="1"/>
    </xf>
    <xf numFmtId="166" fontId="26" fillId="0" borderId="11" xfId="0" applyNumberFormat="1" applyFont="1" applyFill="1" applyBorder="1" applyProtection="1"/>
    <xf numFmtId="166" fontId="7" fillId="0" borderId="11" xfId="46" applyNumberFormat="1" applyFont="1" applyFill="1" applyBorder="1" applyAlignment="1" applyProtection="1">
      <alignment horizontal="right" wrapText="1"/>
    </xf>
    <xf numFmtId="166" fontId="7" fillId="0" borderId="11" xfId="0" applyNumberFormat="1" applyFont="1" applyFill="1" applyBorder="1" applyProtection="1"/>
    <xf numFmtId="0" fontId="26" fillId="0" borderId="20" xfId="0" applyFont="1" applyFill="1" applyBorder="1" applyProtection="1"/>
    <xf numFmtId="166" fontId="26" fillId="0" borderId="20" xfId="0" applyNumberFormat="1" applyFont="1" applyFill="1" applyBorder="1" applyProtection="1"/>
    <xf numFmtId="166" fontId="7" fillId="0" borderId="11" xfId="0" applyNumberFormat="1" applyFont="1" applyFill="1" applyBorder="1" applyAlignment="1" applyProtection="1"/>
    <xf numFmtId="0" fontId="26" fillId="0" borderId="20" xfId="0" applyFont="1" applyFill="1" applyBorder="1" applyAlignment="1" applyProtection="1">
      <alignment horizontal="center"/>
    </xf>
    <xf numFmtId="166" fontId="26" fillId="0" borderId="11" xfId="0" applyNumberFormat="1" applyFont="1" applyFill="1" applyBorder="1" applyAlignment="1" applyProtection="1">
      <alignment horizontal="center" wrapText="1"/>
    </xf>
    <xf numFmtId="166" fontId="26" fillId="0" borderId="11" xfId="0" applyNumberFormat="1" applyFont="1" applyFill="1" applyBorder="1" applyAlignment="1" applyProtection="1">
      <alignment horizontal="center"/>
    </xf>
    <xf numFmtId="166" fontId="26" fillId="0" borderId="20" xfId="0" applyNumberFormat="1" applyFont="1" applyFill="1" applyBorder="1" applyAlignment="1" applyProtection="1">
      <alignment horizontal="center"/>
    </xf>
    <xf numFmtId="166" fontId="26" fillId="0" borderId="11" xfId="0" applyNumberFormat="1" applyFont="1" applyFill="1" applyBorder="1" applyAlignment="1" applyProtection="1"/>
    <xf numFmtId="166" fontId="7" fillId="0" borderId="27" xfId="0" applyNumberFormat="1" applyFont="1" applyFill="1" applyBorder="1" applyProtection="1"/>
    <xf numFmtId="166" fontId="7" fillId="0" borderId="27" xfId="0" applyNumberFormat="1" applyFont="1" applyFill="1" applyBorder="1" applyAlignment="1" applyProtection="1"/>
    <xf numFmtId="166" fontId="26" fillId="0" borderId="27" xfId="0" applyNumberFormat="1" applyFont="1" applyFill="1" applyBorder="1" applyProtection="1"/>
    <xf numFmtId="166" fontId="7" fillId="0" borderId="18" xfId="46" applyNumberFormat="1" applyFont="1" applyFill="1" applyBorder="1" applyAlignment="1" applyProtection="1">
      <alignment horizontal="right"/>
    </xf>
    <xf numFmtId="166" fontId="7" fillId="0" borderId="18" xfId="0" applyNumberFormat="1" applyFont="1" applyFill="1" applyBorder="1" applyProtection="1"/>
    <xf numFmtId="166" fontId="7" fillId="0" borderId="19" xfId="0" applyNumberFormat="1" applyFont="1" applyFill="1" applyBorder="1" applyProtection="1"/>
    <xf numFmtId="172" fontId="26" fillId="0" borderId="11" xfId="0" applyNumberFormat="1" applyFont="1" applyFill="1" applyBorder="1" applyProtection="1"/>
    <xf numFmtId="166" fontId="26" fillId="0" borderId="11" xfId="46" applyNumberFormat="1" applyFont="1" applyFill="1" applyBorder="1" applyAlignment="1" applyProtection="1">
      <alignment horizontal="right"/>
    </xf>
    <xf numFmtId="172" fontId="26" fillId="0" borderId="20" xfId="0" applyNumberFormat="1" applyFont="1" applyFill="1" applyBorder="1" applyAlignment="1" applyProtection="1">
      <alignment horizontal="right"/>
    </xf>
    <xf numFmtId="172" fontId="26" fillId="0" borderId="20" xfId="0" applyNumberFormat="1" applyFont="1" applyFill="1" applyBorder="1" applyAlignment="1" applyProtection="1">
      <alignment horizontal="center"/>
    </xf>
    <xf numFmtId="166" fontId="7" fillId="0" borderId="11" xfId="0" quotePrefix="1" applyNumberFormat="1" applyFont="1" applyFill="1" applyBorder="1" applyAlignment="1" applyProtection="1">
      <alignment horizontal="center"/>
    </xf>
    <xf numFmtId="166" fontId="7" fillId="0" borderId="11" xfId="46" applyNumberFormat="1" applyFont="1" applyFill="1" applyBorder="1" applyAlignment="1" applyProtection="1">
      <alignment horizontal="center"/>
    </xf>
    <xf numFmtId="166" fontId="26" fillId="0" borderId="20" xfId="0" applyNumberFormat="1" applyFont="1" applyFill="1" applyBorder="1" applyAlignment="1" applyProtection="1">
      <alignment horizontal="right"/>
    </xf>
    <xf numFmtId="172" fontId="44" fillId="0" borderId="0" xfId="0" applyNumberFormat="1" applyFont="1" applyFill="1" applyBorder="1" applyAlignment="1" applyProtection="1"/>
    <xf numFmtId="0" fontId="26" fillId="0" borderId="27" xfId="0" applyFont="1" applyFill="1" applyBorder="1" applyProtection="1"/>
    <xf numFmtId="0" fontId="6" fillId="0" borderId="11" xfId="66" applyFont="1" applyFill="1" applyBorder="1" applyAlignment="1" applyProtection="1">
      <alignment horizontal="center"/>
      <protection locked="0"/>
    </xf>
    <xf numFmtId="0" fontId="5" fillId="0" borderId="11" xfId="66" applyFont="1" applyFill="1" applyBorder="1" applyAlignment="1" applyProtection="1">
      <alignment horizontal="right"/>
      <protection locked="0"/>
    </xf>
    <xf numFmtId="171" fontId="5" fillId="0" borderId="11" xfId="66" applyNumberFormat="1" applyFont="1" applyFill="1" applyBorder="1" applyAlignment="1" applyProtection="1">
      <alignment horizontal="center"/>
      <protection locked="0"/>
    </xf>
    <xf numFmtId="0" fontId="5" fillId="0" borderId="11" xfId="66" applyFont="1" applyFill="1" applyBorder="1" applyAlignment="1" applyProtection="1">
      <alignment horizontal="center"/>
      <protection locked="0"/>
    </xf>
    <xf numFmtId="170" fontId="5" fillId="0" borderId="11" xfId="268" applyNumberFormat="1" applyFont="1" applyFill="1" applyBorder="1" applyAlignment="1" applyProtection="1">
      <alignment horizontal="right"/>
      <protection locked="0"/>
    </xf>
    <xf numFmtId="0" fontId="5" fillId="0" borderId="11" xfId="66" quotePrefix="1" applyFont="1" applyFill="1" applyBorder="1" applyAlignment="1" applyProtection="1">
      <alignment horizontal="center"/>
      <protection locked="0"/>
    </xf>
    <xf numFmtId="0" fontId="5" fillId="0" borderId="34" xfId="66" applyFont="1" applyFill="1" applyBorder="1" applyAlignment="1" applyProtection="1">
      <alignment horizontal="right"/>
      <protection locked="0"/>
    </xf>
    <xf numFmtId="0" fontId="6" fillId="0" borderId="34" xfId="66" applyFont="1" applyFill="1" applyBorder="1" applyAlignment="1" applyProtection="1">
      <alignment horizontal="center"/>
      <protection locked="0"/>
    </xf>
    <xf numFmtId="171" fontId="5" fillId="0" borderId="34" xfId="66" applyNumberFormat="1" applyFont="1" applyFill="1" applyBorder="1" applyAlignment="1" applyProtection="1">
      <alignment horizontal="center"/>
      <protection locked="0"/>
    </xf>
    <xf numFmtId="0" fontId="5" fillId="0" borderId="34" xfId="66" applyFont="1" applyFill="1" applyBorder="1" applyAlignment="1" applyProtection="1">
      <alignment horizontal="center"/>
      <protection locked="0"/>
    </xf>
    <xf numFmtId="170" fontId="5" fillId="0" borderId="34" xfId="268" applyNumberFormat="1" applyFont="1" applyFill="1" applyBorder="1" applyAlignment="1" applyProtection="1">
      <alignment horizontal="right"/>
      <protection locked="0"/>
    </xf>
    <xf numFmtId="14" fontId="5" fillId="0" borderId="11" xfId="240" applyNumberFormat="1" applyFill="1" applyBorder="1" applyAlignment="1" applyProtection="1">
      <alignment horizontal="center"/>
      <protection locked="0"/>
    </xf>
    <xf numFmtId="170" fontId="5" fillId="0" borderId="11" xfId="268" applyNumberFormat="1" applyFont="1" applyFill="1" applyBorder="1" applyProtection="1">
      <protection locked="0"/>
    </xf>
    <xf numFmtId="0" fontId="5" fillId="0" borderId="11" xfId="240" applyFill="1" applyBorder="1" applyAlignment="1" applyProtection="1">
      <alignment horizontal="center"/>
      <protection locked="0"/>
    </xf>
    <xf numFmtId="14" fontId="5" fillId="0" borderId="34" xfId="240" applyNumberFormat="1" applyFill="1" applyBorder="1" applyAlignment="1" applyProtection="1">
      <alignment horizontal="center"/>
      <protection locked="0"/>
    </xf>
    <xf numFmtId="170" fontId="5" fillId="0" borderId="34" xfId="268" applyNumberFormat="1" applyFont="1" applyFill="1" applyBorder="1" applyProtection="1">
      <protection locked="0"/>
    </xf>
    <xf numFmtId="0" fontId="5" fillId="0" borderId="34" xfId="240" applyFill="1" applyBorder="1" applyAlignment="1" applyProtection="1">
      <alignment horizontal="center"/>
      <protection locked="0"/>
    </xf>
    <xf numFmtId="0" fontId="67" fillId="0" borderId="11" xfId="240" applyFont="1" applyBorder="1" applyAlignment="1" applyProtection="1">
      <alignment horizontal="center"/>
      <protection locked="0"/>
    </xf>
    <xf numFmtId="0" fontId="61" fillId="0" borderId="34" xfId="240" applyFont="1" applyFill="1" applyBorder="1" applyAlignment="1" applyProtection="1">
      <alignment horizontal="center"/>
      <protection locked="0"/>
    </xf>
    <xf numFmtId="0" fontId="5" fillId="0" borderId="34" xfId="66" quotePrefix="1" applyFont="1" applyFill="1" applyBorder="1" applyAlignment="1" applyProtection="1">
      <alignment horizontal="center"/>
      <protection locked="0"/>
    </xf>
    <xf numFmtId="170" fontId="64" fillId="0" borderId="11" xfId="268" applyNumberFormat="1" applyFont="1" applyFill="1" applyBorder="1" applyProtection="1">
      <protection locked="0"/>
    </xf>
    <xf numFmtId="0" fontId="64" fillId="0" borderId="11" xfId="148" applyFont="1" applyBorder="1" applyAlignment="1" applyProtection="1">
      <alignment horizontal="right"/>
      <protection locked="0"/>
    </xf>
    <xf numFmtId="0" fontId="68" fillId="0" borderId="11" xfId="148" applyFont="1" applyFill="1" applyBorder="1" applyAlignment="1" applyProtection="1">
      <alignment horizontal="center"/>
      <protection locked="0"/>
    </xf>
    <xf numFmtId="14" fontId="64" fillId="0" borderId="11" xfId="148" applyNumberFormat="1" applyFont="1" applyBorder="1" applyProtection="1">
      <protection locked="0"/>
    </xf>
    <xf numFmtId="3" fontId="64" fillId="0" borderId="11" xfId="148" applyNumberFormat="1" applyFont="1" applyFill="1" applyBorder="1" applyProtection="1">
      <protection locked="0"/>
    </xf>
    <xf numFmtId="0" fontId="5" fillId="0" borderId="11" xfId="148" applyFont="1" applyFill="1" applyBorder="1" applyAlignment="1" applyProtection="1">
      <alignment horizontal="center"/>
      <protection locked="0"/>
    </xf>
    <xf numFmtId="3" fontId="64" fillId="0" borderId="11" xfId="284" applyNumberFormat="1" applyFont="1" applyBorder="1" applyProtection="1">
      <protection locked="0"/>
    </xf>
    <xf numFmtId="0" fontId="64" fillId="0" borderId="11" xfId="284" applyFont="1" applyBorder="1" applyAlignment="1" applyProtection="1">
      <alignment horizontal="center"/>
      <protection locked="0"/>
    </xf>
    <xf numFmtId="3" fontId="64" fillId="44" borderId="11" xfId="66" applyNumberFormat="1" applyFont="1" applyFill="1" applyBorder="1" applyAlignment="1" applyProtection="1">
      <alignment horizontal="right"/>
      <protection locked="0"/>
    </xf>
    <xf numFmtId="0" fontId="5" fillId="0" borderId="11" xfId="148" applyFont="1" applyBorder="1" applyAlignment="1" applyProtection="1">
      <alignment horizontal="center"/>
      <protection locked="0"/>
    </xf>
    <xf numFmtId="3" fontId="64" fillId="0" borderId="11" xfId="148" applyNumberFormat="1" applyFont="1" applyBorder="1" applyProtection="1">
      <protection locked="0"/>
    </xf>
    <xf numFmtId="0" fontId="5" fillId="44" borderId="11" xfId="66" applyFont="1" applyFill="1" applyBorder="1" applyAlignment="1" applyProtection="1">
      <alignment horizontal="center"/>
      <protection locked="0"/>
    </xf>
    <xf numFmtId="2" fontId="5" fillId="0" borderId="25" xfId="0" applyNumberFormat="1" applyFont="1" applyFill="1" applyBorder="1" applyAlignment="1" applyProtection="1">
      <alignment horizontal="center"/>
    </xf>
    <xf numFmtId="2" fontId="5" fillId="0" borderId="25" xfId="0" applyNumberFormat="1" applyFont="1" applyBorder="1" applyAlignment="1" applyProtection="1">
      <alignment horizontal="center"/>
    </xf>
    <xf numFmtId="2" fontId="5" fillId="0" borderId="32" xfId="0" applyNumberFormat="1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38" fontId="7" fillId="0" borderId="0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/>
    <xf numFmtId="0" fontId="6" fillId="0" borderId="11" xfId="66" applyFont="1" applyFill="1" applyBorder="1" applyAlignment="1" applyProtection="1">
      <alignment horizontal="right"/>
    </xf>
    <xf numFmtId="0" fontId="6" fillId="0" borderId="11" xfId="66" applyFont="1" applyFill="1" applyBorder="1" applyAlignment="1" applyProtection="1">
      <alignment horizontal="center"/>
    </xf>
    <xf numFmtId="171" fontId="6" fillId="0" borderId="11" xfId="66" applyNumberFormat="1" applyFont="1" applyFill="1" applyBorder="1" applyAlignment="1" applyProtection="1">
      <alignment horizontal="center"/>
    </xf>
    <xf numFmtId="0" fontId="5" fillId="0" borderId="13" xfId="0" applyFont="1" applyFill="1" applyBorder="1" applyProtection="1">
      <protection locked="0"/>
    </xf>
    <xf numFmtId="3" fontId="5" fillId="0" borderId="31" xfId="0" applyNumberFormat="1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center"/>
      <protection locked="0"/>
    </xf>
    <xf numFmtId="43" fontId="5" fillId="0" borderId="0" xfId="46" applyFont="1" applyFill="1" applyBorder="1" applyAlignment="1" applyProtection="1">
      <alignment horizontal="left"/>
      <protection locked="0"/>
    </xf>
    <xf numFmtId="3" fontId="5" fillId="0" borderId="0" xfId="0" applyNumberFormat="1" applyFont="1" applyProtection="1">
      <protection locked="0"/>
    </xf>
    <xf numFmtId="9" fontId="5" fillId="0" borderId="0" xfId="145" applyFont="1" applyProtection="1"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5" fillId="0" borderId="16" xfId="0" applyFont="1" applyBorder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36" fillId="0" borderId="11" xfId="0" applyFont="1" applyBorder="1" applyProtection="1">
      <protection locked="0"/>
    </xf>
    <xf numFmtId="0" fontId="36" fillId="0" borderId="18" xfId="0" applyFont="1" applyBorder="1" applyAlignment="1" applyProtection="1">
      <alignment horizontal="center" wrapText="1"/>
      <protection locked="0"/>
    </xf>
    <xf numFmtId="0" fontId="36" fillId="0" borderId="11" xfId="0" applyFont="1" applyBorder="1" applyAlignment="1" applyProtection="1">
      <alignment horizontal="center" wrapText="1"/>
      <protection locked="0"/>
    </xf>
    <xf numFmtId="0" fontId="36" fillId="0" borderId="20" xfId="0" applyFont="1" applyBorder="1" applyAlignment="1" applyProtection="1">
      <alignment horizontal="center" wrapText="1"/>
      <protection locked="0"/>
    </xf>
    <xf numFmtId="0" fontId="36" fillId="0" borderId="21" xfId="0" applyFont="1" applyBorder="1" applyAlignment="1" applyProtection="1">
      <alignment horizontal="center" wrapText="1"/>
      <protection locked="0"/>
    </xf>
    <xf numFmtId="0" fontId="36" fillId="0" borderId="11" xfId="0" applyFont="1" applyFill="1" applyBorder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36" fillId="0" borderId="23" xfId="0" applyFont="1" applyFill="1" applyBorder="1" applyProtection="1">
      <protection locked="0"/>
    </xf>
    <xf numFmtId="0" fontId="5" fillId="0" borderId="13" xfId="0" applyFont="1" applyBorder="1" applyProtection="1">
      <protection locked="0"/>
    </xf>
    <xf numFmtId="0" fontId="36" fillId="0" borderId="28" xfId="0" applyFont="1" applyFill="1" applyBorder="1" applyProtection="1">
      <protection locked="0"/>
    </xf>
    <xf numFmtId="0" fontId="5" fillId="0" borderId="16" xfId="0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166" fontId="5" fillId="0" borderId="0" xfId="0" applyNumberFormat="1" applyFont="1" applyBorder="1" applyAlignment="1" applyProtection="1">
      <alignment horizontal="center"/>
    </xf>
    <xf numFmtId="173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0" fontId="26" fillId="0" borderId="16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Protection="1">
      <protection locked="0"/>
    </xf>
    <xf numFmtId="0" fontId="26" fillId="0" borderId="20" xfId="0" applyFont="1" applyFill="1" applyBorder="1" applyProtection="1">
      <protection locked="0"/>
    </xf>
    <xf numFmtId="0" fontId="26" fillId="0" borderId="20" xfId="0" applyFont="1" applyFill="1" applyBorder="1" applyAlignment="1" applyProtection="1">
      <alignment horizontal="center"/>
      <protection locked="0"/>
    </xf>
    <xf numFmtId="0" fontId="26" fillId="0" borderId="22" xfId="0" applyFont="1" applyFill="1" applyBorder="1" applyProtection="1">
      <protection locked="0"/>
    </xf>
    <xf numFmtId="0" fontId="7" fillId="0" borderId="11" xfId="0" applyFont="1" applyFill="1" applyBorder="1" applyAlignment="1" applyProtection="1">
      <alignment wrapText="1" shrinkToFit="1"/>
      <protection locked="0"/>
    </xf>
    <xf numFmtId="0" fontId="26" fillId="0" borderId="11" xfId="0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0" fillId="0" borderId="0" xfId="0" applyProtection="1">
      <protection locked="0"/>
    </xf>
    <xf numFmtId="38" fontId="58" fillId="0" borderId="17" xfId="0" applyNumberFormat="1" applyFont="1" applyFill="1" applyBorder="1" applyAlignment="1" applyProtection="1">
      <alignment horizontal="center"/>
    </xf>
    <xf numFmtId="3" fontId="58" fillId="0" borderId="27" xfId="0" applyNumberFormat="1" applyFont="1" applyFill="1" applyBorder="1" applyAlignment="1" applyProtection="1">
      <alignment horizontal="center"/>
    </xf>
    <xf numFmtId="3" fontId="58" fillId="0" borderId="0" xfId="0" applyNumberFormat="1" applyFont="1" applyFill="1" applyBorder="1" applyAlignment="1" applyProtection="1">
      <alignment horizontal="center"/>
    </xf>
    <xf numFmtId="38" fontId="58" fillId="0" borderId="0" xfId="0" applyNumberFormat="1" applyFont="1" applyFill="1" applyBorder="1" applyAlignment="1" applyProtection="1">
      <alignment horizontal="center"/>
    </xf>
    <xf numFmtId="172" fontId="7" fillId="0" borderId="11" xfId="0" quotePrefix="1" applyNumberFormat="1" applyFont="1" applyFill="1" applyBorder="1" applyAlignment="1" applyProtection="1">
      <alignment horizontal="center"/>
    </xf>
    <xf numFmtId="172" fontId="7" fillId="0" borderId="11" xfId="0" quotePrefix="1" applyNumberFormat="1" applyFont="1" applyFill="1" applyBorder="1" applyAlignment="1" applyProtection="1">
      <alignment horizontal="right"/>
    </xf>
    <xf numFmtId="172" fontId="26" fillId="0" borderId="20" xfId="0" quotePrefix="1" applyNumberFormat="1" applyFont="1" applyFill="1" applyBorder="1" applyAlignment="1" applyProtection="1">
      <alignment horizontal="center"/>
    </xf>
    <xf numFmtId="172" fontId="26" fillId="0" borderId="20" xfId="0" applyNumberFormat="1" applyFont="1" applyFill="1" applyBorder="1" applyProtection="1"/>
    <xf numFmtId="38" fontId="7" fillId="0" borderId="11" xfId="0" applyNumberFormat="1" applyFont="1" applyFill="1" applyBorder="1" applyProtection="1"/>
    <xf numFmtId="165" fontId="26" fillId="0" borderId="11" xfId="0" applyNumberFormat="1" applyFont="1" applyFill="1" applyBorder="1" applyAlignment="1" applyProtection="1"/>
    <xf numFmtId="172" fontId="26" fillId="0" borderId="11" xfId="46" applyNumberFormat="1" applyFont="1" applyFill="1" applyBorder="1" applyAlignment="1" applyProtection="1">
      <alignment horizontal="right"/>
    </xf>
    <xf numFmtId="38" fontId="7" fillId="0" borderId="27" xfId="0" applyNumberFormat="1" applyFont="1" applyFill="1" applyBorder="1" applyProtection="1"/>
    <xf numFmtId="165" fontId="26" fillId="0" borderId="27" xfId="0" applyNumberFormat="1" applyFont="1" applyFill="1" applyBorder="1" applyAlignment="1" applyProtection="1"/>
    <xf numFmtId="0" fontId="7" fillId="0" borderId="20" xfId="0" applyFont="1" applyFill="1" applyBorder="1" applyProtection="1"/>
    <xf numFmtId="170" fontId="7" fillId="0" borderId="18" xfId="46" applyNumberFormat="1" applyFont="1" applyFill="1" applyBorder="1" applyAlignment="1" applyProtection="1">
      <alignment horizontal="right"/>
    </xf>
    <xf numFmtId="169" fontId="26" fillId="0" borderId="18" xfId="46" applyNumberFormat="1" applyFont="1" applyFill="1" applyBorder="1" applyAlignment="1" applyProtection="1">
      <alignment horizontal="right"/>
    </xf>
    <xf numFmtId="170" fontId="7" fillId="0" borderId="11" xfId="46" applyNumberFormat="1" applyFont="1" applyFill="1" applyBorder="1" applyAlignment="1" applyProtection="1">
      <alignment horizontal="right"/>
    </xf>
    <xf numFmtId="169" fontId="26" fillId="0" borderId="11" xfId="46" applyNumberFormat="1" applyFont="1" applyFill="1" applyBorder="1" applyAlignment="1" applyProtection="1">
      <alignment horizontal="right"/>
    </xf>
    <xf numFmtId="166" fontId="26" fillId="0" borderId="11" xfId="46" applyNumberFormat="1" applyFont="1" applyFill="1" applyBorder="1" applyAlignment="1" applyProtection="1">
      <alignment horizontal="right" wrapText="1"/>
    </xf>
    <xf numFmtId="166" fontId="7" fillId="0" borderId="11" xfId="0" quotePrefix="1" applyNumberFormat="1" applyFont="1" applyFill="1" applyBorder="1" applyAlignment="1" applyProtection="1">
      <alignment horizontal="right"/>
    </xf>
    <xf numFmtId="166" fontId="26" fillId="0" borderId="20" xfId="0" quotePrefix="1" applyNumberFormat="1" applyFont="1" applyFill="1" applyBorder="1" applyAlignment="1" applyProtection="1">
      <alignment horizontal="center"/>
    </xf>
    <xf numFmtId="166" fontId="26" fillId="0" borderId="27" xfId="0" applyNumberFormat="1" applyFont="1" applyFill="1" applyBorder="1" applyAlignment="1" applyProtection="1"/>
    <xf numFmtId="166" fontId="7" fillId="0" borderId="20" xfId="0" applyNumberFormat="1" applyFont="1" applyFill="1" applyBorder="1" applyProtection="1"/>
    <xf numFmtId="166" fontId="26" fillId="0" borderId="18" xfId="46" applyNumberFormat="1" applyFont="1" applyFill="1" applyBorder="1" applyAlignment="1" applyProtection="1">
      <alignment horizontal="right"/>
    </xf>
    <xf numFmtId="0" fontId="7" fillId="0" borderId="18" xfId="0" applyFont="1" applyFill="1" applyBorder="1" applyProtection="1"/>
    <xf numFmtId="0" fontId="26" fillId="0" borderId="11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36" fillId="0" borderId="18" xfId="0" applyFont="1" applyBorder="1" applyAlignment="1" applyProtection="1">
      <alignment horizontal="center" wrapText="1"/>
    </xf>
    <xf numFmtId="0" fontId="36" fillId="0" borderId="18" xfId="0" applyFont="1" applyBorder="1" applyAlignment="1" applyProtection="1">
      <alignment horizontal="center"/>
    </xf>
    <xf numFmtId="0" fontId="36" fillId="0" borderId="20" xfId="0" applyFont="1" applyBorder="1" applyAlignment="1" applyProtection="1">
      <alignment horizontal="center" wrapText="1"/>
    </xf>
    <xf numFmtId="0" fontId="36" fillId="0" borderId="19" xfId="0" applyFont="1" applyBorder="1" applyAlignment="1" applyProtection="1">
      <alignment horizontal="center"/>
    </xf>
    <xf numFmtId="0" fontId="70" fillId="0" borderId="0" xfId="0" applyFont="1"/>
    <xf numFmtId="3" fontId="38" fillId="0" borderId="17" xfId="0" applyNumberFormat="1" applyFont="1" applyFill="1" applyBorder="1" applyAlignment="1" applyProtection="1">
      <alignment horizontal="center"/>
      <protection locked="0"/>
    </xf>
    <xf numFmtId="3" fontId="38" fillId="0" borderId="22" xfId="0" applyNumberFormat="1" applyFont="1" applyFill="1" applyBorder="1" applyAlignment="1" applyProtection="1">
      <alignment horizontal="center"/>
      <protection locked="0"/>
    </xf>
    <xf numFmtId="3" fontId="38" fillId="0" borderId="21" xfId="0" applyNumberFormat="1" applyFont="1" applyFill="1" applyBorder="1" applyAlignment="1" applyProtection="1">
      <alignment horizontal="center"/>
      <protection locked="0"/>
    </xf>
    <xf numFmtId="166" fontId="7" fillId="0" borderId="11" xfId="0" applyNumberFormat="1" applyFont="1" applyFill="1" applyBorder="1" applyProtection="1">
      <protection locked="0"/>
    </xf>
    <xf numFmtId="166" fontId="7" fillId="0" borderId="11" xfId="46" applyNumberFormat="1" applyFont="1" applyFill="1" applyBorder="1" applyAlignment="1" applyProtection="1">
      <alignment horizontal="right"/>
      <protection locked="0"/>
    </xf>
    <xf numFmtId="166" fontId="7" fillId="0" borderId="11" xfId="46" applyNumberFormat="1" applyFont="1" applyFill="1" applyBorder="1" applyAlignment="1" applyProtection="1">
      <alignment horizontal="right" wrapText="1"/>
      <protection locked="0"/>
    </xf>
    <xf numFmtId="172" fontId="7" fillId="0" borderId="11" xfId="46" applyNumberFormat="1" applyFont="1" applyFill="1" applyBorder="1" applyAlignment="1" applyProtection="1">
      <alignment horizontal="right"/>
      <protection locked="0"/>
    </xf>
    <xf numFmtId="172" fontId="7" fillId="0" borderId="11" xfId="0" applyNumberFormat="1" applyFont="1" applyFill="1" applyBorder="1" applyProtection="1">
      <protection locked="0"/>
    </xf>
    <xf numFmtId="166" fontId="7" fillId="0" borderId="11" xfId="46" applyNumberFormat="1" applyFont="1" applyFill="1" applyBorder="1" applyAlignment="1" applyProtection="1">
      <alignment horizontal="center"/>
      <protection locked="0"/>
    </xf>
    <xf numFmtId="166" fontId="26" fillId="0" borderId="11" xfId="0" applyNumberFormat="1" applyFont="1" applyFill="1" applyBorder="1" applyProtection="1">
      <protection locked="0"/>
    </xf>
    <xf numFmtId="172" fontId="26" fillId="0" borderId="20" xfId="0" applyNumberFormat="1" applyFont="1" applyFill="1" applyBorder="1" applyAlignment="1" applyProtection="1">
      <alignment horizontal="center"/>
      <protection locked="0"/>
    </xf>
    <xf numFmtId="172" fontId="44" fillId="0" borderId="11" xfId="0" applyNumberFormat="1" applyFont="1" applyFill="1" applyBorder="1" applyAlignment="1" applyProtection="1">
      <protection locked="0"/>
    </xf>
    <xf numFmtId="172" fontId="44" fillId="0" borderId="11" xfId="0" applyNumberFormat="1" applyFont="1" applyFill="1" applyBorder="1" applyAlignment="1" applyProtection="1">
      <alignment horizontal="right"/>
      <protection locked="0"/>
    </xf>
    <xf numFmtId="172" fontId="7" fillId="0" borderId="11" xfId="0" applyNumberFormat="1" applyFont="1" applyFill="1" applyBorder="1" applyAlignment="1" applyProtection="1">
      <protection locked="0"/>
    </xf>
    <xf numFmtId="176" fontId="44" fillId="0" borderId="11" xfId="0" applyNumberFormat="1" applyFont="1" applyFill="1" applyBorder="1" applyAlignment="1" applyProtection="1">
      <alignment horizontal="right"/>
      <protection locked="0"/>
    </xf>
    <xf numFmtId="172" fontId="64" fillId="0" borderId="11" xfId="0" applyNumberFormat="1" applyFont="1" applyFill="1" applyBorder="1" applyAlignment="1" applyProtection="1">
      <alignment horizontal="right"/>
      <protection locked="0"/>
    </xf>
    <xf numFmtId="172" fontId="64" fillId="0" borderId="13" xfId="0" applyNumberFormat="1" applyFont="1" applyFill="1" applyBorder="1" applyAlignment="1" applyProtection="1">
      <alignment horizontal="right"/>
      <protection locked="0"/>
    </xf>
    <xf numFmtId="172" fontId="5" fillId="0" borderId="13" xfId="0" applyNumberFormat="1" applyFont="1" applyFill="1" applyBorder="1" applyAlignment="1" applyProtection="1">
      <alignment horizontal="right"/>
      <protection locked="0"/>
    </xf>
    <xf numFmtId="172" fontId="5" fillId="0" borderId="11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3" fontId="5" fillId="0" borderId="24" xfId="0" applyNumberFormat="1" applyFont="1" applyFill="1" applyBorder="1" applyAlignment="1" applyProtection="1">
      <alignment horizontal="center"/>
      <protection locked="0"/>
    </xf>
    <xf numFmtId="3" fontId="36" fillId="0" borderId="20" xfId="0" applyNumberFormat="1" applyFont="1" applyFill="1" applyBorder="1" applyAlignment="1" applyProtection="1">
      <alignment horizontal="center" wrapText="1"/>
      <protection locked="0"/>
    </xf>
    <xf numFmtId="3" fontId="38" fillId="44" borderId="17" xfId="0" applyNumberFormat="1" applyFont="1" applyFill="1" applyBorder="1" applyAlignment="1" applyProtection="1">
      <alignment horizontal="center"/>
      <protection locked="0"/>
    </xf>
    <xf numFmtId="3" fontId="38" fillId="0" borderId="0" xfId="0" applyNumberFormat="1" applyFont="1" applyFill="1" applyBorder="1" applyAlignment="1" applyProtection="1">
      <alignment horizontal="center"/>
      <protection locked="0"/>
    </xf>
    <xf numFmtId="3" fontId="38" fillId="0" borderId="20" xfId="0" applyNumberFormat="1" applyFont="1" applyFill="1" applyBorder="1" applyAlignment="1" applyProtection="1">
      <alignment horizontal="center"/>
      <protection locked="0"/>
    </xf>
    <xf numFmtId="38" fontId="58" fillId="0" borderId="11" xfId="146" applyNumberFormat="1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 wrapText="1"/>
      <protection locked="0"/>
    </xf>
    <xf numFmtId="166" fontId="26" fillId="0" borderId="20" xfId="0" applyNumberFormat="1" applyFont="1" applyFill="1" applyBorder="1" applyProtection="1">
      <protection locked="0"/>
    </xf>
    <xf numFmtId="166" fontId="7" fillId="0" borderId="11" xfId="0" applyNumberFormat="1" applyFont="1" applyFill="1" applyBorder="1" applyAlignment="1" applyProtection="1">
      <protection locked="0"/>
    </xf>
    <xf numFmtId="166" fontId="26" fillId="0" borderId="11" xfId="0" applyNumberFormat="1" applyFont="1" applyFill="1" applyBorder="1" applyAlignment="1" applyProtection="1">
      <alignment horizontal="center" wrapText="1"/>
      <protection locked="0"/>
    </xf>
    <xf numFmtId="166" fontId="26" fillId="0" borderId="11" xfId="0" applyNumberFormat="1" applyFont="1" applyFill="1" applyBorder="1" applyAlignment="1" applyProtection="1">
      <alignment horizontal="center"/>
      <protection locked="0"/>
    </xf>
    <xf numFmtId="166" fontId="26" fillId="0" borderId="20" xfId="0" applyNumberFormat="1" applyFont="1" applyFill="1" applyBorder="1" applyAlignment="1" applyProtection="1">
      <alignment horizontal="center"/>
      <protection locked="0"/>
    </xf>
    <xf numFmtId="166" fontId="26" fillId="0" borderId="11" xfId="0" applyNumberFormat="1" applyFont="1" applyFill="1" applyBorder="1" applyAlignment="1" applyProtection="1">
      <protection locked="0"/>
    </xf>
    <xf numFmtId="166" fontId="7" fillId="0" borderId="27" xfId="0" applyNumberFormat="1" applyFont="1" applyFill="1" applyBorder="1" applyProtection="1">
      <protection locked="0"/>
    </xf>
    <xf numFmtId="166" fontId="7" fillId="0" borderId="27" xfId="0" applyNumberFormat="1" applyFont="1" applyFill="1" applyBorder="1" applyAlignment="1" applyProtection="1">
      <protection locked="0"/>
    </xf>
    <xf numFmtId="166" fontId="26" fillId="0" borderId="27" xfId="0" applyNumberFormat="1" applyFont="1" applyFill="1" applyBorder="1" applyProtection="1">
      <protection locked="0"/>
    </xf>
    <xf numFmtId="166" fontId="7" fillId="0" borderId="18" xfId="46" applyNumberFormat="1" applyFont="1" applyFill="1" applyBorder="1" applyAlignment="1" applyProtection="1">
      <alignment horizontal="right"/>
      <protection locked="0"/>
    </xf>
    <xf numFmtId="166" fontId="7" fillId="0" borderId="18" xfId="0" applyNumberFormat="1" applyFont="1" applyFill="1" applyBorder="1" applyProtection="1">
      <protection locked="0"/>
    </xf>
    <xf numFmtId="166" fontId="7" fillId="0" borderId="19" xfId="0" applyNumberFormat="1" applyFont="1" applyFill="1" applyBorder="1" applyProtection="1">
      <protection locked="0"/>
    </xf>
    <xf numFmtId="166" fontId="26" fillId="0" borderId="11" xfId="46" applyNumberFormat="1" applyFont="1" applyFill="1" applyBorder="1" applyAlignment="1" applyProtection="1">
      <alignment horizontal="right"/>
      <protection locked="0"/>
    </xf>
    <xf numFmtId="172" fontId="26" fillId="0" borderId="20" xfId="0" applyNumberFormat="1" applyFont="1" applyFill="1" applyBorder="1" applyAlignment="1" applyProtection="1">
      <alignment horizontal="right"/>
      <protection locked="0"/>
    </xf>
    <xf numFmtId="38" fontId="7" fillId="0" borderId="0" xfId="0" applyNumberFormat="1" applyFont="1" applyFill="1" applyBorder="1" applyAlignment="1" applyProtection="1">
      <protection locked="0"/>
    </xf>
    <xf numFmtId="166" fontId="7" fillId="0" borderId="11" xfId="0" quotePrefix="1" applyNumberFormat="1" applyFont="1" applyFill="1" applyBorder="1" applyAlignment="1" applyProtection="1">
      <alignment horizontal="center"/>
      <protection locked="0"/>
    </xf>
    <xf numFmtId="166" fontId="26" fillId="0" borderId="11" xfId="46" applyNumberFormat="1" applyFont="1" applyFill="1" applyBorder="1" applyAlignment="1" applyProtection="1">
      <alignment horizontal="right" wrapText="1"/>
      <protection locked="0"/>
    </xf>
    <xf numFmtId="166" fontId="26" fillId="0" borderId="20" xfId="0" quotePrefix="1" applyNumberFormat="1" applyFont="1" applyFill="1" applyBorder="1" applyAlignment="1" applyProtection="1">
      <alignment horizontal="center"/>
      <protection locked="0"/>
    </xf>
    <xf numFmtId="166" fontId="26" fillId="0" borderId="27" xfId="0" applyNumberFormat="1" applyFont="1" applyFill="1" applyBorder="1" applyAlignment="1" applyProtection="1">
      <protection locked="0"/>
    </xf>
    <xf numFmtId="166" fontId="7" fillId="0" borderId="20" xfId="0" applyNumberFormat="1" applyFont="1" applyFill="1" applyBorder="1" applyProtection="1">
      <protection locked="0"/>
    </xf>
    <xf numFmtId="166" fontId="26" fillId="0" borderId="18" xfId="46" applyNumberFormat="1" applyFont="1" applyFill="1" applyBorder="1" applyAlignment="1" applyProtection="1">
      <alignment horizontal="right"/>
      <protection locked="0"/>
    </xf>
    <xf numFmtId="166" fontId="26" fillId="0" borderId="20" xfId="0" applyNumberFormat="1" applyFont="1" applyFill="1" applyBorder="1" applyAlignment="1" applyProtection="1">
      <alignment horizontal="right"/>
      <protection locked="0"/>
    </xf>
    <xf numFmtId="0" fontId="6" fillId="0" borderId="0" xfId="66" applyFont="1" applyFill="1" applyProtection="1">
      <protection locked="0"/>
    </xf>
    <xf numFmtId="0" fontId="5" fillId="0" borderId="0" xfId="66" applyFill="1" applyProtection="1">
      <protection locked="0"/>
    </xf>
    <xf numFmtId="0" fontId="6" fillId="0" borderId="35" xfId="66" applyFont="1" applyFill="1" applyBorder="1" applyProtection="1">
      <protection locked="0"/>
    </xf>
    <xf numFmtId="0" fontId="6" fillId="0" borderId="36" xfId="66" applyFont="1" applyFill="1" applyBorder="1" applyProtection="1">
      <protection locked="0"/>
    </xf>
    <xf numFmtId="0" fontId="5" fillId="0" borderId="37" xfId="66" applyFill="1" applyBorder="1" applyProtection="1">
      <protection locked="0"/>
    </xf>
    <xf numFmtId="0" fontId="5" fillId="0" borderId="38" xfId="66" applyFill="1" applyBorder="1" applyProtection="1">
      <protection locked="0"/>
    </xf>
    <xf numFmtId="0" fontId="5" fillId="0" borderId="39" xfId="66" applyFill="1" applyBorder="1" applyProtection="1">
      <protection locked="0"/>
    </xf>
    <xf numFmtId="0" fontId="6" fillId="0" borderId="40" xfId="66" applyFont="1" applyFill="1" applyBorder="1" applyProtection="1">
      <protection locked="0"/>
    </xf>
    <xf numFmtId="0" fontId="6" fillId="0" borderId="41" xfId="66" applyFont="1" applyFill="1" applyBorder="1" applyProtection="1">
      <protection locked="0"/>
    </xf>
    <xf numFmtId="0" fontId="5" fillId="0" borderId="14" xfId="66" applyFill="1" applyBorder="1" applyProtection="1">
      <protection locked="0"/>
    </xf>
    <xf numFmtId="0" fontId="5" fillId="0" borderId="18" xfId="66" applyFill="1" applyBorder="1" applyProtection="1">
      <protection locked="0"/>
    </xf>
    <xf numFmtId="0" fontId="5" fillId="0" borderId="19" xfId="66" applyFill="1" applyBorder="1" applyProtection="1">
      <protection locked="0"/>
    </xf>
    <xf numFmtId="0" fontId="6" fillId="0" borderId="42" xfId="66" applyFont="1" applyFill="1" applyBorder="1" applyAlignment="1" applyProtection="1">
      <alignment horizontal="center"/>
      <protection locked="0"/>
    </xf>
    <xf numFmtId="0" fontId="6" fillId="0" borderId="11" xfId="66" applyFont="1" applyFill="1" applyBorder="1" applyAlignment="1" applyProtection="1">
      <alignment horizontal="center" wrapText="1"/>
      <protection locked="0"/>
    </xf>
    <xf numFmtId="0" fontId="6" fillId="0" borderId="14" xfId="66" applyFont="1" applyFill="1" applyBorder="1" applyAlignment="1" applyProtection="1">
      <alignment horizontal="center"/>
      <protection locked="0"/>
    </xf>
    <xf numFmtId="6" fontId="5" fillId="0" borderId="0" xfId="66" applyNumberFormat="1" applyFill="1" applyBorder="1" applyProtection="1">
      <protection locked="0"/>
    </xf>
    <xf numFmtId="0" fontId="6" fillId="0" borderId="13" xfId="66" applyFont="1" applyFill="1" applyBorder="1" applyAlignment="1" applyProtection="1">
      <alignment horizontal="center" wrapText="1"/>
      <protection locked="0"/>
    </xf>
    <xf numFmtId="0" fontId="5" fillId="0" borderId="13" xfId="66" applyFill="1" applyBorder="1" applyProtection="1">
      <protection locked="0"/>
    </xf>
    <xf numFmtId="6" fontId="5" fillId="0" borderId="18" xfId="66" applyNumberFormat="1" applyFont="1" applyFill="1" applyBorder="1" applyProtection="1">
      <protection locked="0"/>
    </xf>
    <xf numFmtId="6" fontId="5" fillId="0" borderId="0" xfId="66" applyNumberFormat="1" applyFont="1" applyFill="1" applyBorder="1" applyProtection="1">
      <protection locked="0"/>
    </xf>
    <xf numFmtId="6" fontId="5" fillId="0" borderId="24" xfId="66" applyNumberFormat="1" applyFill="1" applyBorder="1" applyProtection="1">
      <protection locked="0"/>
    </xf>
    <xf numFmtId="0" fontId="5" fillId="0" borderId="0" xfId="66" applyProtection="1">
      <protection locked="0"/>
    </xf>
    <xf numFmtId="0" fontId="6" fillId="0" borderId="43" xfId="66" applyFont="1" applyFill="1" applyBorder="1" applyAlignment="1" applyProtection="1">
      <alignment wrapText="1"/>
      <protection locked="0"/>
    </xf>
    <xf numFmtId="0" fontId="6" fillId="0" borderId="0" xfId="66" applyFont="1" applyFill="1" applyBorder="1" applyAlignment="1" applyProtection="1">
      <alignment wrapText="1"/>
      <protection locked="0"/>
    </xf>
    <xf numFmtId="6" fontId="5" fillId="0" borderId="64" xfId="66" applyNumberFormat="1" applyFill="1" applyBorder="1" applyProtection="1">
      <protection locked="0"/>
    </xf>
    <xf numFmtId="0" fontId="5" fillId="0" borderId="0" xfId="66" applyNumberFormat="1" applyFont="1" applyFill="1" applyBorder="1" applyAlignment="1" applyProtection="1">
      <alignment horizontal="left" wrapText="1"/>
      <protection locked="0"/>
    </xf>
    <xf numFmtId="6" fontId="6" fillId="0" borderId="0" xfId="66" applyNumberFormat="1" applyFont="1" applyFill="1" applyBorder="1" applyProtection="1">
      <protection locked="0"/>
    </xf>
    <xf numFmtId="6" fontId="5" fillId="0" borderId="46" xfId="66" applyNumberFormat="1" applyFill="1" applyBorder="1" applyProtection="1">
      <protection locked="0"/>
    </xf>
    <xf numFmtId="0" fontId="6" fillId="0" borderId="49" xfId="66" applyFont="1" applyBorder="1" applyProtection="1">
      <protection locked="0"/>
    </xf>
    <xf numFmtId="0" fontId="6" fillId="0" borderId="50" xfId="66" applyFont="1" applyBorder="1" applyProtection="1">
      <protection locked="0"/>
    </xf>
    <xf numFmtId="164" fontId="5" fillId="0" borderId="50" xfId="66" applyNumberFormat="1" applyBorder="1" applyProtection="1">
      <protection locked="0"/>
    </xf>
    <xf numFmtId="0" fontId="5" fillId="0" borderId="50" xfId="66" applyFill="1" applyBorder="1" applyProtection="1">
      <protection locked="0"/>
    </xf>
    <xf numFmtId="0" fontId="5" fillId="0" borderId="65" xfId="66" applyBorder="1" applyProtection="1">
      <protection locked="0"/>
    </xf>
    <xf numFmtId="6" fontId="5" fillId="0" borderId="0" xfId="66" applyNumberFormat="1" applyFill="1" applyProtection="1">
      <protection locked="0"/>
    </xf>
    <xf numFmtId="0" fontId="31" fillId="0" borderId="0" xfId="66" applyFont="1" applyProtection="1">
      <protection locked="0"/>
    </xf>
    <xf numFmtId="3" fontId="31" fillId="0" borderId="0" xfId="66" applyNumberFormat="1" applyFont="1" applyProtection="1">
      <protection locked="0"/>
    </xf>
    <xf numFmtId="1" fontId="31" fillId="0" borderId="0" xfId="66" applyNumberFormat="1" applyFont="1" applyProtection="1">
      <protection locked="0"/>
    </xf>
    <xf numFmtId="0" fontId="5" fillId="0" borderId="0" xfId="66" applyNumberFormat="1" applyFill="1" applyAlignment="1" applyProtection="1">
      <alignment horizontal="left"/>
      <protection locked="0"/>
    </xf>
    <xf numFmtId="0" fontId="5" fillId="0" borderId="0" xfId="66" applyFill="1" applyBorder="1" applyProtection="1">
      <protection locked="0"/>
    </xf>
    <xf numFmtId="44" fontId="5" fillId="0" borderId="0" xfId="50" applyFill="1" applyProtection="1">
      <protection locked="0"/>
    </xf>
    <xf numFmtId="6" fontId="5" fillId="0" borderId="0" xfId="66" applyNumberFormat="1" applyProtection="1">
      <protection locked="0"/>
    </xf>
    <xf numFmtId="6" fontId="5" fillId="0" borderId="0" xfId="66" applyNumberFormat="1" applyBorder="1" applyAlignment="1" applyProtection="1">
      <alignment horizontal="right"/>
      <protection locked="0"/>
    </xf>
    <xf numFmtId="168" fontId="5" fillId="0" borderId="0" xfId="50" applyNumberFormat="1" applyProtection="1">
      <protection locked="0"/>
    </xf>
    <xf numFmtId="0" fontId="5" fillId="0" borderId="0" xfId="66" applyBorder="1" applyProtection="1">
      <protection locked="0"/>
    </xf>
    <xf numFmtId="168" fontId="5" fillId="0" borderId="0" xfId="50" applyNumberFormat="1" applyFont="1" applyProtection="1">
      <protection locked="0"/>
    </xf>
    <xf numFmtId="6" fontId="5" fillId="0" borderId="0" xfId="66" applyNumberFormat="1" applyFont="1" applyBorder="1" applyProtection="1">
      <protection locked="0"/>
    </xf>
    <xf numFmtId="168" fontId="5" fillId="0" borderId="0" xfId="66" applyNumberFormat="1" applyProtection="1">
      <protection locked="0"/>
    </xf>
    <xf numFmtId="0" fontId="7" fillId="0" borderId="0" xfId="67" applyFont="1" applyProtection="1">
      <protection locked="0"/>
    </xf>
    <xf numFmtId="0" fontId="7" fillId="0" borderId="0" xfId="67" applyProtection="1">
      <protection locked="0"/>
    </xf>
    <xf numFmtId="6" fontId="7" fillId="0" borderId="11" xfId="67" applyNumberFormat="1" applyFont="1" applyBorder="1" applyProtection="1">
      <protection locked="0"/>
    </xf>
    <xf numFmtId="0" fontId="7" fillId="0" borderId="11" xfId="67" applyFont="1" applyBorder="1" applyProtection="1">
      <protection locked="0"/>
    </xf>
    <xf numFmtId="14" fontId="7" fillId="0" borderId="11" xfId="67" applyNumberFormat="1" applyBorder="1" applyProtection="1">
      <protection locked="0"/>
    </xf>
    <xf numFmtId="0" fontId="7" fillId="0" borderId="11" xfId="67" applyBorder="1" applyProtection="1">
      <protection locked="0"/>
    </xf>
    <xf numFmtId="6" fontId="7" fillId="0" borderId="11" xfId="67" applyNumberFormat="1" applyBorder="1" applyProtection="1">
      <protection locked="0"/>
    </xf>
    <xf numFmtId="0" fontId="26" fillId="0" borderId="11" xfId="67" applyFont="1" applyBorder="1" applyProtection="1">
      <protection locked="0"/>
    </xf>
    <xf numFmtId="6" fontId="26" fillId="0" borderId="11" xfId="67" applyNumberFormat="1" applyFont="1" applyBorder="1" applyProtection="1">
      <protection locked="0"/>
    </xf>
    <xf numFmtId="0" fontId="56" fillId="0" borderId="0" xfId="0" applyFont="1" applyProtection="1">
      <protection locked="0"/>
    </xf>
    <xf numFmtId="0" fontId="7" fillId="0" borderId="11" xfId="67" applyFont="1" applyBorder="1" applyAlignment="1" applyProtection="1">
      <alignment horizontal="left"/>
    </xf>
    <xf numFmtId="164" fontId="5" fillId="44" borderId="0" xfId="66" applyNumberFormat="1" applyFont="1" applyFill="1" applyBorder="1" applyProtection="1">
      <protection locked="0"/>
    </xf>
    <xf numFmtId="164" fontId="5" fillId="0" borderId="0" xfId="66" applyNumberFormat="1" applyFont="1" applyFill="1" applyBorder="1" applyProtection="1">
      <protection locked="0"/>
    </xf>
    <xf numFmtId="164" fontId="6" fillId="44" borderId="58" xfId="66" applyNumberFormat="1" applyFont="1" applyFill="1" applyBorder="1" applyProtection="1">
      <protection locked="0"/>
    </xf>
    <xf numFmtId="175" fontId="6" fillId="44" borderId="58" xfId="50" applyNumberFormat="1" applyFont="1" applyFill="1" applyBorder="1" applyProtection="1">
      <protection locked="0"/>
    </xf>
    <xf numFmtId="174" fontId="6" fillId="44" borderId="58" xfId="66" applyNumberFormat="1" applyFont="1" applyFill="1" applyBorder="1" applyProtection="1">
      <protection locked="0"/>
    </xf>
    <xf numFmtId="169" fontId="6" fillId="44" borderId="58" xfId="48" applyNumberFormat="1" applyFont="1" applyFill="1" applyBorder="1" applyProtection="1">
      <protection locked="0"/>
    </xf>
    <xf numFmtId="164" fontId="5" fillId="0" borderId="0" xfId="66" applyNumberFormat="1" applyBorder="1" applyAlignment="1" applyProtection="1">
      <protection locked="0"/>
    </xf>
    <xf numFmtId="164" fontId="5" fillId="0" borderId="0" xfId="66" applyNumberFormat="1" applyFill="1" applyBorder="1" applyAlignment="1" applyProtection="1">
      <protection locked="0"/>
    </xf>
    <xf numFmtId="164" fontId="5" fillId="0" borderId="0" xfId="66" applyNumberFormat="1" applyBorder="1" applyAlignment="1" applyProtection="1">
      <alignment horizontal="right"/>
      <protection locked="0"/>
    </xf>
    <xf numFmtId="164" fontId="5" fillId="0" borderId="0" xfId="66" applyNumberFormat="1" applyFill="1" applyBorder="1" applyAlignment="1" applyProtection="1">
      <alignment horizontal="right"/>
      <protection locked="0"/>
    </xf>
    <xf numFmtId="164" fontId="5" fillId="0" borderId="14" xfId="66" applyNumberFormat="1" applyFill="1" applyBorder="1" applyAlignment="1" applyProtection="1">
      <alignment horizontal="right"/>
      <protection locked="0"/>
    </xf>
    <xf numFmtId="177" fontId="7" fillId="0" borderId="11" xfId="0" applyNumberFormat="1" applyFont="1" applyFill="1" applyBorder="1" applyAlignment="1" applyProtection="1"/>
    <xf numFmtId="0" fontId="47" fillId="0" borderId="0" xfId="66" applyFont="1"/>
    <xf numFmtId="0" fontId="47" fillId="0" borderId="0" xfId="66" applyFont="1" applyBorder="1"/>
    <xf numFmtId="0" fontId="47" fillId="0" borderId="0" xfId="66" applyFont="1" applyFill="1" applyBorder="1"/>
    <xf numFmtId="6" fontId="47" fillId="0" borderId="0" xfId="66" applyNumberFormat="1" applyFont="1" applyBorder="1"/>
    <xf numFmtId="168" fontId="47" fillId="0" borderId="0" xfId="66" applyNumberFormat="1" applyFont="1" applyBorder="1"/>
    <xf numFmtId="168" fontId="47" fillId="0" borderId="0" xfId="52" applyNumberFormat="1" applyFont="1" applyBorder="1"/>
    <xf numFmtId="6" fontId="47" fillId="0" borderId="0" xfId="66" applyNumberFormat="1" applyFont="1" applyFill="1" applyBorder="1"/>
    <xf numFmtId="168" fontId="47" fillId="0" borderId="0" xfId="52" applyNumberFormat="1" applyFont="1" applyFill="1" applyBorder="1"/>
    <xf numFmtId="6" fontId="47" fillId="0" borderId="0" xfId="66" applyNumberFormat="1" applyFont="1" applyFill="1" applyBorder="1" applyAlignment="1">
      <alignment horizontal="right"/>
    </xf>
    <xf numFmtId="0" fontId="47" fillId="0" borderId="0" xfId="66" applyFont="1" applyFill="1" applyBorder="1" applyAlignment="1">
      <alignment vertical="top" wrapText="1"/>
    </xf>
    <xf numFmtId="0" fontId="47" fillId="0" borderId="0" xfId="66" applyFont="1" applyFill="1" applyBorder="1" applyAlignment="1">
      <alignment horizontal="left" vertical="top" wrapText="1"/>
    </xf>
    <xf numFmtId="0" fontId="62" fillId="0" borderId="0" xfId="66" applyFont="1" applyFill="1" applyBorder="1"/>
    <xf numFmtId="6" fontId="48" fillId="0" borderId="0" xfId="66" applyNumberFormat="1" applyFont="1" applyFill="1" applyBorder="1"/>
    <xf numFmtId="0" fontId="50" fillId="0" borderId="0" xfId="66" applyFont="1" applyFill="1" applyBorder="1"/>
    <xf numFmtId="0" fontId="47" fillId="0" borderId="0" xfId="66" applyFont="1" applyFill="1"/>
    <xf numFmtId="0" fontId="47" fillId="46" borderId="18" xfId="66" applyFont="1" applyFill="1" applyBorder="1"/>
    <xf numFmtId="6" fontId="47" fillId="46" borderId="18" xfId="66" applyNumberFormat="1" applyFont="1" applyFill="1" applyBorder="1"/>
    <xf numFmtId="0" fontId="49" fillId="46" borderId="18" xfId="66" applyFont="1" applyFill="1" applyBorder="1"/>
    <xf numFmtId="0" fontId="47" fillId="0" borderId="0" xfId="66" applyFont="1" applyFill="1" applyBorder="1" applyAlignment="1">
      <alignment horizontal="left" indent="2"/>
    </xf>
    <xf numFmtId="0" fontId="47" fillId="0" borderId="0" xfId="66" applyFont="1" applyFill="1" applyBorder="1" applyAlignment="1">
      <alignment horizontal="left" wrapText="1" indent="2"/>
    </xf>
    <xf numFmtId="6" fontId="47" fillId="0" borderId="14" xfId="66" applyNumberFormat="1" applyFont="1" applyFill="1" applyBorder="1"/>
    <xf numFmtId="0" fontId="49" fillId="0" borderId="14" xfId="66" applyFont="1" applyFill="1" applyBorder="1"/>
    <xf numFmtId="0" fontId="47" fillId="0" borderId="27" xfId="66" applyFont="1" applyFill="1" applyBorder="1"/>
    <xf numFmtId="0" fontId="47" fillId="46" borderId="0" xfId="66" applyFont="1" applyFill="1" applyBorder="1"/>
    <xf numFmtId="0" fontId="48" fillId="0" borderId="27" xfId="66" applyFont="1" applyFill="1" applyBorder="1"/>
    <xf numFmtId="0" fontId="47" fillId="0" borderId="0" xfId="66" applyFont="1" applyFill="1" applyAlignment="1">
      <alignment horizontal="left" indent="2"/>
    </xf>
    <xf numFmtId="0" fontId="47" fillId="48" borderId="0" xfId="66" applyFont="1" applyFill="1" applyBorder="1"/>
    <xf numFmtId="6" fontId="47" fillId="48" borderId="18" xfId="66" applyNumberFormat="1" applyFont="1" applyFill="1" applyBorder="1"/>
    <xf numFmtId="0" fontId="49" fillId="48" borderId="18" xfId="66" applyFont="1" applyFill="1" applyBorder="1"/>
    <xf numFmtId="0" fontId="48" fillId="0" borderId="0" xfId="66" applyFont="1" applyFill="1" applyBorder="1" applyAlignment="1">
      <alignment wrapText="1"/>
    </xf>
    <xf numFmtId="0" fontId="48" fillId="0" borderId="0" xfId="66" applyFont="1" applyFill="1" applyBorder="1"/>
    <xf numFmtId="0" fontId="48" fillId="0" borderId="17" xfId="66" applyFont="1" applyFill="1" applyBorder="1"/>
    <xf numFmtId="0" fontId="47" fillId="0" borderId="14" xfId="66" applyFont="1" applyBorder="1"/>
    <xf numFmtId="0" fontId="47" fillId="0" borderId="14" xfId="66" applyFont="1" applyFill="1" applyBorder="1"/>
    <xf numFmtId="0" fontId="48" fillId="0" borderId="14" xfId="66" applyFont="1" applyFill="1" applyBorder="1" applyAlignment="1">
      <alignment wrapText="1"/>
    </xf>
    <xf numFmtId="0" fontId="48" fillId="0" borderId="0" xfId="66" applyFont="1" applyBorder="1"/>
    <xf numFmtId="6" fontId="47" fillId="47" borderId="0" xfId="66" applyNumberFormat="1" applyFont="1" applyFill="1" applyBorder="1"/>
    <xf numFmtId="0" fontId="47" fillId="47" borderId="0" xfId="66" applyFont="1" applyFill="1" applyBorder="1"/>
    <xf numFmtId="0" fontId="47" fillId="0" borderId="0" xfId="66" applyFont="1" applyBorder="1" applyAlignment="1">
      <alignment horizontal="left" indent="2"/>
    </xf>
    <xf numFmtId="0" fontId="49" fillId="0" borderId="0" xfId="66" applyFont="1" applyBorder="1"/>
    <xf numFmtId="6" fontId="48" fillId="46" borderId="18" xfId="66" applyNumberFormat="1" applyFont="1" applyFill="1" applyBorder="1"/>
    <xf numFmtId="0" fontId="49" fillId="46" borderId="20" xfId="66" applyFont="1" applyFill="1" applyBorder="1"/>
    <xf numFmtId="0" fontId="48" fillId="0" borderId="18" xfId="66" applyFont="1" applyFill="1" applyBorder="1" applyAlignment="1">
      <alignment horizontal="center" wrapText="1"/>
    </xf>
    <xf numFmtId="6" fontId="47" fillId="0" borderId="18" xfId="66" applyNumberFormat="1" applyFont="1" applyFill="1" applyBorder="1"/>
    <xf numFmtId="0" fontId="49" fillId="0" borderId="18" xfId="66" applyFont="1" applyFill="1" applyBorder="1" applyAlignment="1">
      <alignment wrapText="1"/>
    </xf>
    <xf numFmtId="0" fontId="48" fillId="0" borderId="14" xfId="66" applyFont="1" applyFill="1" applyBorder="1" applyAlignment="1">
      <alignment horizontal="center" vertical="center" wrapText="1"/>
    </xf>
    <xf numFmtId="0" fontId="48" fillId="0" borderId="16" xfId="66" applyFont="1" applyFill="1" applyBorder="1" applyAlignment="1">
      <alignment horizontal="center"/>
    </xf>
    <xf numFmtId="0" fontId="48" fillId="0" borderId="14" xfId="66" applyFont="1" applyFill="1" applyBorder="1" applyAlignment="1">
      <alignment horizontal="center"/>
    </xf>
    <xf numFmtId="0" fontId="48" fillId="0" borderId="21" xfId="66" applyFont="1" applyFill="1" applyBorder="1" applyAlignment="1">
      <alignment horizontal="center"/>
    </xf>
    <xf numFmtId="0" fontId="48" fillId="0" borderId="16" xfId="66" applyFont="1" applyFill="1" applyBorder="1" applyAlignment="1"/>
    <xf numFmtId="0" fontId="47" fillId="0" borderId="27" xfId="66" applyFont="1" applyFill="1" applyBorder="1" applyAlignment="1">
      <alignment horizontal="center" vertical="center"/>
    </xf>
    <xf numFmtId="0" fontId="49" fillId="46" borderId="19" xfId="66" applyFont="1" applyFill="1" applyBorder="1" applyAlignment="1"/>
    <xf numFmtId="0" fontId="49" fillId="46" borderId="18" xfId="66" applyFont="1" applyFill="1" applyBorder="1" applyAlignment="1"/>
    <xf numFmtId="0" fontId="49" fillId="46" borderId="20" xfId="66" applyFont="1" applyFill="1" applyBorder="1" applyAlignment="1"/>
    <xf numFmtId="0" fontId="48" fillId="0" borderId="46" xfId="66" applyFont="1" applyFill="1" applyBorder="1" applyAlignment="1"/>
    <xf numFmtId="3" fontId="38" fillId="44" borderId="17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>
      <protection locked="0"/>
    </xf>
    <xf numFmtId="0" fontId="6" fillId="0" borderId="0" xfId="0" applyFont="1" applyFill="1" applyAlignment="1" applyProtection="1">
      <alignment wrapText="1"/>
    </xf>
    <xf numFmtId="0" fontId="6" fillId="0" borderId="0" xfId="0" quotePrefix="1" applyFont="1" applyProtection="1">
      <protection locked="0"/>
    </xf>
    <xf numFmtId="0" fontId="71" fillId="0" borderId="0" xfId="0" applyFont="1" applyAlignment="1" applyProtection="1">
      <protection locked="0"/>
    </xf>
    <xf numFmtId="0" fontId="71" fillId="0" borderId="0" xfId="0" applyFont="1" applyAlignment="1" applyProtection="1"/>
    <xf numFmtId="172" fontId="44" fillId="0" borderId="0" xfId="0" applyNumberFormat="1" applyFont="1" applyFill="1" applyBorder="1" applyAlignment="1" applyProtection="1">
      <alignment horizontal="right"/>
    </xf>
    <xf numFmtId="172" fontId="44" fillId="0" borderId="0" xfId="0" applyNumberFormat="1" applyFont="1" applyFill="1" applyBorder="1" applyAlignment="1" applyProtection="1">
      <alignment horizontal="right"/>
      <protection locked="0"/>
    </xf>
    <xf numFmtId="3" fontId="5" fillId="51" borderId="0" xfId="0" applyNumberFormat="1" applyFont="1" applyFill="1" applyBorder="1" applyAlignment="1" applyProtection="1">
      <alignment wrapText="1"/>
    </xf>
    <xf numFmtId="0" fontId="26" fillId="0" borderId="0" xfId="67" applyFo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0" xfId="66" applyFont="1" applyAlignment="1" applyProtection="1"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51" borderId="0" xfId="0" quotePrefix="1" applyFont="1" applyFill="1" applyBorder="1" applyAlignment="1" applyProtection="1">
      <alignment horizontal="right"/>
      <protection locked="0"/>
    </xf>
    <xf numFmtId="0" fontId="26" fillId="0" borderId="11" xfId="0" applyFont="1" applyFill="1" applyBorder="1" applyAlignment="1" applyProtection="1">
      <alignment horizontal="center"/>
    </xf>
    <xf numFmtId="170" fontId="5" fillId="0" borderId="11" xfId="46" applyNumberFormat="1" applyFont="1" applyFill="1" applyBorder="1" applyAlignment="1" applyProtection="1">
      <alignment horizontal="right"/>
      <protection locked="0"/>
    </xf>
    <xf numFmtId="0" fontId="67" fillId="0" borderId="11" xfId="0" applyFont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72" fontId="72" fillId="0" borderId="11" xfId="0" applyNumberFormat="1" applyFont="1" applyFill="1" applyBorder="1" applyAlignment="1" applyProtection="1"/>
    <xf numFmtId="172" fontId="72" fillId="0" borderId="11" xfId="0" applyNumberFormat="1" applyFont="1" applyFill="1" applyBorder="1" applyAlignment="1" applyProtection="1">
      <alignment horizontal="right"/>
    </xf>
    <xf numFmtId="2" fontId="72" fillId="0" borderId="11" xfId="0" applyNumberFormat="1" applyFont="1" applyFill="1" applyBorder="1" applyAlignment="1" applyProtection="1">
      <alignment horizontal="right"/>
    </xf>
    <xf numFmtId="2" fontId="72" fillId="0" borderId="13" xfId="0" applyNumberFormat="1" applyFont="1" applyFill="1" applyBorder="1" applyAlignment="1" applyProtection="1">
      <alignment horizontal="right"/>
    </xf>
    <xf numFmtId="172" fontId="44" fillId="51" borderId="11" xfId="0" applyNumberFormat="1" applyFont="1" applyFill="1" applyBorder="1" applyAlignment="1" applyProtection="1">
      <alignment horizontal="right"/>
    </xf>
    <xf numFmtId="172" fontId="44" fillId="51" borderId="11" xfId="0" applyNumberFormat="1" applyFont="1" applyFill="1" applyBorder="1" applyAlignment="1" applyProtection="1">
      <alignment horizontal="right"/>
      <protection locked="0"/>
    </xf>
    <xf numFmtId="172" fontId="7" fillId="51" borderId="11" xfId="0" applyNumberFormat="1" applyFont="1" applyFill="1" applyBorder="1" applyAlignment="1" applyProtection="1">
      <alignment horizontal="right"/>
    </xf>
    <xf numFmtId="172" fontId="7" fillId="51" borderId="11" xfId="0" applyNumberFormat="1" applyFont="1" applyFill="1" applyBorder="1" applyAlignment="1" applyProtection="1">
      <alignment horizontal="right"/>
      <protection locked="0"/>
    </xf>
    <xf numFmtId="172" fontId="7" fillId="51" borderId="11" xfId="0" applyNumberFormat="1" applyFont="1" applyFill="1" applyBorder="1" applyAlignment="1" applyProtection="1"/>
    <xf numFmtId="172" fontId="7" fillId="51" borderId="11" xfId="0" applyNumberFormat="1" applyFont="1" applyFill="1" applyBorder="1" applyAlignment="1" applyProtection="1">
      <protection locked="0"/>
    </xf>
    <xf numFmtId="177" fontId="7" fillId="51" borderId="11" xfId="0" applyNumberFormat="1" applyFont="1" applyFill="1" applyBorder="1" applyAlignment="1" applyProtection="1"/>
    <xf numFmtId="0" fontId="5" fillId="0" borderId="11" xfId="66" applyFont="1" applyFill="1" applyBorder="1" applyAlignment="1" applyProtection="1">
      <alignment horizontal="right"/>
      <protection locked="0"/>
    </xf>
    <xf numFmtId="171" fontId="5" fillId="0" borderId="11" xfId="66" applyNumberFormat="1" applyFont="1" applyFill="1" applyBorder="1" applyAlignment="1" applyProtection="1">
      <alignment horizontal="center"/>
      <protection locked="0"/>
    </xf>
    <xf numFmtId="0" fontId="5" fillId="0" borderId="11" xfId="66" applyFont="1" applyFill="1" applyBorder="1" applyAlignment="1" applyProtection="1">
      <alignment horizontal="center"/>
      <protection locked="0"/>
    </xf>
    <xf numFmtId="0" fontId="67" fillId="0" borderId="11" xfId="289" applyFont="1" applyBorder="1" applyAlignment="1" applyProtection="1">
      <alignment horizontal="center"/>
      <protection locked="0"/>
    </xf>
    <xf numFmtId="170" fontId="5" fillId="0" borderId="11" xfId="268" applyNumberFormat="1" applyFont="1" applyFill="1" applyBorder="1" applyAlignment="1" applyProtection="1">
      <alignment horizontal="right"/>
      <protection locked="0"/>
    </xf>
    <xf numFmtId="170" fontId="5" fillId="0" borderId="34" xfId="268" applyNumberFormat="1" applyFont="1" applyFill="1" applyBorder="1" applyAlignment="1" applyProtection="1">
      <alignment horizontal="right"/>
      <protection locked="0"/>
    </xf>
    <xf numFmtId="0" fontId="5" fillId="0" borderId="11" xfId="66" quotePrefix="1" applyFont="1" applyFill="1" applyBorder="1" applyAlignment="1" applyProtection="1">
      <alignment horizontal="center"/>
      <protection locked="0"/>
    </xf>
    <xf numFmtId="0" fontId="5" fillId="0" borderId="11" xfId="66" applyFont="1" applyFill="1" applyBorder="1" applyAlignment="1" applyProtection="1">
      <alignment horizontal="center"/>
      <protection locked="0"/>
    </xf>
    <xf numFmtId="43" fontId="0" fillId="0" borderId="0" xfId="46" applyFont="1" applyProtection="1">
      <protection locked="0"/>
    </xf>
    <xf numFmtId="0" fontId="6" fillId="0" borderId="0" xfId="0" quotePrefix="1" applyFont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11" xfId="0" applyFont="1" applyFill="1" applyBorder="1" applyAlignment="1" applyProtection="1">
      <alignment horizontal="center"/>
    </xf>
    <xf numFmtId="0" fontId="26" fillId="0" borderId="15" xfId="0" applyFont="1" applyFill="1" applyBorder="1" applyAlignment="1" applyProtection="1">
      <alignment horizontal="center" wrapText="1"/>
    </xf>
    <xf numFmtId="0" fontId="55" fillId="0" borderId="34" xfId="0" applyFont="1" applyFill="1" applyBorder="1" applyAlignment="1" applyProtection="1">
      <alignment horizontal="center" wrapText="1"/>
    </xf>
    <xf numFmtId="0" fontId="6" fillId="0" borderId="0" xfId="0" quotePrefix="1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6" fillId="0" borderId="0" xfId="0" quotePrefix="1" applyFont="1" applyFill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/>
    </xf>
    <xf numFmtId="0" fontId="6" fillId="0" borderId="0" xfId="66" applyFont="1" applyFill="1" applyAlignment="1" applyProtection="1">
      <alignment wrapText="1"/>
      <protection locked="0"/>
    </xf>
    <xf numFmtId="0" fontId="53" fillId="0" borderId="0" xfId="66" applyFont="1" applyFill="1" applyBorder="1" applyAlignment="1">
      <alignment horizontal="left" vertical="top" wrapText="1"/>
    </xf>
    <xf numFmtId="0" fontId="52" fillId="0" borderId="0" xfId="66" applyFont="1" applyFill="1" applyBorder="1" applyAlignment="1">
      <alignment horizontal="left" vertical="top" wrapText="1"/>
    </xf>
    <xf numFmtId="0" fontId="48" fillId="0" borderId="22" xfId="66" applyFont="1" applyFill="1" applyBorder="1" applyAlignment="1">
      <alignment horizontal="center" vertical="center" wrapText="1"/>
    </xf>
    <xf numFmtId="0" fontId="48" fillId="0" borderId="21" xfId="66" applyFont="1" applyFill="1" applyBorder="1" applyAlignment="1">
      <alignment horizontal="center" vertical="center" wrapText="1"/>
    </xf>
    <xf numFmtId="0" fontId="48" fillId="0" borderId="15" xfId="66" applyFont="1" applyFill="1" applyBorder="1" applyAlignment="1">
      <alignment horizontal="center" vertical="center" wrapText="1"/>
    </xf>
    <xf numFmtId="0" fontId="48" fillId="0" borderId="34" xfId="66" applyFont="1" applyFill="1" applyBorder="1" applyAlignment="1">
      <alignment horizontal="center" vertical="center" wrapText="1"/>
    </xf>
    <xf numFmtId="0" fontId="59" fillId="44" borderId="20" xfId="66" applyFont="1" applyFill="1" applyBorder="1" applyAlignment="1" applyProtection="1">
      <alignment horizontal="center" wrapText="1"/>
    </xf>
    <xf numFmtId="0" fontId="59" fillId="44" borderId="18" xfId="66" applyFont="1" applyFill="1" applyBorder="1" applyAlignment="1" applyProtection="1">
      <alignment horizontal="center" wrapText="1"/>
    </xf>
    <xf numFmtId="0" fontId="59" fillId="44" borderId="19" xfId="66" applyFont="1" applyFill="1" applyBorder="1" applyAlignment="1" applyProtection="1">
      <alignment horizontal="center" wrapText="1"/>
    </xf>
    <xf numFmtId="0" fontId="5" fillId="0" borderId="0" xfId="66" applyFont="1" applyFill="1" applyAlignment="1" applyProtection="1">
      <alignment wrapText="1"/>
    </xf>
    <xf numFmtId="0" fontId="5" fillId="0" borderId="0" xfId="66" applyAlignment="1" applyProtection="1">
      <alignment wrapText="1"/>
    </xf>
  </cellXfs>
  <cellStyles count="340">
    <cellStyle name="20% - Accent1" xfId="1" builtinId="30" customBuiltin="1"/>
    <cellStyle name="20% - Accent1 2" xfId="115"/>
    <cellStyle name="20% - Accent1 3" xfId="149"/>
    <cellStyle name="20% - Accent1 4" xfId="195"/>
    <cellStyle name="20% - Accent1 5" xfId="241"/>
    <cellStyle name="20% - Accent1 6" xfId="290"/>
    <cellStyle name="20% - Accent2" xfId="2" builtinId="34" customBuiltin="1"/>
    <cellStyle name="20% - Accent2 2" xfId="116"/>
    <cellStyle name="20% - Accent2 3" xfId="150"/>
    <cellStyle name="20% - Accent2 4" xfId="196"/>
    <cellStyle name="20% - Accent2 5" xfId="242"/>
    <cellStyle name="20% - Accent2 6" xfId="291"/>
    <cellStyle name="20% - Accent3" xfId="3" builtinId="38" customBuiltin="1"/>
    <cellStyle name="20% - Accent3 2" xfId="117"/>
    <cellStyle name="20% - Accent3 3" xfId="151"/>
    <cellStyle name="20% - Accent3 4" xfId="197"/>
    <cellStyle name="20% - Accent3 5" xfId="243"/>
    <cellStyle name="20% - Accent3 6" xfId="292"/>
    <cellStyle name="20% - Accent4" xfId="4" builtinId="42" customBuiltin="1"/>
    <cellStyle name="20% - Accent4 2" xfId="118"/>
    <cellStyle name="20% - Accent4 3" xfId="152"/>
    <cellStyle name="20% - Accent4 4" xfId="198"/>
    <cellStyle name="20% - Accent4 5" xfId="244"/>
    <cellStyle name="20% - Accent4 6" xfId="293"/>
    <cellStyle name="20% - Accent5" xfId="5" builtinId="46" customBuiltin="1"/>
    <cellStyle name="20% - Accent5 2" xfId="119"/>
    <cellStyle name="20% - Accent5 3" xfId="153"/>
    <cellStyle name="20% - Accent5 4" xfId="199"/>
    <cellStyle name="20% - Accent5 5" xfId="245"/>
    <cellStyle name="20% - Accent5 6" xfId="294"/>
    <cellStyle name="20% - Accent6" xfId="6" builtinId="50" customBuiltin="1"/>
    <cellStyle name="20% - Accent6 2" xfId="120"/>
    <cellStyle name="20% - Accent6 3" xfId="154"/>
    <cellStyle name="20% - Accent6 4" xfId="200"/>
    <cellStyle name="20% - Accent6 5" xfId="246"/>
    <cellStyle name="20% - Accent6 6" xfId="295"/>
    <cellStyle name="40% - Accent1" xfId="7" builtinId="31" customBuiltin="1"/>
    <cellStyle name="40% - Accent1 2" xfId="121"/>
    <cellStyle name="40% - Accent1 3" xfId="155"/>
    <cellStyle name="40% - Accent1 4" xfId="201"/>
    <cellStyle name="40% - Accent1 5" xfId="247"/>
    <cellStyle name="40% - Accent1 6" xfId="296"/>
    <cellStyle name="40% - Accent2" xfId="8" builtinId="35" customBuiltin="1"/>
    <cellStyle name="40% - Accent2 2" xfId="122"/>
    <cellStyle name="40% - Accent2 3" xfId="156"/>
    <cellStyle name="40% - Accent2 4" xfId="202"/>
    <cellStyle name="40% - Accent2 5" xfId="248"/>
    <cellStyle name="40% - Accent2 6" xfId="297"/>
    <cellStyle name="40% - Accent3" xfId="9" builtinId="39" customBuiltin="1"/>
    <cellStyle name="40% - Accent3 2" xfId="123"/>
    <cellStyle name="40% - Accent3 3" xfId="157"/>
    <cellStyle name="40% - Accent3 4" xfId="203"/>
    <cellStyle name="40% - Accent3 5" xfId="249"/>
    <cellStyle name="40% - Accent3 6" xfId="298"/>
    <cellStyle name="40% - Accent4" xfId="10" builtinId="43" customBuiltin="1"/>
    <cellStyle name="40% - Accent4 2" xfId="124"/>
    <cellStyle name="40% - Accent4 3" xfId="158"/>
    <cellStyle name="40% - Accent4 4" xfId="204"/>
    <cellStyle name="40% - Accent4 5" xfId="250"/>
    <cellStyle name="40% - Accent4 6" xfId="299"/>
    <cellStyle name="40% - Accent5" xfId="11" builtinId="47" customBuiltin="1"/>
    <cellStyle name="40% - Accent5 2" xfId="125"/>
    <cellStyle name="40% - Accent5 3" xfId="159"/>
    <cellStyle name="40% - Accent5 4" xfId="205"/>
    <cellStyle name="40% - Accent5 5" xfId="251"/>
    <cellStyle name="40% - Accent5 6" xfId="300"/>
    <cellStyle name="40% - Accent6" xfId="12" builtinId="51" customBuiltin="1"/>
    <cellStyle name="40% - Accent6 2" xfId="126"/>
    <cellStyle name="40% - Accent6 3" xfId="160"/>
    <cellStyle name="40% - Accent6 4" xfId="206"/>
    <cellStyle name="40% - Accent6 5" xfId="252"/>
    <cellStyle name="40% - Accent6 6" xfId="301"/>
    <cellStyle name="60% - Accent1" xfId="13" builtinId="32" customBuiltin="1"/>
    <cellStyle name="60% - Accent1 2" xfId="161"/>
    <cellStyle name="60% - Accent1 3" xfId="207"/>
    <cellStyle name="60% - Accent1 4" xfId="253"/>
    <cellStyle name="60% - Accent1 5" xfId="302"/>
    <cellStyle name="60% - Accent2" xfId="14" builtinId="36" customBuiltin="1"/>
    <cellStyle name="60% - Accent2 2" xfId="162"/>
    <cellStyle name="60% - Accent2 3" xfId="208"/>
    <cellStyle name="60% - Accent2 4" xfId="254"/>
    <cellStyle name="60% - Accent2 5" xfId="303"/>
    <cellStyle name="60% - Accent3" xfId="15" builtinId="40" customBuiltin="1"/>
    <cellStyle name="60% - Accent3 2" xfId="163"/>
    <cellStyle name="60% - Accent3 3" xfId="209"/>
    <cellStyle name="60% - Accent3 4" xfId="255"/>
    <cellStyle name="60% - Accent3 5" xfId="304"/>
    <cellStyle name="60% - Accent4" xfId="16" builtinId="44" customBuiltin="1"/>
    <cellStyle name="60% - Accent4 2" xfId="164"/>
    <cellStyle name="60% - Accent4 3" xfId="210"/>
    <cellStyle name="60% - Accent4 4" xfId="256"/>
    <cellStyle name="60% - Accent4 5" xfId="305"/>
    <cellStyle name="60% - Accent5" xfId="17" builtinId="48" customBuiltin="1"/>
    <cellStyle name="60% - Accent5 2" xfId="165"/>
    <cellStyle name="60% - Accent5 3" xfId="211"/>
    <cellStyle name="60% - Accent5 4" xfId="257"/>
    <cellStyle name="60% - Accent5 5" xfId="306"/>
    <cellStyle name="60% - Accent6" xfId="18" builtinId="52" customBuiltin="1"/>
    <cellStyle name="60% - Accent6 2" xfId="166"/>
    <cellStyle name="60% - Accent6 3" xfId="212"/>
    <cellStyle name="60% - Accent6 4" xfId="258"/>
    <cellStyle name="60% - Accent6 5" xfId="307"/>
    <cellStyle name="Accent1" xfId="19" builtinId="29" customBuiltin="1"/>
    <cellStyle name="Accent1 - 20%" xfId="20"/>
    <cellStyle name="Accent1 - 40%" xfId="21"/>
    <cellStyle name="Accent1 - 60%" xfId="22"/>
    <cellStyle name="Accent1 2" xfId="167"/>
    <cellStyle name="Accent1 3" xfId="213"/>
    <cellStyle name="Accent1 4" xfId="259"/>
    <cellStyle name="Accent1 5" xfId="308"/>
    <cellStyle name="Accent2" xfId="23" builtinId="33" customBuiltin="1"/>
    <cellStyle name="Accent2 - 20%" xfId="24"/>
    <cellStyle name="Accent2 - 40%" xfId="25"/>
    <cellStyle name="Accent2 - 60%" xfId="26"/>
    <cellStyle name="Accent2 2" xfId="168"/>
    <cellStyle name="Accent2 3" xfId="214"/>
    <cellStyle name="Accent2 4" xfId="260"/>
    <cellStyle name="Accent2 5" xfId="309"/>
    <cellStyle name="Accent3" xfId="27" builtinId="37" customBuiltin="1"/>
    <cellStyle name="Accent3 - 20%" xfId="28"/>
    <cellStyle name="Accent3 - 40%" xfId="29"/>
    <cellStyle name="Accent3 - 60%" xfId="30"/>
    <cellStyle name="Accent3 2" xfId="169"/>
    <cellStyle name="Accent3 3" xfId="215"/>
    <cellStyle name="Accent3 4" xfId="261"/>
    <cellStyle name="Accent3 5" xfId="310"/>
    <cellStyle name="Accent4" xfId="31" builtinId="41" customBuiltin="1"/>
    <cellStyle name="Accent4 - 20%" xfId="32"/>
    <cellStyle name="Accent4 - 40%" xfId="33"/>
    <cellStyle name="Accent4 - 60%" xfId="34"/>
    <cellStyle name="Accent4 2" xfId="170"/>
    <cellStyle name="Accent4 3" xfId="216"/>
    <cellStyle name="Accent4 4" xfId="262"/>
    <cellStyle name="Accent4 5" xfId="311"/>
    <cellStyle name="Accent5" xfId="35" builtinId="45" customBuiltin="1"/>
    <cellStyle name="Accent5 - 20%" xfId="36"/>
    <cellStyle name="Accent5 - 40%" xfId="37"/>
    <cellStyle name="Accent5 - 60%" xfId="38"/>
    <cellStyle name="Accent5 2" xfId="171"/>
    <cellStyle name="Accent5 3" xfId="217"/>
    <cellStyle name="Accent5 4" xfId="263"/>
    <cellStyle name="Accent5 5" xfId="312"/>
    <cellStyle name="Accent6" xfId="39" builtinId="49" customBuiltin="1"/>
    <cellStyle name="Accent6 - 20%" xfId="40"/>
    <cellStyle name="Accent6 - 40%" xfId="41"/>
    <cellStyle name="Accent6 - 60%" xfId="42"/>
    <cellStyle name="Accent6 2" xfId="172"/>
    <cellStyle name="Accent6 3" xfId="218"/>
    <cellStyle name="Accent6 4" xfId="264"/>
    <cellStyle name="Accent6 5" xfId="313"/>
    <cellStyle name="Bad" xfId="43" builtinId="27" customBuiltin="1"/>
    <cellStyle name="Bad 2" xfId="173"/>
    <cellStyle name="Bad 3" xfId="219"/>
    <cellStyle name="Bad 4" xfId="265"/>
    <cellStyle name="Bad 5" xfId="314"/>
    <cellStyle name="Calculation" xfId="44" builtinId="22" customBuiltin="1"/>
    <cellStyle name="Calculation 2" xfId="174"/>
    <cellStyle name="Calculation 3" xfId="220"/>
    <cellStyle name="Calculation 4" xfId="266"/>
    <cellStyle name="Calculation 5" xfId="315"/>
    <cellStyle name="Check Cell" xfId="45" builtinId="23" customBuiltin="1"/>
    <cellStyle name="Check Cell 2" xfId="175"/>
    <cellStyle name="Check Cell 3" xfId="221"/>
    <cellStyle name="Check Cell 4" xfId="267"/>
    <cellStyle name="Check Cell 5" xfId="316"/>
    <cellStyle name="Comma" xfId="46" builtinId="3"/>
    <cellStyle name="Comma 2" xfId="47"/>
    <cellStyle name="Comma 2 2" xfId="48"/>
    <cellStyle name="Comma 3" xfId="176"/>
    <cellStyle name="Comma 4" xfId="222"/>
    <cellStyle name="Comma 5" xfId="268"/>
    <cellStyle name="Comma 6" xfId="317"/>
    <cellStyle name="Currency 2" xfId="49"/>
    <cellStyle name="Currency 2 2" xfId="50"/>
    <cellStyle name="Currency 3" xfId="51"/>
    <cellStyle name="Currency 3 2" xfId="52"/>
    <cellStyle name="Currency 4" xfId="53"/>
    <cellStyle name="Currency 4 2" xfId="127"/>
    <cellStyle name="Emphasis 1" xfId="54"/>
    <cellStyle name="Emphasis 2" xfId="55"/>
    <cellStyle name="Emphasis 3" xfId="56"/>
    <cellStyle name="Explanatory Text" xfId="57" builtinId="53" customBuiltin="1"/>
    <cellStyle name="Explanatory Text 2" xfId="177"/>
    <cellStyle name="Explanatory Text 3" xfId="223"/>
    <cellStyle name="Explanatory Text 4" xfId="269"/>
    <cellStyle name="Explanatory Text 5" xfId="318"/>
    <cellStyle name="Good" xfId="58" builtinId="26" customBuiltin="1"/>
    <cellStyle name="Good 2" xfId="178"/>
    <cellStyle name="Good 3" xfId="224"/>
    <cellStyle name="Good 4" xfId="270"/>
    <cellStyle name="Good 5" xfId="319"/>
    <cellStyle name="Heading 1" xfId="59" builtinId="16" customBuiltin="1"/>
    <cellStyle name="Heading 1 2" xfId="179"/>
    <cellStyle name="Heading 1 3" xfId="225"/>
    <cellStyle name="Heading 1 4" xfId="271"/>
    <cellStyle name="Heading 1 5" xfId="320"/>
    <cellStyle name="Heading 2" xfId="60" builtinId="17" customBuiltin="1"/>
    <cellStyle name="Heading 2 2" xfId="180"/>
    <cellStyle name="Heading 2 3" xfId="226"/>
    <cellStyle name="Heading 2 4" xfId="272"/>
    <cellStyle name="Heading 2 5" xfId="321"/>
    <cellStyle name="Heading 3" xfId="61" builtinId="18" customBuiltin="1"/>
    <cellStyle name="Heading 3 2" xfId="181"/>
    <cellStyle name="Heading 3 3" xfId="227"/>
    <cellStyle name="Heading 3 4" xfId="273"/>
    <cellStyle name="Heading 3 5" xfId="322"/>
    <cellStyle name="Heading 4" xfId="62" builtinId="19" customBuiltin="1"/>
    <cellStyle name="Heading 4 2" xfId="182"/>
    <cellStyle name="Heading 4 3" xfId="228"/>
    <cellStyle name="Heading 4 4" xfId="274"/>
    <cellStyle name="Heading 4 5" xfId="323"/>
    <cellStyle name="Input" xfId="63" builtinId="20" customBuiltin="1"/>
    <cellStyle name="Input 2" xfId="183"/>
    <cellStyle name="Input 3" xfId="229"/>
    <cellStyle name="Input 4" xfId="275"/>
    <cellStyle name="Input 5" xfId="324"/>
    <cellStyle name="Linked Cell" xfId="64" builtinId="24" customBuiltin="1"/>
    <cellStyle name="Linked Cell 2" xfId="184"/>
    <cellStyle name="Linked Cell 3" xfId="230"/>
    <cellStyle name="Linked Cell 4" xfId="276"/>
    <cellStyle name="Linked Cell 5" xfId="325"/>
    <cellStyle name="Neutral" xfId="65" builtinId="28" customBuiltin="1"/>
    <cellStyle name="Neutral 2" xfId="185"/>
    <cellStyle name="Neutral 3" xfId="231"/>
    <cellStyle name="Neutral 4" xfId="277"/>
    <cellStyle name="Neutral 5" xfId="326"/>
    <cellStyle name="Normal" xfId="0" builtinId="0"/>
    <cellStyle name="Normal 10" xfId="289"/>
    <cellStyle name="Normal 11" xfId="288"/>
    <cellStyle name="Normal 2" xfId="66"/>
    <cellStyle name="Normal 3" xfId="146"/>
    <cellStyle name="Normal 3 2" xfId="192"/>
    <cellStyle name="Normal 4" xfId="148"/>
    <cellStyle name="Normal 5" xfId="147"/>
    <cellStyle name="Normal 5 2" xfId="238"/>
    <cellStyle name="Normal 5 2 2" xfId="287"/>
    <cellStyle name="Normal 5 2 2 2" xfId="339"/>
    <cellStyle name="Normal 5 2 3" xfId="335"/>
    <cellStyle name="Normal 5 3" xfId="284"/>
    <cellStyle name="Normal 5 3 2" xfId="337"/>
    <cellStyle name="Normal 5 4" xfId="333"/>
    <cellStyle name="Normal 6" xfId="194"/>
    <cellStyle name="Normal 6 2" xfId="286"/>
    <cellStyle name="Normal 7" xfId="193"/>
    <cellStyle name="Normal 7 2" xfId="285"/>
    <cellStyle name="Normal 7 2 2" xfId="338"/>
    <cellStyle name="Normal 7 3" xfId="334"/>
    <cellStyle name="Normal 8" xfId="240"/>
    <cellStyle name="Normal 9" xfId="239"/>
    <cellStyle name="Normal 9 2" xfId="336"/>
    <cellStyle name="Normal_Funding Shift Table Sample" xfId="67"/>
    <cellStyle name="Note" xfId="68" builtinId="10" customBuiltin="1"/>
    <cellStyle name="Note 2" xfId="186"/>
    <cellStyle name="Note 3" xfId="232"/>
    <cellStyle name="Note 4" xfId="278"/>
    <cellStyle name="Note 5" xfId="327"/>
    <cellStyle name="Output" xfId="69" builtinId="21" customBuiltin="1"/>
    <cellStyle name="Output 2" xfId="187"/>
    <cellStyle name="Output 3" xfId="233"/>
    <cellStyle name="Output 4" xfId="279"/>
    <cellStyle name="Output 5" xfId="328"/>
    <cellStyle name="Percent" xfId="145" builtinId="5"/>
    <cellStyle name="Percent 2" xfId="70"/>
    <cellStyle name="Percent 2 2" xfId="71"/>
    <cellStyle name="Percent 3" xfId="191"/>
    <cellStyle name="Percent 4" xfId="237"/>
    <cellStyle name="Percent 5" xfId="283"/>
    <cellStyle name="Percent 6" xfId="332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7 2" xfId="128"/>
    <cellStyle name="SAPBEXexcBad8" xfId="78"/>
    <cellStyle name="SAPBEXexcBad8 2" xfId="129"/>
    <cellStyle name="SAPBEXexcBad9" xfId="79"/>
    <cellStyle name="SAPBEXexcBad9 2" xfId="130"/>
    <cellStyle name="SAPBEXexcCritical4" xfId="80"/>
    <cellStyle name="SAPBEXexcCritical4 2" xfId="131"/>
    <cellStyle name="SAPBEXexcCritical5" xfId="81"/>
    <cellStyle name="SAPBEXexcCritical5 2" xfId="132"/>
    <cellStyle name="SAPBEXexcCritical6" xfId="82"/>
    <cellStyle name="SAPBEXexcCritical6 2" xfId="133"/>
    <cellStyle name="SAPBEXexcGood1" xfId="83"/>
    <cellStyle name="SAPBEXexcGood1 2" xfId="134"/>
    <cellStyle name="SAPBEXexcGood2" xfId="84"/>
    <cellStyle name="SAPBEXexcGood2 2" xfId="135"/>
    <cellStyle name="SAPBEXexcGood3" xfId="85"/>
    <cellStyle name="SAPBEXexcGood3 2" xfId="136"/>
    <cellStyle name="SAPBEXfilterDrill" xfId="86"/>
    <cellStyle name="SAPBEXfilterItem" xfId="87"/>
    <cellStyle name="SAPBEXfilterItem 2" xfId="137"/>
    <cellStyle name="SAPBEXfilterText" xfId="88"/>
    <cellStyle name="SAPBEXformats" xfId="89"/>
    <cellStyle name="SAPBEXformats 2" xfId="138"/>
    <cellStyle name="SAPBEXheaderItem" xfId="90"/>
    <cellStyle name="SAPBEXheaderText" xfId="91"/>
    <cellStyle name="SAPBEXHLevel0" xfId="92"/>
    <cellStyle name="SAPBEXHLevel0X" xfId="93"/>
    <cellStyle name="SAPBEXHLevel1" xfId="94"/>
    <cellStyle name="SAPBEXHLevel1X" xfId="95"/>
    <cellStyle name="SAPBEXHLevel2" xfId="96"/>
    <cellStyle name="SAPBEXHLevel2X" xfId="97"/>
    <cellStyle name="SAPBEXHLevel3" xfId="98"/>
    <cellStyle name="SAPBEXHLevel3X" xfId="99"/>
    <cellStyle name="SAPBEXinputData" xfId="100"/>
    <cellStyle name="SAPBEXresData" xfId="101"/>
    <cellStyle name="SAPBEXresData 2" xfId="139"/>
    <cellStyle name="SAPBEXresDataEmph" xfId="102"/>
    <cellStyle name="SAPBEXresItem" xfId="103"/>
    <cellStyle name="SAPBEXresItem 2" xfId="140"/>
    <cellStyle name="SAPBEXresItemX" xfId="104"/>
    <cellStyle name="SAPBEXresItemX 2" xfId="141"/>
    <cellStyle name="SAPBEXstdData" xfId="105"/>
    <cellStyle name="SAPBEXstdData 2" xfId="142"/>
    <cellStyle name="SAPBEXstdDataEmph" xfId="106"/>
    <cellStyle name="SAPBEXstdItem" xfId="107"/>
    <cellStyle name="SAPBEXstdItem 2" xfId="143"/>
    <cellStyle name="SAPBEXstdItemX" xfId="108"/>
    <cellStyle name="SAPBEXstdItemX 2" xfId="144"/>
    <cellStyle name="SAPBEXtitle" xfId="109"/>
    <cellStyle name="SAPBEXundefined" xfId="110"/>
    <cellStyle name="Sheet Title" xfId="111"/>
    <cellStyle name="Title" xfId="112" builtinId="15" customBuiltin="1"/>
    <cellStyle name="Title 2" xfId="188"/>
    <cellStyle name="Title 3" xfId="234"/>
    <cellStyle name="Title 4" xfId="280"/>
    <cellStyle name="Title 5" xfId="329"/>
    <cellStyle name="Total" xfId="113" builtinId="25" customBuiltin="1"/>
    <cellStyle name="Total 2" xfId="189"/>
    <cellStyle name="Total 3" xfId="235"/>
    <cellStyle name="Total 4" xfId="281"/>
    <cellStyle name="Total 5" xfId="330"/>
    <cellStyle name="Warning Text" xfId="114" builtinId="11" customBuiltin="1"/>
    <cellStyle name="Warning Text 2" xfId="190"/>
    <cellStyle name="Warning Text 3" xfId="236"/>
    <cellStyle name="Warning Text 4" xfId="282"/>
    <cellStyle name="Warning Text 5" xfId="33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14</xdr:col>
      <xdr:colOff>0</xdr:colOff>
      <xdr:row>4</xdr:row>
      <xdr:rowOff>381000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86350" y="600075"/>
          <a:ext cx="935355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2016  Expenditures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cee/dr/Shared%20Documents/2007%20Budget/Budget%20Forecast%202006-08/DR_ACTMA%20Docs/DR%20ACTMA%20thru%2009%20Sept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Kinjo/AppData/Local/Microsoft/Windows/Temporary%20Internet%20Files/Content.Outlook/XGUO2WB4/BIP%20Study%20Appendix%20FF%20%20Ex-Ante%20Load%20Impact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MA Pivot"/>
      <sheetName val="ACTMA Detail"/>
    </sheetNames>
    <sheetDataSet>
      <sheetData sheetId="0"/>
      <sheetData sheetId="1">
        <row r="2">
          <cell r="N2" t="str">
            <v>ENERTOUCH INC</v>
          </cell>
          <cell r="P2">
            <v>232323.08</v>
          </cell>
        </row>
        <row r="3">
          <cell r="N3" t="str">
            <v>ENERTOUCH INC</v>
          </cell>
          <cell r="P3">
            <v>180623.66</v>
          </cell>
        </row>
        <row r="4">
          <cell r="N4" t="str">
            <v>CANNON TECHNOLOGIES INC</v>
          </cell>
          <cell r="P4">
            <v>0</v>
          </cell>
        </row>
        <row r="5">
          <cell r="N5" t="str">
            <v>CANNON TECHNOLOGIES INC</v>
          </cell>
          <cell r="P5">
            <v>4132.8</v>
          </cell>
        </row>
        <row r="6">
          <cell r="N6" t="str">
            <v>CANNON TECHNOLOGIES INC</v>
          </cell>
          <cell r="P6">
            <v>0</v>
          </cell>
        </row>
        <row r="7">
          <cell r="N7" t="str">
            <v>CANNON TECHNOLOGIES INC</v>
          </cell>
          <cell r="P7">
            <v>96768</v>
          </cell>
        </row>
        <row r="8">
          <cell r="N8" t="str">
            <v>CANNON TECHNOLOGIES INC</v>
          </cell>
          <cell r="P8">
            <v>72375</v>
          </cell>
        </row>
        <row r="9">
          <cell r="N9" t="str">
            <v>CANNON TECHNOLOGIES INC</v>
          </cell>
          <cell r="P9">
            <v>96768</v>
          </cell>
        </row>
        <row r="10">
          <cell r="N10" t="str">
            <v>CANNON TECHNOLOGIES INC</v>
          </cell>
          <cell r="P10">
            <v>96768</v>
          </cell>
        </row>
        <row r="11">
          <cell r="N11" t="str">
            <v>CANNON TECHNOLOGIES INC</v>
          </cell>
          <cell r="P11">
            <v>-423059.4</v>
          </cell>
        </row>
        <row r="12">
          <cell r="N12" t="str">
            <v>CANNON TECHNOLOGIES INC</v>
          </cell>
          <cell r="P12">
            <v>0</v>
          </cell>
        </row>
        <row r="13">
          <cell r="N13" t="str">
            <v>CANNON TECHNOLOGIES INC</v>
          </cell>
          <cell r="P13">
            <v>72375</v>
          </cell>
        </row>
        <row r="14">
          <cell r="N14" t="str">
            <v>CANNON TECHNOLOGIES INC</v>
          </cell>
          <cell r="P14">
            <v>423059.4</v>
          </cell>
        </row>
        <row r="15">
          <cell r="N15" t="str">
            <v>CANNON TECHNOLOGIES INC</v>
          </cell>
          <cell r="P15">
            <v>4132.8</v>
          </cell>
        </row>
        <row r="16">
          <cell r="N16" t="str">
            <v>CANNON TECHNOLOGIES INC</v>
          </cell>
          <cell r="P16">
            <v>4132.8</v>
          </cell>
        </row>
        <row r="17">
          <cell r="N17" t="str">
            <v>CANNON TECHNOLOGIES INC</v>
          </cell>
          <cell r="P17">
            <v>72375</v>
          </cell>
        </row>
        <row r="18">
          <cell r="N18" t="str">
            <v>CANNON TECHNOLOGIES INC</v>
          </cell>
          <cell r="P18">
            <v>96768</v>
          </cell>
        </row>
        <row r="19">
          <cell r="N19" t="str">
            <v>CANNON TECHNOLOGIES INC</v>
          </cell>
          <cell r="P19">
            <v>72375</v>
          </cell>
        </row>
        <row r="20">
          <cell r="N20" t="str">
            <v>CANNON TECHNOLOGIES INC</v>
          </cell>
          <cell r="P20">
            <v>1935.36</v>
          </cell>
        </row>
        <row r="21">
          <cell r="N21" t="str">
            <v>CANNON TECHNOLOGIES INC</v>
          </cell>
          <cell r="P21">
            <v>1935.36</v>
          </cell>
        </row>
        <row r="22">
          <cell r="N22" t="str">
            <v>CANNON TECHNOLOGIES INC</v>
          </cell>
          <cell r="P22">
            <v>82.66</v>
          </cell>
        </row>
        <row r="23">
          <cell r="N23" t="str">
            <v>CANNON TECHNOLOGIES INC</v>
          </cell>
          <cell r="P23">
            <v>1935.36</v>
          </cell>
        </row>
        <row r="24">
          <cell r="N24" t="str">
            <v>CANNON TECHNOLOGIES INC</v>
          </cell>
          <cell r="P24">
            <v>1447.5</v>
          </cell>
        </row>
        <row r="25">
          <cell r="N25" t="str">
            <v>CANNON TECHNOLOGIES INC</v>
          </cell>
          <cell r="P25">
            <v>-82.66</v>
          </cell>
        </row>
        <row r="26">
          <cell r="N26" t="str">
            <v>CANNON TECHNOLOGIES INC</v>
          </cell>
          <cell r="P26">
            <v>1447.5</v>
          </cell>
        </row>
        <row r="27">
          <cell r="N27" t="str">
            <v>CANNON TECHNOLOGIES INC</v>
          </cell>
          <cell r="P27">
            <v>82.66</v>
          </cell>
        </row>
        <row r="28">
          <cell r="N28" t="str">
            <v>CANNON TECHNOLOGIES INC</v>
          </cell>
          <cell r="P28">
            <v>1447.5</v>
          </cell>
        </row>
        <row r="29">
          <cell r="N29" t="str">
            <v>CANNON TECHNOLOGIES INC</v>
          </cell>
          <cell r="P29">
            <v>82.66</v>
          </cell>
        </row>
        <row r="30">
          <cell r="N30" t="str">
            <v>CANNON TECHNOLOGIES INC</v>
          </cell>
          <cell r="P30">
            <v>1935.36</v>
          </cell>
        </row>
        <row r="31">
          <cell r="N31" t="str">
            <v>CANNON TECHNOLOGIES INC</v>
          </cell>
          <cell r="P31">
            <v>82.66</v>
          </cell>
        </row>
        <row r="32">
          <cell r="N32" t="str">
            <v>CANNON TECHNOLOGIES INC</v>
          </cell>
          <cell r="P32">
            <v>1447.5</v>
          </cell>
        </row>
        <row r="33">
          <cell r="N33" t="str">
            <v/>
          </cell>
          <cell r="P33">
            <v>0</v>
          </cell>
        </row>
        <row r="34">
          <cell r="N34" t="str">
            <v/>
          </cell>
          <cell r="P34">
            <v>0</v>
          </cell>
        </row>
        <row r="35">
          <cell r="N35" t="str">
            <v/>
          </cell>
          <cell r="P35">
            <v>0</v>
          </cell>
        </row>
        <row r="36">
          <cell r="N36" t="str">
            <v/>
          </cell>
          <cell r="P36">
            <v>0</v>
          </cell>
        </row>
        <row r="37">
          <cell r="N37" t="str">
            <v/>
          </cell>
          <cell r="P37">
            <v>0</v>
          </cell>
        </row>
        <row r="38">
          <cell r="N38" t="str">
            <v/>
          </cell>
          <cell r="P38">
            <v>0</v>
          </cell>
        </row>
        <row r="39">
          <cell r="N39" t="str">
            <v/>
          </cell>
          <cell r="P39">
            <v>0</v>
          </cell>
        </row>
        <row r="40">
          <cell r="N40" t="str">
            <v>CORESTAFF SERVICES LP</v>
          </cell>
          <cell r="P40">
            <v>0</v>
          </cell>
        </row>
        <row r="41">
          <cell r="N41" t="str">
            <v>CORESTAFF SERVICES LP</v>
          </cell>
          <cell r="P41">
            <v>0</v>
          </cell>
        </row>
        <row r="42">
          <cell r="N42" t="str">
            <v>CORESTAFF SERVICES LP</v>
          </cell>
          <cell r="P42">
            <v>0</v>
          </cell>
        </row>
        <row r="43">
          <cell r="N43" t="str">
            <v>CORESTAFF SERVICES LP</v>
          </cell>
          <cell r="P43">
            <v>0</v>
          </cell>
        </row>
        <row r="44">
          <cell r="N44" t="str">
            <v>CORESTAFF SERVICES LP</v>
          </cell>
          <cell r="P44">
            <v>0</v>
          </cell>
        </row>
        <row r="45">
          <cell r="N45" t="str">
            <v>CORESTAFF SERVICES LP</v>
          </cell>
          <cell r="P45">
            <v>0</v>
          </cell>
        </row>
        <row r="46">
          <cell r="N46" t="str">
            <v/>
          </cell>
          <cell r="P46">
            <v>0</v>
          </cell>
        </row>
        <row r="47">
          <cell r="N47" t="str">
            <v/>
          </cell>
          <cell r="P47">
            <v>4</v>
          </cell>
        </row>
        <row r="48">
          <cell r="N48" t="str">
            <v>CANNON TECHNOLOGIES INC</v>
          </cell>
          <cell r="P48">
            <v>6500</v>
          </cell>
        </row>
        <row r="49">
          <cell r="N49" t="str">
            <v>CANNON TECHNOLOGIES INC</v>
          </cell>
          <cell r="P49">
            <v>1700</v>
          </cell>
        </row>
        <row r="50">
          <cell r="N50" t="str">
            <v>CANNON TECHNOLOGIES INC</v>
          </cell>
          <cell r="P50">
            <v>-1447.5</v>
          </cell>
        </row>
        <row r="51">
          <cell r="N51" t="str">
            <v>ENERTOUCH INC</v>
          </cell>
          <cell r="P51">
            <v>10678</v>
          </cell>
        </row>
        <row r="52">
          <cell r="N52" t="str">
            <v>CANNON TECHNOLOGIES INC</v>
          </cell>
          <cell r="P52">
            <v>1447.5</v>
          </cell>
        </row>
        <row r="53">
          <cell r="N53" t="str">
            <v>ENERTOUCH INC</v>
          </cell>
          <cell r="P53">
            <v>10272</v>
          </cell>
        </row>
        <row r="54">
          <cell r="N54" t="str">
            <v>ENERTOUCH INC</v>
          </cell>
          <cell r="P54">
            <v>27698.54</v>
          </cell>
        </row>
        <row r="55">
          <cell r="N55" t="str">
            <v>ENERTOUCH INC</v>
          </cell>
          <cell r="P55">
            <v>16523.47</v>
          </cell>
        </row>
        <row r="56">
          <cell r="N56" t="str">
            <v>CORESTAFF SERVICES LP</v>
          </cell>
          <cell r="P56">
            <v>0</v>
          </cell>
        </row>
        <row r="57">
          <cell r="N57" t="str">
            <v>CORESTAFF SERVICES LP</v>
          </cell>
          <cell r="P57">
            <v>0</v>
          </cell>
        </row>
        <row r="58">
          <cell r="N58" t="str">
            <v>CORESTAFF SERVICES LP</v>
          </cell>
          <cell r="P58">
            <v>0</v>
          </cell>
        </row>
        <row r="59">
          <cell r="N59" t="str">
            <v>CORESTAFF SERVICES LP</v>
          </cell>
          <cell r="P59">
            <v>0</v>
          </cell>
        </row>
        <row r="60">
          <cell r="N60" t="str">
            <v>CORESTAFF SERVICES LP</v>
          </cell>
          <cell r="P60">
            <v>0</v>
          </cell>
        </row>
        <row r="61">
          <cell r="N61" t="str">
            <v>YATES ADVERTISING</v>
          </cell>
          <cell r="P61">
            <v>25500</v>
          </cell>
        </row>
        <row r="62">
          <cell r="N62" t="str">
            <v>YATES ADVERTISING</v>
          </cell>
          <cell r="P62">
            <v>14250</v>
          </cell>
        </row>
        <row r="63">
          <cell r="N63" t="str">
            <v>YATES ADVERTISING</v>
          </cell>
          <cell r="P63">
            <v>28436.41</v>
          </cell>
        </row>
        <row r="64">
          <cell r="N64" t="str">
            <v>YATES ADVERTISING</v>
          </cell>
          <cell r="P64">
            <v>38400</v>
          </cell>
        </row>
        <row r="65">
          <cell r="N65" t="str">
            <v>YATES ADVERTISING</v>
          </cell>
          <cell r="P65">
            <v>12826.5</v>
          </cell>
        </row>
        <row r="66">
          <cell r="N66" t="str">
            <v>YATES ADVERTISING</v>
          </cell>
          <cell r="P66">
            <v>813.75</v>
          </cell>
        </row>
        <row r="67">
          <cell r="N67" t="str">
            <v>YATES ADVERTISING</v>
          </cell>
          <cell r="P67">
            <v>33766.75</v>
          </cell>
        </row>
        <row r="68">
          <cell r="N68" t="str">
            <v>YATES ADVERTISING</v>
          </cell>
          <cell r="P68">
            <v>61289.79</v>
          </cell>
        </row>
        <row r="69">
          <cell r="N69" t="str">
            <v>YATES ADVERTISING</v>
          </cell>
          <cell r="P69">
            <v>7950</v>
          </cell>
        </row>
        <row r="70">
          <cell r="N70" t="str">
            <v>YATES ADVERTISING</v>
          </cell>
          <cell r="P70">
            <v>10481.25</v>
          </cell>
        </row>
        <row r="71">
          <cell r="N71" t="str">
            <v>HUGHES UTILITIES LTD</v>
          </cell>
          <cell r="P71">
            <v>1000</v>
          </cell>
        </row>
        <row r="72">
          <cell r="N72" t="str">
            <v>TRANSCONTINENTAL DIRECT USA IN</v>
          </cell>
          <cell r="P72">
            <v>169882.63</v>
          </cell>
        </row>
        <row r="73">
          <cell r="N73" t="str">
            <v>CORESTAFF SERVICES LP</v>
          </cell>
          <cell r="P73">
            <v>0</v>
          </cell>
        </row>
        <row r="74">
          <cell r="N74" t="str">
            <v>CORESTAFF SERVICES LP</v>
          </cell>
          <cell r="P74">
            <v>0</v>
          </cell>
        </row>
        <row r="75">
          <cell r="N75" t="str">
            <v>CORESTAFF SERVICES LP</v>
          </cell>
          <cell r="P75">
            <v>0</v>
          </cell>
        </row>
        <row r="76">
          <cell r="N76" t="str">
            <v>CORESTAFF SERVICES LP</v>
          </cell>
          <cell r="P76">
            <v>0</v>
          </cell>
        </row>
        <row r="77">
          <cell r="N77" t="str">
            <v>CORESTAFF SERVICES LP</v>
          </cell>
          <cell r="P77">
            <v>0</v>
          </cell>
        </row>
        <row r="78">
          <cell r="N78" t="str">
            <v>CORESTAFF SERVICES LP</v>
          </cell>
          <cell r="P78">
            <v>0</v>
          </cell>
        </row>
        <row r="79">
          <cell r="N79" t="str">
            <v/>
          </cell>
          <cell r="P79">
            <v>0</v>
          </cell>
        </row>
        <row r="80">
          <cell r="N80" t="str">
            <v>TRANSCONTINENTAL DIRECT USA IN</v>
          </cell>
          <cell r="P80">
            <v>165430</v>
          </cell>
        </row>
        <row r="81">
          <cell r="N81" t="str">
            <v>US POSTMASTER</v>
          </cell>
          <cell r="P81">
            <v>0</v>
          </cell>
        </row>
        <row r="82">
          <cell r="N82" t="str">
            <v/>
          </cell>
          <cell r="P82">
            <v>0</v>
          </cell>
        </row>
        <row r="83">
          <cell r="N83" t="str">
            <v/>
          </cell>
          <cell r="P83">
            <v>0</v>
          </cell>
        </row>
        <row r="84">
          <cell r="N84" t="str">
            <v/>
          </cell>
          <cell r="P84">
            <v>8</v>
          </cell>
        </row>
        <row r="85">
          <cell r="N85" t="str">
            <v/>
          </cell>
          <cell r="P85">
            <v>0</v>
          </cell>
        </row>
        <row r="86">
          <cell r="N86" t="str">
            <v/>
          </cell>
          <cell r="P86">
            <v>0</v>
          </cell>
        </row>
        <row r="87">
          <cell r="N87" t="str">
            <v/>
          </cell>
          <cell r="P87">
            <v>0</v>
          </cell>
        </row>
        <row r="88">
          <cell r="N88" t="str">
            <v/>
          </cell>
          <cell r="P88">
            <v>0</v>
          </cell>
        </row>
        <row r="89">
          <cell r="N89" t="str">
            <v/>
          </cell>
          <cell r="P89">
            <v>1</v>
          </cell>
        </row>
        <row r="90">
          <cell r="N90" t="str">
            <v/>
          </cell>
          <cell r="P90">
            <v>1</v>
          </cell>
        </row>
        <row r="91">
          <cell r="N91" t="str">
            <v/>
          </cell>
          <cell r="P91">
            <v>1</v>
          </cell>
        </row>
        <row r="92">
          <cell r="N92" t="str">
            <v/>
          </cell>
          <cell r="P92">
            <v>1</v>
          </cell>
        </row>
        <row r="93">
          <cell r="N93" t="str">
            <v/>
          </cell>
          <cell r="P93">
            <v>1</v>
          </cell>
        </row>
        <row r="94">
          <cell r="N94" t="str">
            <v/>
          </cell>
          <cell r="P94">
            <v>1</v>
          </cell>
        </row>
        <row r="95">
          <cell r="N95" t="str">
            <v/>
          </cell>
          <cell r="P95">
            <v>1</v>
          </cell>
        </row>
        <row r="96">
          <cell r="N96" t="str">
            <v/>
          </cell>
          <cell r="P96">
            <v>1</v>
          </cell>
        </row>
        <row r="97">
          <cell r="N97" t="str">
            <v/>
          </cell>
          <cell r="P97">
            <v>2</v>
          </cell>
        </row>
        <row r="98">
          <cell r="N98" t="str">
            <v/>
          </cell>
          <cell r="P98">
            <v>1</v>
          </cell>
        </row>
        <row r="99">
          <cell r="N99" t="str">
            <v/>
          </cell>
          <cell r="P99">
            <v>1</v>
          </cell>
        </row>
        <row r="100">
          <cell r="N100" t="str">
            <v/>
          </cell>
          <cell r="P100">
            <v>1</v>
          </cell>
        </row>
        <row r="101">
          <cell r="N101" t="str">
            <v/>
          </cell>
          <cell r="P101">
            <v>1</v>
          </cell>
        </row>
        <row r="102">
          <cell r="N102" t="str">
            <v/>
          </cell>
          <cell r="P102">
            <v>2442.12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-OUTPUTS"/>
      <sheetName val="LOOKUP"/>
      <sheetName val="DATA"/>
      <sheetName val="ENROLLMENT"/>
    </sheetNames>
    <sheetDataSet>
      <sheetData sheetId="0" refreshError="1"/>
      <sheetData sheetId="1">
        <row r="2">
          <cell r="E2" t="str">
            <v>Typical Event Day</v>
          </cell>
        </row>
        <row r="3">
          <cell r="E3" t="str">
            <v>January Monthly Peak</v>
          </cell>
        </row>
        <row r="4">
          <cell r="E4" t="str">
            <v>February Monthly Peak</v>
          </cell>
        </row>
        <row r="5">
          <cell r="E5" t="str">
            <v>March Monthly Peak</v>
          </cell>
        </row>
        <row r="6">
          <cell r="E6" t="str">
            <v>April Monthly Peak</v>
          </cell>
        </row>
        <row r="7">
          <cell r="E7" t="str">
            <v>May Monthly Peak</v>
          </cell>
        </row>
        <row r="8">
          <cell r="E8" t="str">
            <v>June Monthly Peak</v>
          </cell>
        </row>
        <row r="9">
          <cell r="E9" t="str">
            <v>July Monthly Peak</v>
          </cell>
        </row>
        <row r="10">
          <cell r="E10" t="str">
            <v>August Monthly Peak</v>
          </cell>
        </row>
        <row r="11">
          <cell r="E11" t="str">
            <v>September Monthly Peak</v>
          </cell>
        </row>
        <row r="12">
          <cell r="E12" t="str">
            <v>October Monthly Peak</v>
          </cell>
        </row>
        <row r="13">
          <cell r="E13" t="str">
            <v>November Monthly Peak</v>
          </cell>
        </row>
        <row r="14">
          <cell r="E14" t="str">
            <v>December Monthly Peak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8"/>
  <sheetViews>
    <sheetView showGridLines="0" tabSelected="1" view="pageLayout" topLeftCell="A7" zoomScaleNormal="100" zoomScaleSheetLayoutView="80" workbookViewId="0">
      <selection activeCell="B21" sqref="B21"/>
    </sheetView>
  </sheetViews>
  <sheetFormatPr defaultColWidth="9.109375" defaultRowHeight="13.2" x14ac:dyDescent="0.25"/>
  <cols>
    <col min="1" max="1" width="41.5546875" style="34" customWidth="1"/>
    <col min="2" max="2" width="9.44140625" style="34" bestFit="1" customWidth="1"/>
    <col min="3" max="3" width="11.5546875" style="34" customWidth="1"/>
    <col min="4" max="4" width="14" style="34" bestFit="1" customWidth="1"/>
    <col min="5" max="5" width="12" style="34" customWidth="1"/>
    <col min="6" max="6" width="9.109375" style="34"/>
    <col min="7" max="7" width="9.88671875" style="34" bestFit="1" customWidth="1"/>
    <col min="8" max="8" width="9.5546875" style="34" customWidth="1"/>
    <col min="9" max="9" width="11.5546875" style="34" bestFit="1" customWidth="1"/>
    <col min="10" max="10" width="7.6640625" style="34" bestFit="1" customWidth="1"/>
    <col min="11" max="16" width="12.5546875" style="34" customWidth="1"/>
    <col min="17" max="17" width="10.6640625" style="34" customWidth="1"/>
    <col min="18" max="18" width="11" style="34" customWidth="1"/>
    <col min="19" max="19" width="11.33203125" style="34" customWidth="1"/>
    <col min="20" max="20" width="14.109375" style="34" hidden="1" customWidth="1"/>
    <col min="21" max="21" width="9.6640625" style="34" customWidth="1"/>
    <col min="22" max="22" width="11.44140625" style="34" customWidth="1"/>
    <col min="23" max="23" width="11" style="34" customWidth="1"/>
    <col min="24" max="25" width="9.6640625" style="34" customWidth="1"/>
    <col min="26" max="26" width="12.88671875" style="34" customWidth="1"/>
    <col min="27" max="27" width="8.88671875" style="34" bestFit="1" customWidth="1"/>
    <col min="28" max="28" width="10.5546875" style="34" customWidth="1"/>
    <col min="29" max="29" width="9.88671875" style="34" bestFit="1" customWidth="1"/>
    <col min="30" max="30" width="11.109375" style="34" customWidth="1"/>
    <col min="31" max="31" width="9.88671875" style="34" bestFit="1" customWidth="1"/>
    <col min="32" max="32" width="10.88671875" style="34" customWidth="1"/>
    <col min="33" max="33" width="12.109375" style="34" bestFit="1" customWidth="1"/>
    <col min="34" max="34" width="12.109375" style="34" customWidth="1"/>
    <col min="35" max="35" width="9.5546875" style="34" bestFit="1" customWidth="1"/>
    <col min="36" max="36" width="11.109375" style="34" customWidth="1"/>
    <col min="37" max="37" width="11.6640625" style="34" bestFit="1" customWidth="1"/>
    <col min="38" max="38" width="11.6640625" style="34" customWidth="1"/>
    <col min="39" max="16384" width="9.109375" style="34"/>
  </cols>
  <sheetData>
    <row r="1" spans="1:31" x14ac:dyDescent="0.25">
      <c r="E1" s="341"/>
    </row>
    <row r="3" spans="1:31" ht="14.25" customHeight="1" x14ac:dyDescent="0.25">
      <c r="Q3" s="342"/>
      <c r="R3" s="343"/>
    </row>
    <row r="4" spans="1:31" ht="14.25" customHeight="1" x14ac:dyDescent="0.25"/>
    <row r="5" spans="1:31" hidden="1" x14ac:dyDescent="0.25">
      <c r="C5" s="34">
        <v>2</v>
      </c>
      <c r="D5" s="34">
        <f>C5</f>
        <v>2</v>
      </c>
      <c r="F5" s="34">
        <f>C5+1</f>
        <v>3</v>
      </c>
      <c r="G5" s="34">
        <f>F5</f>
        <v>3</v>
      </c>
      <c r="I5" s="34">
        <f>F5+1</f>
        <v>4</v>
      </c>
      <c r="J5" s="34">
        <f>I5</f>
        <v>4</v>
      </c>
      <c r="L5" s="34">
        <f>I5+1</f>
        <v>5</v>
      </c>
      <c r="M5" s="34">
        <f>L5</f>
        <v>5</v>
      </c>
      <c r="O5" s="34">
        <f>L5+1</f>
        <v>6</v>
      </c>
      <c r="P5" s="34">
        <f>O5</f>
        <v>6</v>
      </c>
      <c r="R5" s="34">
        <f>O5+1</f>
        <v>7</v>
      </c>
      <c r="S5" s="34">
        <f>R5</f>
        <v>7</v>
      </c>
    </row>
    <row r="6" spans="1:31" x14ac:dyDescent="0.25">
      <c r="C6" s="344"/>
    </row>
    <row r="7" spans="1:31" ht="15" customHeight="1" x14ac:dyDescent="0.25">
      <c r="A7" s="345"/>
      <c r="B7" s="346"/>
      <c r="C7" s="347" t="s">
        <v>0</v>
      </c>
      <c r="D7" s="346"/>
      <c r="E7" s="346"/>
      <c r="F7" s="346" t="s">
        <v>1</v>
      </c>
      <c r="G7" s="346"/>
      <c r="H7" s="346"/>
      <c r="I7" s="346" t="s">
        <v>2</v>
      </c>
      <c r="J7" s="346"/>
      <c r="K7" s="346"/>
      <c r="L7" s="346" t="s">
        <v>3</v>
      </c>
      <c r="M7" s="346"/>
      <c r="N7" s="346"/>
      <c r="O7" s="346" t="s">
        <v>4</v>
      </c>
      <c r="P7" s="346"/>
      <c r="Q7" s="346"/>
      <c r="R7" s="346" t="s">
        <v>5</v>
      </c>
      <c r="S7" s="346"/>
      <c r="T7" s="35"/>
    </row>
    <row r="8" spans="1:31" ht="41.25" customHeight="1" x14ac:dyDescent="0.25">
      <c r="A8" s="348" t="s">
        <v>21</v>
      </c>
      <c r="B8" s="349" t="s">
        <v>15</v>
      </c>
      <c r="C8" s="350" t="s">
        <v>111</v>
      </c>
      <c r="D8" s="36" t="s">
        <v>112</v>
      </c>
      <c r="E8" s="349" t="s">
        <v>15</v>
      </c>
      <c r="F8" s="350" t="s">
        <v>111</v>
      </c>
      <c r="G8" s="36" t="s">
        <v>112</v>
      </c>
      <c r="H8" s="351" t="s">
        <v>15</v>
      </c>
      <c r="I8" s="350" t="s">
        <v>111</v>
      </c>
      <c r="J8" s="36" t="s">
        <v>112</v>
      </c>
      <c r="K8" s="352" t="s">
        <v>15</v>
      </c>
      <c r="L8" s="350" t="s">
        <v>111</v>
      </c>
      <c r="M8" s="36" t="s">
        <v>112</v>
      </c>
      <c r="N8" s="352" t="s">
        <v>15</v>
      </c>
      <c r="O8" s="350" t="s">
        <v>111</v>
      </c>
      <c r="P8" s="36" t="s">
        <v>112</v>
      </c>
      <c r="Q8" s="351" t="s">
        <v>15</v>
      </c>
      <c r="R8" s="350" t="s">
        <v>111</v>
      </c>
      <c r="S8" s="36" t="s">
        <v>112</v>
      </c>
      <c r="T8" s="36" t="s">
        <v>172</v>
      </c>
    </row>
    <row r="9" spans="1:31" ht="12.75" customHeight="1" x14ac:dyDescent="0.25">
      <c r="A9" s="353" t="s">
        <v>22</v>
      </c>
      <c r="B9" s="403"/>
      <c r="C9" s="403"/>
      <c r="D9" s="404"/>
      <c r="E9" s="405"/>
      <c r="F9" s="403"/>
      <c r="G9" s="404"/>
      <c r="H9" s="405"/>
      <c r="I9" s="403"/>
      <c r="J9" s="403"/>
      <c r="K9" s="405"/>
      <c r="L9" s="403"/>
      <c r="M9" s="406"/>
      <c r="N9" s="405"/>
      <c r="O9" s="403"/>
      <c r="P9" s="406"/>
      <c r="Q9" s="405"/>
      <c r="R9" s="403"/>
      <c r="S9" s="406"/>
      <c r="T9" s="37"/>
    </row>
    <row r="10" spans="1:31" x14ac:dyDescent="0.25">
      <c r="A10" s="354" t="s">
        <v>61</v>
      </c>
      <c r="B10" s="376">
        <v>5</v>
      </c>
      <c r="C10" s="64">
        <f>B10*(INDEX('Ex ante LI &amp; Eligibility Stats'!$A:$M,MATCH('Program MW@ '!$A10,'Ex ante LI &amp; Eligibility Stats'!$A:$A,0),MATCH('Program MW@ '!C$7,'Ex ante LI &amp; Eligibility Stats'!$A$5:$M$5,0))/1000)</f>
        <v>1.8706878428571425</v>
      </c>
      <c r="D10" s="64">
        <f>B10*(INDEX('Ex post LI &amp; Eligibility Stats'!$A:$N,MATCH($A10,'Ex post LI &amp; Eligibility Stats'!$A:$A,0),MATCH('Program MW@ '!C$7,'Ex post LI &amp; Eligibility Stats'!$A$6:$N$6,0))/1000)</f>
        <v>1.4920577678571427</v>
      </c>
      <c r="E10" s="65">
        <v>5</v>
      </c>
      <c r="F10" s="64">
        <f>E10*(INDEX('Ex ante LI &amp; Eligibility Stats'!$A:$M,MATCH('Program MW@ '!$A10,'Ex ante LI &amp; Eligibility Stats'!$A:$A,0),MATCH('Program MW@ '!F$7,'Ex ante LI &amp; Eligibility Stats'!$A$5:$M$5,0))/1000)</f>
        <v>1.9160165571428571</v>
      </c>
      <c r="G10" s="64">
        <f>E10*(INDEX('Ex post LI &amp; Eligibility Stats'!$A:$N,MATCH($A10,'Ex post LI &amp; Eligibility Stats'!$A:$A,0),MATCH('Program MW@ '!F$7,'Ex post LI &amp; Eligibility Stats'!$A$6:$N$6,0))/1000)</f>
        <v>1.4920577678571427</v>
      </c>
      <c r="H10" s="65">
        <v>5</v>
      </c>
      <c r="I10" s="64">
        <f>H10*(INDEX('Ex ante LI &amp; Eligibility Stats'!$A:$M,MATCH('Program MW@ '!$A10,'Ex ante LI &amp; Eligibility Stats'!$A:$A,0),MATCH('Program MW@ '!I$7,'Ex ante LI &amp; Eligibility Stats'!$A$5:$M$5,0))/1000)</f>
        <v>1.9537037000000002</v>
      </c>
      <c r="J10" s="64">
        <f>H10*(INDEX('Ex post LI &amp; Eligibility Stats'!$A:$N,MATCH($A10,'Ex post LI &amp; Eligibility Stats'!$A:$A,0),MATCH('Program MW@ '!I$7,'Ex post LI &amp; Eligibility Stats'!$A$6:$N$6,0))/1000)</f>
        <v>1.4920577678571427</v>
      </c>
      <c r="K10" s="65">
        <v>5</v>
      </c>
      <c r="L10" s="64">
        <f>K10*(INDEX('Ex ante LI &amp; Eligibility Stats'!$A:$M,MATCH('Program MW@ '!$A10,'Ex ante LI &amp; Eligibility Stats'!$A:$A,0),MATCH('Program MW@ '!L$7,'Ex ante LI &amp; Eligibility Stats'!$A$5:$M$5,0))/1000)</f>
        <v>1.4165868000000001</v>
      </c>
      <c r="M10" s="64">
        <f>K10*(INDEX('Ex post LI &amp; Eligibility Stats'!$A:$N,MATCH($A10,'Ex post LI &amp; Eligibility Stats'!$A:$A,0),MATCH('Program MW@ '!L$7,'Ex post LI &amp; Eligibility Stats'!$A$6:$N$6,0))/1000)</f>
        <v>1.544844125</v>
      </c>
      <c r="N10" s="65">
        <v>6</v>
      </c>
      <c r="O10" s="64">
        <f>N10*(INDEX('Ex ante LI &amp; Eligibility Stats'!$A:$M,MATCH('Program MW@ '!$A10,'Ex ante LI &amp; Eligibility Stats'!$A:$A,0),MATCH('Program MW@ '!O$7,'Ex ante LI &amp; Eligibility Stats'!$A$5:$M$5,0))/1000)</f>
        <v>1.8253686000000005</v>
      </c>
      <c r="P10" s="64">
        <f>N10*(INDEX('Ex post LI &amp; Eligibility Stats'!$A:$N,MATCH($A10,'Ex post LI &amp; Eligibility Stats'!$A:$A,0),MATCH('Program MW@ '!O$7,'Ex post LI &amp; Eligibility Stats'!$A$6:$N$6,0))/1000)</f>
        <v>1.85381295</v>
      </c>
      <c r="Q10" s="408">
        <v>7</v>
      </c>
      <c r="R10" s="64">
        <f>Q10*(INDEX('Ex ante LI &amp; Eligibility Stats'!$A:$M,MATCH('Program MW@ '!$A10,'Ex ante LI &amp; Eligibility Stats'!$A:$A,0),MATCH('Program MW@ '!R$7,'Ex ante LI &amp; Eligibility Stats'!$A$5:$M$5,0))/1000)</f>
        <v>2.1672852599999999</v>
      </c>
      <c r="S10" s="66">
        <f>Q10*(INDEX('Ex post LI &amp; Eligibility Stats'!$A:$N,MATCH($A10,'Ex post LI &amp; Eligibility Stats'!$A:$A,0),MATCH('Program MW@ '!R$7,'Ex post LI &amp; Eligibility Stats'!$A$6:$N$6,0))/1000)</f>
        <v>2.162781775</v>
      </c>
      <c r="T10" s="38">
        <v>5276</v>
      </c>
      <c r="U10" s="375"/>
      <c r="V10" s="375"/>
      <c r="W10" s="375"/>
      <c r="X10" s="375"/>
    </row>
    <row r="11" spans="1:31" ht="14.25" customHeight="1" thickBot="1" x14ac:dyDescent="0.3">
      <c r="A11" s="355" t="s">
        <v>20</v>
      </c>
      <c r="B11" s="1">
        <f t="shared" ref="B11:S11" si="0">SUM(B10:B10)</f>
        <v>5</v>
      </c>
      <c r="C11" s="2">
        <f t="shared" si="0"/>
        <v>1.8706878428571425</v>
      </c>
      <c r="D11" s="2">
        <f t="shared" si="0"/>
        <v>1.4920577678571427</v>
      </c>
      <c r="E11" s="1">
        <f t="shared" si="0"/>
        <v>5</v>
      </c>
      <c r="F11" s="2">
        <f t="shared" si="0"/>
        <v>1.9160165571428571</v>
      </c>
      <c r="G11" s="2">
        <f t="shared" si="0"/>
        <v>1.4920577678571427</v>
      </c>
      <c r="H11" s="1">
        <f t="shared" si="0"/>
        <v>5</v>
      </c>
      <c r="I11" s="2">
        <f t="shared" si="0"/>
        <v>1.9537037000000002</v>
      </c>
      <c r="J11" s="2">
        <f t="shared" si="0"/>
        <v>1.4920577678571427</v>
      </c>
      <c r="K11" s="1">
        <v>5</v>
      </c>
      <c r="L11" s="2">
        <f t="shared" si="0"/>
        <v>1.4165868000000001</v>
      </c>
      <c r="M11" s="2">
        <f t="shared" si="0"/>
        <v>1.544844125</v>
      </c>
      <c r="N11" s="1">
        <f t="shared" si="0"/>
        <v>6</v>
      </c>
      <c r="O11" s="2">
        <f t="shared" si="0"/>
        <v>1.8253686000000005</v>
      </c>
      <c r="P11" s="2">
        <f t="shared" si="0"/>
        <v>1.85381295</v>
      </c>
      <c r="Q11" s="428">
        <f t="shared" si="0"/>
        <v>7</v>
      </c>
      <c r="R11" s="2">
        <f t="shared" si="0"/>
        <v>2.1672852599999999</v>
      </c>
      <c r="S11" s="329">
        <f t="shared" si="0"/>
        <v>2.162781775</v>
      </c>
      <c r="T11" s="39"/>
      <c r="U11" s="375"/>
      <c r="V11" s="375"/>
      <c r="W11" s="375"/>
      <c r="X11" s="375"/>
    </row>
    <row r="12" spans="1:31" ht="16.5" customHeight="1" thickTop="1" x14ac:dyDescent="0.25">
      <c r="A12" s="353" t="s">
        <v>113</v>
      </c>
      <c r="B12" s="5"/>
      <c r="C12" s="5"/>
      <c r="D12" s="6"/>
      <c r="E12" s="7"/>
      <c r="F12" s="8"/>
      <c r="G12" s="6"/>
      <c r="H12" s="7"/>
      <c r="I12" s="5"/>
      <c r="J12" s="6"/>
      <c r="K12" s="7"/>
      <c r="L12" s="5"/>
      <c r="M12" s="6"/>
      <c r="N12" s="7"/>
      <c r="O12" s="17"/>
      <c r="P12" s="18"/>
      <c r="Q12" s="429"/>
      <c r="R12" s="5"/>
      <c r="S12" s="29"/>
      <c r="T12" s="40"/>
      <c r="U12" s="375"/>
      <c r="V12" s="375"/>
      <c r="W12" s="375"/>
      <c r="X12" s="375"/>
      <c r="Y12" s="41"/>
      <c r="Z12" s="41"/>
      <c r="AA12" s="41"/>
      <c r="AB12" s="41"/>
      <c r="AC12" s="41"/>
      <c r="AD12" s="41"/>
      <c r="AE12" s="41"/>
    </row>
    <row r="13" spans="1:31" x14ac:dyDescent="0.25">
      <c r="A13" s="354" t="s">
        <v>62</v>
      </c>
      <c r="B13" s="377">
        <v>1228</v>
      </c>
      <c r="C13" s="64">
        <f>B13*(INDEX('Ex ante LI &amp; Eligibility Stats'!$A:$M,MATCH($A13,'Ex ante LI &amp; Eligibility Stats'!$A:$A,0),MATCH('Program MW@ '!C$7,'Ex ante LI &amp; Eligibility Stats'!$A$5:$M$5,0))/1000)</f>
        <v>12.181760000000001</v>
      </c>
      <c r="D13" s="64">
        <f>B13*(INDEX('Ex post LI &amp; Eligibility Stats'!$A:$N,MATCH($A13,'Ex post LI &amp; Eligibility Stats'!$A:$A,0),MATCH('Program MW@ '!C$7,'Ex post LI &amp; Eligibility Stats'!$A$6:$N$6,0))/1000)</f>
        <v>25.810731285095216</v>
      </c>
      <c r="E13" s="67">
        <v>1221</v>
      </c>
      <c r="F13" s="68">
        <f>E13*(INDEX('Ex ante LI &amp; Eligibility Stats'!$A:$M,MATCH($A13,'Ex ante LI &amp; Eligibility Stats'!$A:$A,0),MATCH('Program MW@ '!F$7,'Ex ante LI &amp; Eligibility Stats'!$A$5:$M$5,0))/1000)</f>
        <v>12.490830000000001</v>
      </c>
      <c r="G13" s="69">
        <f>E13*(INDEX('Ex post LI &amp; Eligibility Stats'!$A:$N,MATCH($A13,'Ex post LI &amp; Eligibility Stats'!$A:$A,0),MATCH('Program MW@ '!F$7,'Ex post LI &amp; Eligibility Stats'!$A$6:$N$6,0))/1000)</f>
        <v>25.663601709365846</v>
      </c>
      <c r="H13" s="67">
        <v>7544</v>
      </c>
      <c r="I13" s="68">
        <f>H13*(INDEX('Ex ante LI &amp; Eligibility Stats'!$A:$M,MATCH('Program MW@ '!$A13,'Ex ante LI &amp; Eligibility Stats'!$A:$A,0),MATCH('Program MW@ '!I$7,'Ex ante LI &amp; Eligibility Stats'!$A$5:$M$5,0))/1000)</f>
        <v>17.8822360815462</v>
      </c>
      <c r="J13" s="69">
        <f>H13*(INDEX('Ex post LI &amp; Eligibility Stats'!$A:$N,MATCH($A13,'Ex post LI &amp; Eligibility Stats'!$A:$A,0),MATCH('Program MW@ '!I$7,'Ex post LI &amp; Eligibility Stats'!$A$6:$N$6,0))/1000)</f>
        <v>25.607056393963461</v>
      </c>
      <c r="K13" s="67">
        <v>13229</v>
      </c>
      <c r="L13" s="68">
        <f>K13*(INDEX('Ex ante LI &amp; Eligibility Stats'!$A:$M,MATCH('Program MW@ '!$A13,'Ex ante LI &amp; Eligibility Stats'!$A:$A,0),MATCH('Program MW@ '!L$7,'Ex ante LI &amp; Eligibility Stats'!$A$5:$M$5,0))/1000)</f>
        <v>14.064758743540002</v>
      </c>
      <c r="M13" s="69">
        <f>K13*(INDEX('Ex post LI &amp; Eligibility Stats'!$A:$N,MATCH($A13,'Ex post LI &amp; Eligibility Stats'!$A:$A,0),MATCH('Program MW@ '!L$7,'Ex post LI &amp; Eligibility Stats'!$A$6:$N$6,0))/1000)</f>
        <v>23.652785148539795</v>
      </c>
      <c r="N13" s="67">
        <v>13774</v>
      </c>
      <c r="O13" s="64">
        <f>N13*(INDEX('Ex ante LI &amp; Eligibility Stats'!$A:$M,MATCH('Program MW@ '!$A13,'Ex ante LI &amp; Eligibility Stats'!$A:$A,0),MATCH('Program MW@ '!O$7,'Ex ante LI &amp; Eligibility Stats'!$A$5:$M$5,0))/1000)</f>
        <v>15.609322139600001</v>
      </c>
      <c r="P13" s="64">
        <f>N13*(INDEX('Ex post LI &amp; Eligibility Stats'!$A:$N,MATCH($A13,'Ex post LI &amp; Eligibility Stats'!$A:$A,0),MATCH('Program MW@ '!O$7,'Ex post LI &amp; Eligibility Stats'!$A$6:$N$6,0))/1000)</f>
        <v>24.627217676013842</v>
      </c>
      <c r="Q13" s="409">
        <v>13460</v>
      </c>
      <c r="R13" s="64">
        <f>Q13*(INDEX('Ex ante LI &amp; Eligibility Stats'!$A:$M,MATCH('Program MW@ '!$A13,'Ex ante LI &amp; Eligibility Stats'!$A:$A,0),MATCH('Program MW@ '!R$7,'Ex ante LI &amp; Eligibility Stats'!$A$5:$M$5,0))/1000)</f>
        <v>15.888354134399998</v>
      </c>
      <c r="S13" s="66">
        <f>Q13*(INDEX('Ex post LI &amp; Eligibility Stats'!$A:$N,MATCH($A13,'Ex post LI &amp; Eligibility Stats'!$A:$A,0),MATCH('Program MW@ '!R$7,'Ex post LI &amp; Eligibility Stats'!$A$6:$N$6,0))/1000)</f>
        <v>24.065801504221454</v>
      </c>
      <c r="T13" s="42">
        <v>138123</v>
      </c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x14ac:dyDescent="0.25">
      <c r="A14" s="354" t="s">
        <v>63</v>
      </c>
      <c r="B14" s="378">
        <v>26235</v>
      </c>
      <c r="C14" s="64">
        <f>B14*(INDEX('Ex ante LI &amp; Eligibility Stats'!$A:$M,MATCH($A14,'Ex ante LI &amp; Eligibility Stats'!$A:$A,0),MATCH('Program MW@ '!C$7,'Ex ante LI &amp; Eligibility Stats'!$A$5:$M$5,0))/1000)</f>
        <v>0</v>
      </c>
      <c r="D14" s="64">
        <f>B14*(INDEX('Ex post LI &amp; Eligibility Stats'!$A:$N,MATCH($A14,'Ex post LI &amp; Eligibility Stats'!$A:$A,0),MATCH('Program MW@ '!C$7,'Ex post LI &amp; Eligibility Stats'!$A$6:$N$6,0))/1000)</f>
        <v>10.893668581125002</v>
      </c>
      <c r="E14" s="65">
        <v>26176</v>
      </c>
      <c r="F14" s="64">
        <f>E14*(INDEX('Ex ante LI &amp; Eligibility Stats'!$A:$M,MATCH($A14,'Ex ante LI &amp; Eligibility Stats'!$A:$A,0),MATCH('Program MW@ '!F$7,'Ex ante LI &amp; Eligibility Stats'!$A$5:$M$5,0))/1000)</f>
        <v>0</v>
      </c>
      <c r="G14" s="66">
        <f>E14*(INDEX('Ex post LI &amp; Eligibility Stats'!$A:$N,MATCH($A14,'Ex post LI &amp; Eligibility Stats'!$A:$A,0),MATCH('Program MW@ '!F$7,'Ex post LI &amp; Eligibility Stats'!$A$6:$N$6,0))/1000)</f>
        <v>10.869169764800002</v>
      </c>
      <c r="H14" s="65">
        <v>26137</v>
      </c>
      <c r="I14" s="64">
        <f>H14*(INDEX('Ex ante LI &amp; Eligibility Stats'!$A:$M,MATCH('Program MW@ '!$A14,'Ex ante LI &amp; Eligibility Stats'!$A:$A,0),MATCH('Program MW@ '!I$7,'Ex ante LI &amp; Eligibility Stats'!$A$5:$M$5,0))/1000)</f>
        <v>0</v>
      </c>
      <c r="J14" s="66">
        <f>H14*(INDEX('Ex post LI &amp; Eligibility Stats'!$A:$N,MATCH($A14,'Ex post LI &amp; Eligibility Stats'!$A:$A,0),MATCH('Program MW@ '!I$7,'Ex post LI &amp; Eligibility Stats'!$A$6:$N$6,0))/1000)</f>
        <v>10.852975631975003</v>
      </c>
      <c r="K14" s="65">
        <v>25948</v>
      </c>
      <c r="L14" s="64">
        <f>K14*(INDEX('Ex ante LI &amp; Eligibility Stats'!$A:$M,MATCH('Program MW@ '!$A14,'Ex ante LI &amp; Eligibility Stats'!$A:$A,0),MATCH('Program MW@ '!L$7,'Ex ante LI &amp; Eligibility Stats'!$A$5:$M$5,0))/1000)</f>
        <v>0</v>
      </c>
      <c r="M14" s="66">
        <f>K14*(INDEX('Ex post LI &amp; Eligibility Stats'!$A:$N,MATCH($A14,'Ex post LI &amp; Eligibility Stats'!$A:$A,0),MATCH('Program MW@ '!L$7,'Ex post LI &amp; Eligibility Stats'!$A$6:$N$6,0))/1000)</f>
        <v>10.359738999999999</v>
      </c>
      <c r="N14" s="65">
        <v>25770</v>
      </c>
      <c r="O14" s="64">
        <f>N14*(INDEX('Ex ante LI &amp; Eligibility Stats'!$A:$M,MATCH('Program MW@ '!$A14,'Ex ante LI &amp; Eligibility Stats'!$A:$A,0),MATCH('Program MW@ '!O$7,'Ex ante LI &amp; Eligibility Stats'!$A$5:$M$5,0))/1000)</f>
        <v>6.6795840000000002</v>
      </c>
      <c r="P14" s="64">
        <f>N14*(INDEX('Ex post LI &amp; Eligibility Stats'!$A:$N,MATCH($A14,'Ex post LI &amp; Eligibility Stats'!$A:$A,0),MATCH('Program MW@ '!O$7,'Ex post LI &amp; Eligibility Stats'!$A$6:$N$6,0))/1000)</f>
        <v>10.288672499999999</v>
      </c>
      <c r="Q14" s="408">
        <v>25235</v>
      </c>
      <c r="R14" s="64">
        <f>Q14*(INDEX('Ex ante LI &amp; Eligibility Stats'!$A:$M,MATCH('Program MW@ '!$A14,'Ex ante LI &amp; Eligibility Stats'!$A:$A,0),MATCH('Program MW@ '!R$7,'Ex ante LI &amp; Eligibility Stats'!$A$5:$M$5,0))/1000)</f>
        <v>6.475301</v>
      </c>
      <c r="S14" s="66">
        <f>Q14*(INDEX('Ex post LI &amp; Eligibility Stats'!$A:$N,MATCH($A14,'Ex post LI &amp; Eligibility Stats'!$A:$A,0),MATCH('Program MW@ '!R$7,'Ex post LI &amp; Eligibility Stats'!$A$6:$N$6,0))/1000)</f>
        <v>10.07507375</v>
      </c>
      <c r="T14" s="38">
        <v>663393.5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x14ac:dyDescent="0.25">
      <c r="A15" s="354" t="s">
        <v>64</v>
      </c>
      <c r="B15" s="378">
        <v>11131</v>
      </c>
      <c r="C15" s="64">
        <f>B15*(INDEX('Ex ante LI &amp; Eligibility Stats'!$A:$M,MATCH($A15,'Ex ante LI &amp; Eligibility Stats'!$A:$A,0),MATCH('Program MW@ '!C$7,'Ex ante LI &amp; Eligibility Stats'!$A$5:$M$5,0))/1000)</f>
        <v>0</v>
      </c>
      <c r="D15" s="64">
        <f>B15*(INDEX('Ex post LI &amp; Eligibility Stats'!$A:$N,MATCH($A15,'Ex post LI &amp; Eligibility Stats'!$A:$A,0),MATCH('Program MW@ '!C$7,'Ex post LI &amp; Eligibility Stats'!$A$6:$N$6,0))/1000)</f>
        <v>3.2331442095500007</v>
      </c>
      <c r="E15" s="65">
        <v>11093</v>
      </c>
      <c r="F15" s="64">
        <f>E15*(INDEX('Ex ante LI &amp; Eligibility Stats'!$A:$M,MATCH($A15,'Ex ante LI &amp; Eligibility Stats'!$A:$A,0),MATCH('Program MW@ '!F$7,'Ex ante LI &amp; Eligibility Stats'!$A$5:$M$5,0))/1000)</f>
        <v>0</v>
      </c>
      <c r="G15" s="66">
        <f>E15*(INDEX('Ex post LI &amp; Eligibility Stats'!$A:$N,MATCH($A15,'Ex post LI &amp; Eligibility Stats'!$A:$A,0),MATCH('Program MW@ '!F$7,'Ex post LI &amp; Eligibility Stats'!$A$6:$N$6,0))/1000)</f>
        <v>3.2221066136500003</v>
      </c>
      <c r="H15" s="65">
        <v>11044</v>
      </c>
      <c r="I15" s="64">
        <f>H15*(INDEX('Ex ante LI &amp; Eligibility Stats'!$A:$M,MATCH('Program MW@ '!$A15,'Ex ante LI &amp; Eligibility Stats'!$A:$A,0),MATCH('Program MW@ '!I$7,'Ex ante LI &amp; Eligibility Stats'!$A$5:$M$5,0))/1000)</f>
        <v>0</v>
      </c>
      <c r="J15" s="66">
        <f>H15*(INDEX('Ex post LI &amp; Eligibility Stats'!$A:$N,MATCH($A15,'Ex post LI &amp; Eligibility Stats'!$A:$A,0),MATCH('Program MW@ '!I$7,'Ex post LI &amp; Eligibility Stats'!$A$6:$N$6,0))/1000)</f>
        <v>3.2078739242000003</v>
      </c>
      <c r="K15" s="65">
        <v>10959</v>
      </c>
      <c r="L15" s="64">
        <f>K15*(INDEX('Ex ante LI &amp; Eligibility Stats'!$A:$M,MATCH('Program MW@ '!$A15,'Ex ante LI &amp; Eligibility Stats'!$A:$A,0),MATCH('Program MW@ '!L$7,'Ex ante LI &amp; Eligibility Stats'!$A$5:$M$5,0))/1000)</f>
        <v>0</v>
      </c>
      <c r="M15" s="66">
        <f>K15*(INDEX('Ex post LI &amp; Eligibility Stats'!$A:$N,MATCH($A15,'Ex post LI &amp; Eligibility Stats'!$A:$A,0),MATCH('Program MW@ '!L$7,'Ex post LI &amp; Eligibility Stats'!$A$6:$N$6,0))/1000)</f>
        <v>1.808235</v>
      </c>
      <c r="N15" s="65">
        <v>11042</v>
      </c>
      <c r="O15" s="64">
        <f>N15*(INDEX('Ex ante LI &amp; Eligibility Stats'!$A:$M,MATCH('Program MW@ '!$A15,'Ex ante LI &amp; Eligibility Stats'!$A:$A,0),MATCH('Program MW@ '!O$7,'Ex ante LI &amp; Eligibility Stats'!$A$5:$M$5,0))/1000)</f>
        <v>2.7671251999999997</v>
      </c>
      <c r="P15" s="64">
        <f>N15*(INDEX('Ex post LI &amp; Eligibility Stats'!$A:$N,MATCH($A15,'Ex post LI &amp; Eligibility Stats'!$A:$A,0),MATCH('Program MW@ '!O$7,'Ex post LI &amp; Eligibility Stats'!$A$6:$N$6,0))/1000)</f>
        <v>1.82193</v>
      </c>
      <c r="Q15" s="408">
        <v>10971</v>
      </c>
      <c r="R15" s="64">
        <f>Q15*(INDEX('Ex ante LI &amp; Eligibility Stats'!$A:$M,MATCH('Program MW@ '!$A15,'Ex ante LI &amp; Eligibility Stats'!$A:$A,0),MATCH('Program MW@ '!R$7,'Ex ante LI &amp; Eligibility Stats'!$A$5:$M$5,0))/1000)</f>
        <v>2.758109399999999</v>
      </c>
      <c r="S15" s="66">
        <f>Q15*(INDEX('Ex post LI &amp; Eligibility Stats'!$A:$N,MATCH($A15,'Ex post LI &amp; Eligibility Stats'!$A:$A,0),MATCH('Program MW@ '!R$7,'Ex post LI &amp; Eligibility Stats'!$A$6:$N$6,0))/1000)</f>
        <v>1.8102149999999999</v>
      </c>
      <c r="T15" s="38">
        <v>157189</v>
      </c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x14ac:dyDescent="0.25">
      <c r="A16" s="354" t="s">
        <v>65</v>
      </c>
      <c r="B16" s="379">
        <v>297</v>
      </c>
      <c r="C16" s="64">
        <f>B16*(INDEX('Ex ante LI &amp; Eligibility Stats'!$A:$M,MATCH($A16,'Ex ante LI &amp; Eligibility Stats'!$A:$A,0),MATCH('Program MW@ '!C$7,'Ex ante LI &amp; Eligibility Stats'!$A$5:$M$5,0))/1000)</f>
        <v>0</v>
      </c>
      <c r="D16" s="64">
        <f>B16*(INDEX('Ex post LI &amp; Eligibility Stats'!$A:$N,MATCH($A16,'Ex post LI &amp; Eligibility Stats'!$A:$A,0),MATCH('Program MW@ '!C$7,'Ex post LI &amp; Eligibility Stats'!$A$6:$N$6,0))/1000)</f>
        <v>23.509718665122985</v>
      </c>
      <c r="E16" s="65">
        <v>208</v>
      </c>
      <c r="F16" s="64">
        <f>E16*(INDEX('Ex ante LI &amp; Eligibility Stats'!$A:$M,MATCH($A16,'Ex ante LI &amp; Eligibility Stats'!$A:$A,0),MATCH('Program MW@ '!F$7,'Ex ante LI &amp; Eligibility Stats'!$A$5:$M$5,0))/1000)</f>
        <v>0</v>
      </c>
      <c r="G16" s="66">
        <f>E16*(INDEX('Ex post LI &amp; Eligibility Stats'!$A:$N,MATCH($A16,'Ex post LI &amp; Eligibility Stats'!$A:$A,0),MATCH('Program MW@ '!F$7,'Ex post LI &amp; Eligibility Stats'!$A$6:$N$6,0))/1000)</f>
        <v>16.464718795776367</v>
      </c>
      <c r="H16" s="65">
        <v>200</v>
      </c>
      <c r="I16" s="64">
        <f>H16*(INDEX('Ex ante LI &amp; Eligibility Stats'!$A:$M,MATCH('Program MW@ '!$A16,'Ex ante LI &amp; Eligibility Stats'!$A:$A,0),MATCH('Program MW@ '!I$7,'Ex ante LI &amp; Eligibility Stats'!$A$5:$M$5,0))/1000)</f>
        <v>0</v>
      </c>
      <c r="J16" s="66">
        <f>H16*(INDEX('Ex post LI &amp; Eligibility Stats'!$A:$N,MATCH($A16,'Ex post LI &amp; Eligibility Stats'!$A:$A,0),MATCH('Program MW@ '!I$7,'Ex post LI &amp; Eligibility Stats'!$A$6:$N$6,0))/1000)</f>
        <v>15.8314603805542</v>
      </c>
      <c r="K16" s="582">
        <v>200</v>
      </c>
      <c r="L16" s="64">
        <f>K16*(INDEX('Ex ante LI &amp; Eligibility Stats'!$A:$M,MATCH('Program MW@ '!$A16,'Ex ante LI &amp; Eligibility Stats'!$A:$A,0),MATCH('Program MW@ '!L$7,'Ex ante LI &amp; Eligibility Stats'!$A$5:$M$5,0))/1000)</f>
        <v>0</v>
      </c>
      <c r="M16" s="66">
        <f>K16*(INDEX('Ex post LI &amp; Eligibility Stats'!$A:$N,MATCH($A16,'Ex post LI &amp; Eligibility Stats'!$A:$A,0),MATCH('Program MW@ '!L$7,'Ex post LI &amp; Eligibility Stats'!$A$6:$N$6,0))/1000)</f>
        <v>15.8314603805542</v>
      </c>
      <c r="N16" s="582">
        <v>0</v>
      </c>
      <c r="O16" s="64">
        <f>N16*(INDEX('Ex ante LI &amp; Eligibility Stats'!$A:$M,MATCH('Program MW@ '!$A16,'Ex ante LI &amp; Eligibility Stats'!$A:$A,0),MATCH('Program MW@ '!O$7,'Ex ante LI &amp; Eligibility Stats'!$A$5:$M$5,0))/1000)</f>
        <v>0</v>
      </c>
      <c r="P16" s="64">
        <f>N16*(INDEX('Ex post LI &amp; Eligibility Stats'!$A:$N,MATCH($A16,'Ex post LI &amp; Eligibility Stats'!$A:$A,0),MATCH('Program MW@ '!O$7,'Ex post LI &amp; Eligibility Stats'!$A$6:$N$6,0))/1000)</f>
        <v>0</v>
      </c>
      <c r="Q16" s="430">
        <v>0</v>
      </c>
      <c r="R16" s="64">
        <f>Q16*(INDEX('Ex ante LI &amp; Eligibility Stats'!$A:$M,MATCH('Program MW@ '!$A16,'Ex ante LI &amp; Eligibility Stats'!$A:$A,0),MATCH('Program MW@ '!R$7,'Ex ante LI &amp; Eligibility Stats'!$A$5:$M$5,0))/1000)</f>
        <v>0</v>
      </c>
      <c r="S16" s="66">
        <f>Q16*(INDEX('Ex post LI &amp; Eligibility Stats'!$A:$N,MATCH($A16,'Ex post LI &amp; Eligibility Stats'!$A:$A,0),MATCH('Program MW@ '!R$7,'Ex post LI &amp; Eligibility Stats'!$A$6:$N$6,0))/1000)</f>
        <v>0</v>
      </c>
      <c r="T16" s="38">
        <v>18875</v>
      </c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x14ac:dyDescent="0.25">
      <c r="A17" s="354" t="s">
        <v>66</v>
      </c>
      <c r="B17" s="378">
        <v>297</v>
      </c>
      <c r="C17" s="64">
        <f>B17*(INDEX('Ex ante LI &amp; Eligibility Stats'!$A:$M,MATCH($A17,'Ex ante LI &amp; Eligibility Stats'!$A:$A,0),MATCH('Program MW@ '!C$7,'Ex ante LI &amp; Eligibility Stats'!$A$5:$M$5,0))/1000)</f>
        <v>0</v>
      </c>
      <c r="D17" s="64">
        <f>B17*(INDEX('Ex post LI &amp; Eligibility Stats'!$A:$N,MATCH($A17,'Ex post LI &amp; Eligibility Stats'!$A:$A,0),MATCH('Program MW@ '!C$7,'Ex post LI &amp; Eligibility Stats'!$A$6:$N$6,0))/1000)</f>
        <v>5.1996889264283777</v>
      </c>
      <c r="E17" s="65">
        <v>272</v>
      </c>
      <c r="F17" s="64">
        <f>E17*(INDEX('Ex ante LI &amp; Eligibility Stats'!$A:$M,MATCH($A17,'Ex ante LI &amp; Eligibility Stats'!$A:$A,0),MATCH('Program MW@ '!F$7,'Ex ante LI &amp; Eligibility Stats'!$A$5:$M$5,0))/1000)</f>
        <v>0</v>
      </c>
      <c r="G17" s="66">
        <f>E17*(INDEX('Ex post LI &amp; Eligibility Stats'!$A:$N,MATCH($A17,'Ex post LI &amp; Eligibility Stats'!$A:$A,0),MATCH('Program MW@ '!F$7,'Ex post LI &amp; Eligibility Stats'!$A$6:$N$6,0))/1000)</f>
        <v>4.762004673362016</v>
      </c>
      <c r="H17" s="65">
        <v>356</v>
      </c>
      <c r="I17" s="64">
        <f>H17*(INDEX('Ex ante LI &amp; Eligibility Stats'!$A:$M,MATCH('Program MW@ '!$A17,'Ex ante LI &amp; Eligibility Stats'!$A:$A,0),MATCH('Program MW@ '!I$7,'Ex ante LI &amp; Eligibility Stats'!$A$5:$M$5,0))/1000)</f>
        <v>0</v>
      </c>
      <c r="J17" s="66">
        <f>H17*(INDEX('Ex post LI &amp; Eligibility Stats'!$A:$N,MATCH($A17,'Ex post LI &amp; Eligibility Stats'!$A:$A,0),MATCH('Program MW@ '!I$7,'Ex post LI &amp; Eligibility Stats'!$A$6:$N$6,0))/1000)</f>
        <v>6.2326237636649919</v>
      </c>
      <c r="K17" s="582">
        <v>356</v>
      </c>
      <c r="L17" s="64">
        <f>K17*(INDEX('Ex ante LI &amp; Eligibility Stats'!$A:$M,MATCH('Program MW@ '!$A17,'Ex ante LI &amp; Eligibility Stats'!$A:$A,0),MATCH('Program MW@ '!L$7,'Ex ante LI &amp; Eligibility Stats'!$A$5:$M$5,0))/1000)</f>
        <v>0</v>
      </c>
      <c r="M17" s="66">
        <f>K17*(INDEX('Ex post LI &amp; Eligibility Stats'!$A:$N,MATCH($A17,'Ex post LI &amp; Eligibility Stats'!$A:$A,0),MATCH('Program MW@ '!L$7,'Ex post LI &amp; Eligibility Stats'!$A$6:$N$6,0))/1000)</f>
        <v>6.2326237636649919</v>
      </c>
      <c r="N17" s="582">
        <v>169</v>
      </c>
      <c r="O17" s="64">
        <f>N17*(INDEX('Ex ante LI &amp; Eligibility Stats'!$A:$M,MATCH('Program MW@ '!$A17,'Ex ante LI &amp; Eligibility Stats'!$A:$A,0),MATCH('Program MW@ '!O$7,'Ex ante LI &amp; Eligibility Stats'!$A$5:$M$5,0))/1000)</f>
        <v>3.5552591650252352</v>
      </c>
      <c r="P17" s="64">
        <f>N17*(INDEX('Ex post LI &amp; Eligibility Stats'!$A:$N,MATCH($A17,'Ex post LI &amp; Eligibility Stats'!$A:$A,0),MATCH('Program MW@ '!O$7,'Ex post LI &amp; Eligibility Stats'!$A$6:$N$6,0))/1000)</f>
        <v>4.4105691301019352</v>
      </c>
      <c r="Q17" s="430">
        <v>206</v>
      </c>
      <c r="R17" s="64">
        <f>Q17*(INDEX('Ex ante LI &amp; Eligibility Stats'!$A:$M,MATCH('Program MW@ '!$A17,'Ex ante LI &amp; Eligibility Stats'!$A:$A,0),MATCH('Program MW@ '!R$7,'Ex ante LI &amp; Eligibility Stats'!$A$5:$M$5,0))/1000)</f>
        <v>4.3336295147644881</v>
      </c>
      <c r="S17" s="66">
        <f>Q17*(INDEX('Ex post LI &amp; Eligibility Stats'!$A:$N,MATCH($A17,'Ex post LI &amp; Eligibility Stats'!$A:$A,0),MATCH('Program MW@ '!R$7,'Ex post LI &amp; Eligibility Stats'!$A$6:$N$6,0))/1000)</f>
        <v>5.3761966911301693</v>
      </c>
      <c r="T17" s="38">
        <v>18875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x14ac:dyDescent="0.25">
      <c r="A18" s="354" t="s">
        <v>171</v>
      </c>
      <c r="B18" s="378">
        <v>76529</v>
      </c>
      <c r="C18" s="64">
        <f>B18*(INDEX('Ex ante LI &amp; Eligibility Stats'!$A:$M,MATCH($A18,'Ex ante LI &amp; Eligibility Stats'!$A:$A,0),MATCH('Program MW@ '!C$7,'Ex ante LI &amp; Eligibility Stats'!$A$5:$M$5,0))/1000)</f>
        <v>6.1223200000000002</v>
      </c>
      <c r="D18" s="64">
        <f>B18*(INDEX('Ex post LI &amp; Eligibility Stats'!$A:$N,MATCH($A18,'Ex post LI &amp; Eligibility Stats'!$A:$A,0),MATCH('Program MW@ '!C$7,'Ex post LI &amp; Eligibility Stats'!$A$6:$N$6,0))/1000)</f>
        <v>7.5849533315857434</v>
      </c>
      <c r="E18" s="65">
        <v>76636</v>
      </c>
      <c r="F18" s="64">
        <f>E18*(INDEX('Ex ante LI &amp; Eligibility Stats'!$A:$M,MATCH($A18,'Ex ante LI &amp; Eligibility Stats'!$A:$A,0),MATCH('Program MW@ '!F$7,'Ex ante LI &amp; Eligibility Stats'!$A$5:$M$5,0))/1000)</f>
        <v>5.3645200000000006</v>
      </c>
      <c r="G18" s="66">
        <f>E18*(INDEX('Ex post LI &amp; Eligibility Stats'!$A:$N,MATCH($A18,'Ex post LI &amp; Eligibility Stats'!$A:$A,0),MATCH('Program MW@ '!F$7,'Ex post LI &amp; Eligibility Stats'!$A$6:$N$6,0))/1000)</f>
        <v>7.5955583310824011</v>
      </c>
      <c r="H18" s="65">
        <v>76771</v>
      </c>
      <c r="I18" s="64"/>
      <c r="J18" s="66">
        <f>H18*(INDEX('Ex post LI &amp; Eligibility Stats'!$A:$N,MATCH($A18,'Ex post LI &amp; Eligibility Stats'!$A:$A,0),MATCH('Program MW@ '!I$7,'Ex post LI &amp; Eligibility Stats'!$A$6:$N$6,0))/1000)</f>
        <v>7.608938470634258</v>
      </c>
      <c r="K18" s="65">
        <v>76870</v>
      </c>
      <c r="L18" s="64">
        <f>K18*(INDEX('Ex ante LI &amp; Eligibility Stats'!$A:$M,MATCH('Program MW@ '!$A18,'Ex ante LI &amp; Eligibility Stats'!$A:$A,0),MATCH('Program MW@ '!L$7,'Ex ante LI &amp; Eligibility Stats'!$A$5:$M$5,0))/1000)</f>
        <v>1.5374000000000001</v>
      </c>
      <c r="M18" s="66">
        <f>K18*(INDEX('Ex post LI &amp; Eligibility Stats'!$A:$N,MATCH($A18,'Ex post LI &amp; Eligibility Stats'!$A:$A,0),MATCH('Program MW@ '!L$7,'Ex post LI &amp; Eligibility Stats'!$A$6:$N$6,0))/1000)</f>
        <v>4.9301220238748042</v>
      </c>
      <c r="N18" s="65">
        <v>76833</v>
      </c>
      <c r="O18" s="64">
        <f>N18*(INDEX('Ex ante LI &amp; Eligibility Stats'!$A:$M,MATCH('Program MW@ '!$A18,'Ex ante LI &amp; Eligibility Stats'!$A:$A,0),MATCH('Program MW@ '!O$7,'Ex ante LI &amp; Eligibility Stats'!$A$5:$M$5,0))/1000)</f>
        <v>1.5366600000000001</v>
      </c>
      <c r="P18" s="66">
        <f>N18*(INDEX('Ex post LI &amp; Eligibility Stats'!$A:$N,MATCH($A18,'Ex post LI &amp; Eligibility Stats'!$A:$A,0),MATCH('Program MW@ '!O$7,'Ex post LI &amp; Eligibility Stats'!$A$6:$N$6,0))/1000)</f>
        <v>4.9277489977933238</v>
      </c>
      <c r="Q18" s="408">
        <v>77519</v>
      </c>
      <c r="R18" s="64">
        <f>Q18*(INDEX('Ex ante LI &amp; Eligibility Stats'!$A:$M,MATCH('Program MW@ '!$A18,'Ex ante LI &amp; Eligibility Stats'!$A:$A,0),MATCH('Program MW@ '!R$7,'Ex ante LI &amp; Eligibility Stats'!$A$5:$M$5,0))/1000)</f>
        <v>2.3255699999999999</v>
      </c>
      <c r="S18" s="66">
        <f>Q18*(INDEX('Ex post LI &amp; Eligibility Stats'!$A:$N,MATCH($A18,'Ex post LI &amp; Eligibility Stats'!$A:$A,0),MATCH('Program MW@ '!R$7,'Ex post LI &amp; Eligibility Stats'!$A$6:$N$6,0))/1000)</f>
        <v>4.9717461840607644</v>
      </c>
      <c r="T18" s="38">
        <v>1200000</v>
      </c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x14ac:dyDescent="0.25">
      <c r="A19" s="338" t="s">
        <v>200</v>
      </c>
      <c r="B19" s="378">
        <f>8780+242</f>
        <v>9022</v>
      </c>
      <c r="C19" s="64">
        <f>B19*(INDEX('Ex ante LI &amp; Eligibility Stats'!$A:$M,MATCH($A19,'Ex ante LI &amp; Eligibility Stats'!$A:$A,0),MATCH('Program MW@ '!C$7,'Ex ante LI &amp; Eligibility Stats'!$A$5:$M$5,0))/1000)</f>
        <v>0</v>
      </c>
      <c r="D19" s="64">
        <f>B19*(INDEX('Ex post LI &amp; Eligibility Stats'!$A:$N,MATCH($A19,'Ex post LI &amp; Eligibility Stats'!$A:$A,0),MATCH('Program MW@ '!C$7,'Ex post LI &amp; Eligibility Stats'!$A$6:$N$6,0))/1000)</f>
        <v>4.970721822081769</v>
      </c>
      <c r="E19" s="65">
        <f>B19+152</f>
        <v>9174</v>
      </c>
      <c r="F19" s="64">
        <f>E19*(INDEX('Ex ante LI &amp; Eligibility Stats'!$A:$M,MATCH($A19,'Ex ante LI &amp; Eligibility Stats'!$A:$A,0),MATCH('Program MW@ '!F$7,'Ex ante LI &amp; Eligibility Stats'!$A$5:$M$5,0))/1000)</f>
        <v>0</v>
      </c>
      <c r="G19" s="66">
        <f>E19*(INDEX('Ex post LI &amp; Eligibility Stats'!$A:$N,MATCH($A19,'Ex post LI &amp; Eligibility Stats'!$A:$A,0),MATCH('Program MW@ '!F$7,'Ex post LI &amp; Eligibility Stats'!$A$6:$N$6,0))/1000)</f>
        <v>5.0544670800020111</v>
      </c>
      <c r="H19" s="65">
        <v>9313</v>
      </c>
      <c r="I19" s="64">
        <f>H19*(INDEX('Ex ante LI &amp; Eligibility Stats'!$A:$M,MATCH('Program MW@ '!$A19,'Ex ante LI &amp; Eligibility Stats'!$A:$A,0),MATCH('Program MW@ '!I$7,'Ex ante LI &amp; Eligibility Stats'!$A$5:$M$5,0))/1000)</f>
        <v>0</v>
      </c>
      <c r="J19" s="66">
        <f>H19*(INDEX('Ex post LI &amp; Eligibility Stats'!$A:$N,MATCH($A19,'Ex post LI &amp; Eligibility Stats'!$A:$A,0),MATCH('Program MW@ '!I$7,'Ex post LI &amp; Eligibility Stats'!$A$6:$N$6,0))/1000)</f>
        <v>5.1310499145474964</v>
      </c>
      <c r="K19" s="65">
        <f>H19+122</f>
        <v>9435</v>
      </c>
      <c r="L19" s="64">
        <f>K19*(INDEX('Ex ante LI &amp; Eligibility Stats'!$A:$M,MATCH('Program MW@ '!$A19,'Ex ante LI &amp; Eligibility Stats'!$A:$A,0),MATCH('Program MW@ '!L$7,'Ex ante LI &amp; Eligibility Stats'!$A$5:$M$5,0))/1000)</f>
        <v>1.3878370684277708</v>
      </c>
      <c r="M19" s="66">
        <f>K19*(INDEX('Ex post LI &amp; Eligibility Stats'!$A:$N,MATCH($A19,'Ex post LI &amp; Eligibility Stats'!$A:$A,0),MATCH('Program MW@ '!L$7,'Ex post LI &amp; Eligibility Stats'!$A$6:$N$6,0))/1000)</f>
        <v>4.3023599999999993</v>
      </c>
      <c r="N19" s="65">
        <f>K19+178</f>
        <v>9613</v>
      </c>
      <c r="O19" s="64">
        <f>N19*(INDEX('Ex ante LI &amp; Eligibility Stats'!$A:$M,MATCH('Program MW@ '!$A19,'Ex ante LI &amp; Eligibility Stats'!$A:$A,0),MATCH('Program MW@ '!O$7,'Ex ante LI &amp; Eligibility Stats'!$A$5:$M$5,0))/1000)</f>
        <v>1.5615368685644238</v>
      </c>
      <c r="P19" s="66">
        <f>N19*(INDEX('Ex post LI &amp; Eligibility Stats'!$A:$N,MATCH($A19,'Ex post LI &amp; Eligibility Stats'!$A:$A,0),MATCH('Program MW@ '!O$7,'Ex post LI &amp; Eligibility Stats'!$A$6:$N$6,0))/1000)</f>
        <v>4.3835280000000001</v>
      </c>
      <c r="Q19" s="408">
        <f>N19+190</f>
        <v>9803</v>
      </c>
      <c r="R19" s="64">
        <f>Q19*(INDEX('Ex ante LI &amp; Eligibility Stats'!$A:$M,MATCH('Program MW@ '!$A19,'Ex ante LI &amp; Eligibility Stats'!$A:$A,0),MATCH('Program MW@ '!R$7,'Ex ante LI &amp; Eligibility Stats'!$A$5:$M$5,0))/1000)</f>
        <v>1.7625592690849872</v>
      </c>
      <c r="S19" s="66">
        <f>Q19*(INDEX('Ex post LI &amp; Eligibility Stats'!$A:$N,MATCH($A19,'Ex post LI &amp; Eligibility Stats'!$A:$A,0),MATCH('Program MW@ '!R$7,'Ex post LI &amp; Eligibility Stats'!$A$6:$N$6,0))/1000)</f>
        <v>4.4701680000000001</v>
      </c>
      <c r="T19" s="38">
        <v>120000</v>
      </c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x14ac:dyDescent="0.25">
      <c r="A20" s="338" t="s">
        <v>201</v>
      </c>
      <c r="B20" s="378">
        <f>461+2297</f>
        <v>2758</v>
      </c>
      <c r="C20" s="64">
        <f>B20*(INDEX('Ex ante LI &amp; Eligibility Stats'!$A:$M,MATCH($A20,'Ex ante LI &amp; Eligibility Stats'!$A:$A,0),MATCH('Program MW@ '!C$7,'Ex ante LI &amp; Eligibility Stats'!$A$5:$M$5,0))/1000)</f>
        <v>5.7458333333333333E-2</v>
      </c>
      <c r="D20" s="64">
        <f>B20*(INDEX('Ex post LI &amp; Eligibility Stats'!$A:$N,MATCH($A20,'Ex post LI &amp; Eligibility Stats'!$A:$A,0),MATCH('Program MW@ '!C$7,'Ex post LI &amp; Eligibility Stats'!$A$6:$N$6,0))/1000)</f>
        <v>5.4817291812653988</v>
      </c>
      <c r="E20" s="65">
        <v>2837</v>
      </c>
      <c r="F20" s="64">
        <f>E20*(INDEX('Ex ante LI &amp; Eligibility Stats'!$A:$M,MATCH($A20,'Ex ante LI &amp; Eligibility Stats'!$A:$A,0),MATCH('Program MW@ '!F$7,'Ex ante LI &amp; Eligibility Stats'!$A$5:$M$5,0))/1000)</f>
        <v>0</v>
      </c>
      <c r="G20" s="66">
        <f>E20*(INDEX('Ex post LI &amp; Eligibility Stats'!$A:$N,MATCH($A20,'Ex post LI &amp; Eligibility Stats'!$A:$A,0),MATCH('Program MW@ '!F$7,'Ex post LI &amp; Eligibility Stats'!$A$6:$N$6,0))/1000)</f>
        <v>5.6387475298223118</v>
      </c>
      <c r="H20" s="65">
        <v>2889</v>
      </c>
      <c r="I20" s="64">
        <f>H20*(INDEX('Ex ante LI &amp; Eligibility Stats'!$A:$M,MATCH('Program MW@ '!$A20,'Ex ante LI &amp; Eligibility Stats'!$A:$A,0),MATCH('Program MW@ '!I$7,'Ex ante LI &amp; Eligibility Stats'!$A$5:$M$5,0))/1000)</f>
        <v>0</v>
      </c>
      <c r="J20" s="66">
        <f>H20*(INDEX('Ex post LI &amp; Eligibility Stats'!$A:$N,MATCH($A20,'Ex post LI &amp; Eligibility Stats'!$A:$A,0),MATCH('Program MW@ '!I$7,'Ex post LI &amp; Eligibility Stats'!$A$6:$N$6,0))/1000)</f>
        <v>5.7421013795053435</v>
      </c>
      <c r="K20" s="65">
        <v>2920</v>
      </c>
      <c r="L20" s="64">
        <f>K20*(INDEX('Ex ante LI &amp; Eligibility Stats'!$A:$M,MATCH('Program MW@ '!$A20,'Ex ante LI &amp; Eligibility Stats'!$A:$A,0),MATCH('Program MW@ '!L$7,'Ex ante LI &amp; Eligibility Stats'!$A$5:$M$5,0))/1000)</f>
        <v>0.8745162734462083</v>
      </c>
      <c r="M20" s="66">
        <f>K20*(INDEX('Ex post LI &amp; Eligibility Stats'!$A:$N,MATCH($A20,'Ex post LI &amp; Eligibility Stats'!$A:$A,0),MATCH('Program MW@ '!L$7,'Ex post LI &amp; Eligibility Stats'!$A$6:$N$6,0))/1000)</f>
        <v>6.6307756192778937</v>
      </c>
      <c r="N20" s="65">
        <v>2935</v>
      </c>
      <c r="O20" s="64">
        <f>N20*(INDEX('Ex ante LI &amp; Eligibility Stats'!$A:$M,MATCH('Program MW@ '!$A20,'Ex ante LI &amp; Eligibility Stats'!$A:$A,0),MATCH('Program MW@ '!O$7,'Ex ante LI &amp; Eligibility Stats'!$A$5:$M$5,0))/1000)</f>
        <v>1.2585147089817421</v>
      </c>
      <c r="P20" s="66">
        <f>N20*(INDEX('Ex post LI &amp; Eligibility Stats'!$A:$N,MATCH($A20,'Ex post LI &amp; Eligibility Stats'!$A:$A,0),MATCH('Program MW@ '!O$7,'Ex post LI &amp; Eligibility Stats'!$A$6:$N$6,0))/1000)</f>
        <v>6.6648378228015819</v>
      </c>
      <c r="Q20" s="408">
        <v>2992</v>
      </c>
      <c r="R20" s="64">
        <f>Q20*(INDEX('Ex ante LI &amp; Eligibility Stats'!$A:$M,MATCH('Program MW@ '!$A20,'Ex ante LI &amp; Eligibility Stats'!$A:$A,0),MATCH('Program MW@ '!R$7,'Ex ante LI &amp; Eligibility Stats'!$A$5:$M$5,0))/1000)</f>
        <v>1.3598512357166062</v>
      </c>
      <c r="S20" s="66">
        <f>Q20*(INDEX('Ex post LI &amp; Eligibility Stats'!$A:$N,MATCH($A20,'Ex post LI &amp; Eligibility Stats'!$A:$A,0),MATCH('Program MW@ '!R$7,'Ex post LI &amp; Eligibility Stats'!$A$6:$N$6,0))/1000)</f>
        <v>6.7942741961915951</v>
      </c>
      <c r="T20" s="38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x14ac:dyDescent="0.25">
      <c r="A21" s="354" t="s">
        <v>125</v>
      </c>
      <c r="B21" s="378">
        <v>9</v>
      </c>
      <c r="C21" s="64">
        <f>B21*(INDEX('Ex ante LI &amp; Eligibility Stats'!$A:$M,MATCH($A21,'Ex ante LI &amp; Eligibility Stats'!$A:$A,0),MATCH('Program MW@ '!C$7,'Ex ante LI &amp; Eligibility Stats'!$A$5:$M$5,0))/1000)</f>
        <v>1.7910000000000001</v>
      </c>
      <c r="D21" s="64">
        <f>B21*(INDEX('Ex post LI &amp; Eligibility Stats'!$A:$N,MATCH($A21,'Ex post LI &amp; Eligibility Stats'!$A:$A,0),MATCH('Program MW@ '!C$7,'Ex post LI &amp; Eligibility Stats'!$A$6:$N$6,0))/1000)</f>
        <v>4.6429727500000002</v>
      </c>
      <c r="E21" s="65">
        <v>9</v>
      </c>
      <c r="F21" s="64">
        <f>E21*(INDEX('Ex ante LI &amp; Eligibility Stats'!$A:$M,MATCH($A21,'Ex ante LI &amp; Eligibility Stats'!$A:$A,0),MATCH('Program MW@ '!F$7,'Ex ante LI &amp; Eligibility Stats'!$A$5:$M$5,0))/1000)</f>
        <v>3.2669999999999999</v>
      </c>
      <c r="G21" s="66">
        <f>E21*(INDEX('Ex post LI &amp; Eligibility Stats'!$A:$N,MATCH($A21,'Ex post LI &amp; Eligibility Stats'!$A:$A,0),MATCH('Program MW@ '!F$7,'Ex post LI &amp; Eligibility Stats'!$A$6:$N$6,0))/1000)</f>
        <v>4.6429727500000002</v>
      </c>
      <c r="H21" s="65">
        <v>9</v>
      </c>
      <c r="I21" s="64">
        <f>H21*(INDEX('Ex ante LI &amp; Eligibility Stats'!$A:$M,MATCH('Program MW@ '!$A21,'Ex ante LI &amp; Eligibility Stats'!$A:$A,0),MATCH('Program MW@ '!I$7,'Ex ante LI &amp; Eligibility Stats'!$A$5:$M$5,0))/1000)</f>
        <v>1.2150000000000001</v>
      </c>
      <c r="J21" s="66">
        <f>H21*(INDEX('Ex post LI &amp; Eligibility Stats'!$A:$N,MATCH($A21,'Ex post LI &amp; Eligibility Stats'!$A:$A,0),MATCH('Program MW@ '!I$7,'Ex post LI &amp; Eligibility Stats'!$A$6:$N$6,0))/1000)</f>
        <v>4.6429727500000002</v>
      </c>
      <c r="K21" s="65">
        <v>9</v>
      </c>
      <c r="L21" s="64">
        <f>K21*(INDEX('Ex ante LI &amp; Eligibility Stats'!$A:$M,MATCH('Program MW@ '!$A21,'Ex ante LI &amp; Eligibility Stats'!$A:$A,0),MATCH('Program MW@ '!L$7,'Ex ante LI &amp; Eligibility Stats'!$A$5:$M$5,0))/1000)</f>
        <v>3.4945280869801838</v>
      </c>
      <c r="M21" s="66">
        <f>K21*(INDEX('Ex post LI &amp; Eligibility Stats'!$A:$N,MATCH($A21,'Ex post LI &amp; Eligibility Stats'!$A:$A,0),MATCH('Program MW@ '!L$7,'Ex post LI &amp; Eligibility Stats'!$A$6:$N$6,0))/1000)</f>
        <v>0</v>
      </c>
      <c r="N21" s="65">
        <v>9</v>
      </c>
      <c r="O21" s="64">
        <f>N21*(INDEX('Ex ante LI &amp; Eligibility Stats'!$A:$M,MATCH('Program MW@ '!$A21,'Ex ante LI &amp; Eligibility Stats'!$A:$A,0),MATCH('Program MW@ '!O$7,'Ex ante LI &amp; Eligibility Stats'!$A$5:$M$5,0))/1000)</f>
        <v>3.2311942179997768</v>
      </c>
      <c r="P21" s="66">
        <f>N21*(INDEX('Ex post LI &amp; Eligibility Stats'!$A:$N,MATCH($A21,'Ex post LI &amp; Eligibility Stats'!$A:$A,0),MATCH('Program MW@ '!O$7,'Ex post LI &amp; Eligibility Stats'!$A$6:$N$6,0))/1000)</f>
        <v>0</v>
      </c>
      <c r="Q21" s="408">
        <v>9</v>
      </c>
      <c r="R21" s="64">
        <f>Q21*(INDEX('Ex ante LI &amp; Eligibility Stats'!$A:$M,MATCH('Program MW@ '!$A21,'Ex ante LI &amp; Eligibility Stats'!$A:$A,0),MATCH('Program MW@ '!R$7,'Ex ante LI &amp; Eligibility Stats'!$A$5:$M$5,0))/1000)</f>
        <v>2.1207367579142251</v>
      </c>
      <c r="S21" s="66">
        <f>Q21*(INDEX('Ex post LI &amp; Eligibility Stats'!$A:$N,MATCH($A21,'Ex post LI &amp; Eligibility Stats'!$A:$A,0),MATCH('Program MW@ '!R$7,'Ex post LI &amp; Eligibility Stats'!$A$6:$N$6,0))/1000)</f>
        <v>0</v>
      </c>
      <c r="T21" s="38">
        <v>162482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x14ac:dyDescent="0.25">
      <c r="A22" s="356" t="s">
        <v>182</v>
      </c>
      <c r="B22" s="378">
        <v>42535</v>
      </c>
      <c r="C22" s="64">
        <f>B22*(INDEX('Ex ante LI &amp; Eligibility Stats'!$A:$M,MATCH($A22,'Ex ante LI &amp; Eligibility Stats'!$A:$A,0),MATCH('Program MW@ '!C$7,'Ex ante LI &amp; Eligibility Stats'!$A$5:$M$5,0))/1000)</f>
        <v>0</v>
      </c>
      <c r="D22" s="64">
        <f>B22*(INDEX('Ex post LI &amp; Eligibility Stats'!$A:$N,MATCH($A22,'Ex post LI &amp; Eligibility Stats'!$A:$A,0),MATCH('Program MW@ '!C$7,'Ex post LI &amp; Eligibility Stats'!$A$6:$N$6,0))/1000)</f>
        <v>0</v>
      </c>
      <c r="E22" s="65">
        <v>47691</v>
      </c>
      <c r="F22" s="64">
        <f>E22*(INDEX('Ex ante LI &amp; Eligibility Stats'!$A:$M,MATCH($A22,'Ex ante LI &amp; Eligibility Stats'!$A:$A,0),MATCH('Program MW@ '!F$7,'Ex ante LI &amp; Eligibility Stats'!$A$5:$M$5,0))/1000)</f>
        <v>0</v>
      </c>
      <c r="G22" s="66">
        <f>E22*(INDEX('Ex post LI &amp; Eligibility Stats'!$A:$N,MATCH($A22,'Ex post LI &amp; Eligibility Stats'!$A:$A,0),MATCH('Program MW@ '!F$7,'Ex post LI &amp; Eligibility Stats'!$A$6:$N$6,0))/1000)</f>
        <v>0</v>
      </c>
      <c r="H22" s="65">
        <v>85131</v>
      </c>
      <c r="I22" s="64">
        <f>H22*(INDEX('Ex ante LI &amp; Eligibility Stats'!$A:$M,MATCH('Program MW@ '!$A22,'Ex ante LI &amp; Eligibility Stats'!$A:$A,0),MATCH('Program MW@ '!I$7,'Ex ante LI &amp; Eligibility Stats'!$A$5:$M$5,0))/1000)</f>
        <v>0</v>
      </c>
      <c r="J22" s="66">
        <f>H22*(INDEX('Ex post LI &amp; Eligibility Stats'!$A:$N,MATCH($A22,'Ex post LI &amp; Eligibility Stats'!$A:$A,0),MATCH('Program MW@ '!I$7,'Ex post LI &amp; Eligibility Stats'!$A$6:$N$6,0))/1000)</f>
        <v>0</v>
      </c>
      <c r="K22" s="65">
        <v>113710</v>
      </c>
      <c r="L22" s="64">
        <f>K22*(INDEX('Ex ante LI &amp; Eligibility Stats'!$A:$M,MATCH('Program MW@ '!$A22,'Ex ante LI &amp; Eligibility Stats'!$A:$A,0),MATCH('Program MW@ '!L$7,'Ex ante LI &amp; Eligibility Stats'!$A$5:$M$5,0))/1000)</f>
        <v>1.1371</v>
      </c>
      <c r="M22" s="66">
        <f>K22*(INDEX('Ex post LI &amp; Eligibility Stats'!$A:$N,MATCH($A22,'Ex post LI &amp; Eligibility Stats'!$A:$A,0),MATCH('Program MW@ '!L$7,'Ex post LI &amp; Eligibility Stats'!$A$6:$N$6,0))/1000)</f>
        <v>0</v>
      </c>
      <c r="N22" s="65">
        <v>116206</v>
      </c>
      <c r="O22" s="64">
        <f>N22*(INDEX('Ex ante LI &amp; Eligibility Stats'!$A:$M,MATCH('Program MW@ '!$A22,'Ex ante LI &amp; Eligibility Stats'!$A:$A,0),MATCH('Program MW@ '!O$7,'Ex ante LI &amp; Eligibility Stats'!$A$5:$M$5,0))/1000)</f>
        <v>1.1620600000000001</v>
      </c>
      <c r="P22" s="66">
        <f>N22*(INDEX('Ex post LI &amp; Eligibility Stats'!$A:$N,MATCH($A22,'Ex post LI &amp; Eligibility Stats'!$A:$A,0),MATCH('Program MW@ '!O$7,'Ex post LI &amp; Eligibility Stats'!$A$6:$N$6,0))/1000)</f>
        <v>0</v>
      </c>
      <c r="Q22" s="408">
        <v>118053</v>
      </c>
      <c r="R22" s="64">
        <f>Q22*(INDEX('Ex ante LI &amp; Eligibility Stats'!$A:$M,MATCH('Program MW@ '!$A22,'Ex ante LI &amp; Eligibility Stats'!$A:$A,0),MATCH('Program MW@ '!R$7,'Ex ante LI &amp; Eligibility Stats'!$A$5:$M$5,0))/1000)</f>
        <v>1.1805300000000001</v>
      </c>
      <c r="S22" s="66">
        <f>Q22*(INDEX('Ex post LI &amp; Eligibility Stats'!$A:$N,MATCH($A22,'Ex post LI &amp; Eligibility Stats'!$A:$A,0),MATCH('Program MW@ '!R$7,'Ex post LI &amp; Eligibility Stats'!$A$6:$N$6,0))/1000)</f>
        <v>0</v>
      </c>
      <c r="T22" s="38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x14ac:dyDescent="0.25">
      <c r="A23" s="356" t="s">
        <v>95</v>
      </c>
      <c r="B23" s="378">
        <v>0</v>
      </c>
      <c r="C23" s="64">
        <f>B23*(INDEX('Ex ante LI &amp; Eligibility Stats'!$A:$M,MATCH($A23,'Ex ante LI &amp; Eligibility Stats'!$A:$A,0),MATCH('Program MW@ '!C$7,'Ex ante LI &amp; Eligibility Stats'!$A$5:$M$5,0))/1000)</f>
        <v>0</v>
      </c>
      <c r="D23" s="64">
        <f>B23*(INDEX('Ex post LI &amp; Eligibility Stats'!$A:$N,MATCH($A23,'Ex post LI &amp; Eligibility Stats'!$A:$A,0),MATCH('Program MW@ '!C$7,'Ex post LI &amp; Eligibility Stats'!$A$6:$N$6,0))/1000)</f>
        <v>0</v>
      </c>
      <c r="E23" s="70">
        <v>0</v>
      </c>
      <c r="F23" s="71">
        <f>E23*(INDEX('Ex ante LI &amp; Eligibility Stats'!$A:$M,MATCH($A23,'Ex ante LI &amp; Eligibility Stats'!$A:$A,0),MATCH('Program MW@ '!F$7,'Ex ante LI &amp; Eligibility Stats'!$A$5:$M$5,0))/1000)</f>
        <v>0</v>
      </c>
      <c r="G23" s="72">
        <f>E23*(INDEX('Ex post LI &amp; Eligibility Stats'!$A:$N,MATCH($A23,'Ex post LI &amp; Eligibility Stats'!$A:$A,0),MATCH('Program MW@ '!F$7,'Ex post LI &amp; Eligibility Stats'!$A$6:$N$6,0))/1000)</f>
        <v>0</v>
      </c>
      <c r="H23" s="70">
        <v>0</v>
      </c>
      <c r="I23" s="71">
        <f>H23*(INDEX('Ex ante LI &amp; Eligibility Stats'!$A:$M,MATCH('Program MW@ '!$A23,'Ex ante LI &amp; Eligibility Stats'!$A:$A,0),MATCH('Program MW@ '!I$7,'Ex ante LI &amp; Eligibility Stats'!$A$5:$M$5,0))/1000)</f>
        <v>0</v>
      </c>
      <c r="J23" s="72">
        <f>H23*(INDEX('Ex post LI &amp; Eligibility Stats'!$A:$N,MATCH($A23,'Ex post LI &amp; Eligibility Stats'!$A:$A,0),MATCH('Program MW@ '!I$7,'Ex post LI &amp; Eligibility Stats'!$A$6:$N$6,0))/1000)</f>
        <v>0</v>
      </c>
      <c r="K23" s="70">
        <v>0</v>
      </c>
      <c r="L23" s="71">
        <f>K23*(INDEX('Ex ante LI &amp; Eligibility Stats'!$A:$M,MATCH('Program MW@ '!$A23,'Ex ante LI &amp; Eligibility Stats'!$A:$A,0),MATCH('Program MW@ '!L$7,'Ex ante LI &amp; Eligibility Stats'!$A$5:$M$5,0))/1000)</f>
        <v>0</v>
      </c>
      <c r="M23" s="72">
        <f>K23*(INDEX('Ex post LI &amp; Eligibility Stats'!$A:$N,MATCH($A23,'Ex post LI &amp; Eligibility Stats'!$A:$A,0),MATCH('Program MW@ '!L$7,'Ex post LI &amp; Eligibility Stats'!$A$6:$N$6,0))/1000)</f>
        <v>0</v>
      </c>
      <c r="N23" s="70">
        <v>0</v>
      </c>
      <c r="O23" s="64">
        <f>N23*(INDEX('Ex ante LI &amp; Eligibility Stats'!$A:$M,MATCH('Program MW@ '!$A23,'Ex ante LI &amp; Eligibility Stats'!$A:$A,0),MATCH('Program MW@ '!O$7,'Ex ante LI &amp; Eligibility Stats'!$A$5:$M$5,0))/1000)</f>
        <v>0</v>
      </c>
      <c r="P23" s="72">
        <f>N23*(INDEX('Ex post LI &amp; Eligibility Stats'!$A:$N,MATCH($A23,'Ex post LI &amp; Eligibility Stats'!$A:$A,0),MATCH('Program MW@ '!O$7,'Ex post LI &amp; Eligibility Stats'!$A$6:$N$6,0))/1000)</f>
        <v>0</v>
      </c>
      <c r="Q23" s="410">
        <v>0</v>
      </c>
      <c r="R23" s="64">
        <f>Q23*(INDEX('Ex ante LI &amp; Eligibility Stats'!$A:$M,MATCH('Program MW@ '!$A23,'Ex ante LI &amp; Eligibility Stats'!$A:$A,0),MATCH('Program MW@ '!R$7,'Ex ante LI &amp; Eligibility Stats'!$A$5:$M$5,0))/1000)</f>
        <v>0</v>
      </c>
      <c r="S23" s="72">
        <f>Q23*(INDEX('Ex post LI &amp; Eligibility Stats'!$A:$N,MATCH($A23,'Ex post LI &amp; Eligibility Stats'!$A:$A,0),MATCH('Program MW@ '!R$7,'Ex post LI &amp; Eligibility Stats'!$A$6:$N$6,0))/1000)</f>
        <v>0</v>
      </c>
      <c r="T23" s="38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ht="13.8" thickBot="1" x14ac:dyDescent="0.3">
      <c r="A24" s="355" t="s">
        <v>33</v>
      </c>
      <c r="B24" s="1">
        <f t="shared" ref="B24:S24" si="1">SUM(B13:B23)</f>
        <v>170041</v>
      </c>
      <c r="C24" s="19">
        <f t="shared" si="1"/>
        <v>20.152538333333332</v>
      </c>
      <c r="D24" s="26">
        <f t="shared" si="1"/>
        <v>91.327328752254473</v>
      </c>
      <c r="E24" s="1">
        <f t="shared" si="1"/>
        <v>175317</v>
      </c>
      <c r="F24" s="19">
        <f t="shared" si="1"/>
        <v>21.122350000000001</v>
      </c>
      <c r="G24" s="26">
        <f t="shared" si="1"/>
        <v>83.913347247860955</v>
      </c>
      <c r="H24" s="1">
        <f t="shared" si="1"/>
        <v>219394</v>
      </c>
      <c r="I24" s="19">
        <f t="shared" si="1"/>
        <v>19.0972360815462</v>
      </c>
      <c r="J24" s="26">
        <f t="shared" si="1"/>
        <v>84.857052609044757</v>
      </c>
      <c r="K24" s="1">
        <f t="shared" si="1"/>
        <v>253636</v>
      </c>
      <c r="L24" s="19">
        <f t="shared" si="1"/>
        <v>22.496140172394167</v>
      </c>
      <c r="M24" s="26">
        <f t="shared" si="1"/>
        <v>73.74810093591168</v>
      </c>
      <c r="N24" s="1">
        <f t="shared" si="1"/>
        <v>256351</v>
      </c>
      <c r="O24" s="2">
        <f t="shared" si="1"/>
        <v>37.361256300171178</v>
      </c>
      <c r="P24" s="27">
        <f t="shared" si="1"/>
        <v>57.124504126710676</v>
      </c>
      <c r="Q24" s="1">
        <f t="shared" si="1"/>
        <v>258248</v>
      </c>
      <c r="R24" s="2">
        <f t="shared" si="1"/>
        <v>38.204641311880295</v>
      </c>
      <c r="S24" s="330">
        <f t="shared" si="1"/>
        <v>57.563475325603982</v>
      </c>
      <c r="T24" s="39"/>
      <c r="U24" s="41"/>
      <c r="V24" s="41"/>
      <c r="W24" s="43"/>
      <c r="X24" s="41"/>
      <c r="Y24" s="41"/>
      <c r="Z24" s="41"/>
      <c r="AA24" s="41"/>
      <c r="AB24" s="41"/>
      <c r="AC24" s="41"/>
      <c r="AD24" s="41"/>
      <c r="AE24" s="41"/>
    </row>
    <row r="25" spans="1:31" ht="14.4" thickTop="1" thickBot="1" x14ac:dyDescent="0.3">
      <c r="A25" s="357" t="s">
        <v>23</v>
      </c>
      <c r="B25" s="9">
        <f t="shared" ref="B25:S25" si="2">+B11+B24</f>
        <v>170046</v>
      </c>
      <c r="C25" s="30">
        <f t="shared" si="2"/>
        <v>22.023226176190477</v>
      </c>
      <c r="D25" s="31">
        <f t="shared" si="2"/>
        <v>92.819386520111621</v>
      </c>
      <c r="E25" s="9">
        <f t="shared" si="2"/>
        <v>175322</v>
      </c>
      <c r="F25" s="30">
        <f t="shared" si="2"/>
        <v>23.038366557142858</v>
      </c>
      <c r="G25" s="30">
        <f t="shared" si="2"/>
        <v>85.405405015718102</v>
      </c>
      <c r="H25" s="9">
        <f t="shared" si="2"/>
        <v>219399</v>
      </c>
      <c r="I25" s="30">
        <f t="shared" si="2"/>
        <v>21.050939781546198</v>
      </c>
      <c r="J25" s="20">
        <f t="shared" si="2"/>
        <v>86.349110376901905</v>
      </c>
      <c r="K25" s="9">
        <f t="shared" si="2"/>
        <v>253641</v>
      </c>
      <c r="L25" s="30">
        <f t="shared" si="2"/>
        <v>23.912726972394168</v>
      </c>
      <c r="M25" s="32">
        <f t="shared" si="2"/>
        <v>75.292945060911677</v>
      </c>
      <c r="N25" s="9">
        <f t="shared" si="2"/>
        <v>256357</v>
      </c>
      <c r="O25" s="33">
        <f t="shared" si="2"/>
        <v>39.186624900171175</v>
      </c>
      <c r="P25" s="11">
        <f t="shared" si="2"/>
        <v>58.978317076710674</v>
      </c>
      <c r="Q25" s="9">
        <f t="shared" si="2"/>
        <v>258255</v>
      </c>
      <c r="R25" s="33">
        <f t="shared" si="2"/>
        <v>40.371926571880294</v>
      </c>
      <c r="S25" s="331">
        <f t="shared" si="2"/>
        <v>59.726257100603981</v>
      </c>
      <c r="T25" s="44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ht="13.8" thickTop="1" x14ac:dyDescent="0.25">
      <c r="A26" s="45"/>
      <c r="B26" s="362"/>
      <c r="C26" s="360"/>
      <c r="D26" s="361"/>
      <c r="E26" s="362"/>
      <c r="F26" s="360"/>
      <c r="G26" s="363"/>
      <c r="H26" s="362"/>
      <c r="I26" s="360"/>
      <c r="J26" s="363"/>
      <c r="K26" s="362"/>
      <c r="L26" s="360"/>
      <c r="M26" s="363"/>
      <c r="N26" s="362"/>
      <c r="O26" s="360"/>
      <c r="P26" s="364"/>
      <c r="Q26" s="362"/>
      <c r="R26" s="360"/>
      <c r="S26" s="364"/>
      <c r="T26" s="46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47" customFormat="1" x14ac:dyDescent="0.25">
      <c r="A27" s="45"/>
      <c r="B27" s="366"/>
      <c r="C27" s="365"/>
      <c r="D27" s="361"/>
      <c r="E27" s="366"/>
      <c r="F27" s="365"/>
      <c r="G27" s="364"/>
      <c r="H27" s="366"/>
      <c r="I27" s="365"/>
      <c r="J27" s="364"/>
      <c r="K27" s="366"/>
      <c r="L27" s="365"/>
      <c r="M27" s="364"/>
      <c r="N27" s="366"/>
      <c r="O27" s="365"/>
      <c r="P27" s="364"/>
      <c r="Q27" s="366"/>
      <c r="R27" s="365"/>
      <c r="S27" s="364"/>
      <c r="T27" s="46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s="47" customFormat="1" x14ac:dyDescent="0.25"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</row>
    <row r="29" spans="1:31" s="47" customFormat="1" hidden="1" x14ac:dyDescent="0.25">
      <c r="B29" s="218"/>
      <c r="C29" s="218">
        <f>C5+6</f>
        <v>8</v>
      </c>
      <c r="D29" s="218">
        <f>D5+6</f>
        <v>8</v>
      </c>
      <c r="E29" s="218"/>
      <c r="F29" s="218">
        <f>F5+6</f>
        <v>9</v>
      </c>
      <c r="G29" s="218">
        <f>G5+6</f>
        <v>9</v>
      </c>
      <c r="H29" s="218"/>
      <c r="I29" s="218">
        <f>I5+6</f>
        <v>10</v>
      </c>
      <c r="J29" s="218">
        <f>J5+6</f>
        <v>10</v>
      </c>
      <c r="K29" s="218"/>
      <c r="L29" s="218">
        <f>L5+6</f>
        <v>11</v>
      </c>
      <c r="M29" s="218">
        <f>M5+6</f>
        <v>11</v>
      </c>
      <c r="N29" s="218"/>
      <c r="O29" s="218">
        <f>O5+6</f>
        <v>12</v>
      </c>
      <c r="P29" s="218">
        <f>P5+6</f>
        <v>12</v>
      </c>
      <c r="Q29" s="218"/>
      <c r="R29" s="218">
        <f>R5+6</f>
        <v>13</v>
      </c>
      <c r="S29" s="218">
        <f>S5+6</f>
        <v>13</v>
      </c>
    </row>
    <row r="30" spans="1:31" s="47" customFormat="1" x14ac:dyDescent="0.25">
      <c r="A30" s="358"/>
      <c r="B30" s="402"/>
      <c r="C30" s="402" t="s">
        <v>6</v>
      </c>
      <c r="D30" s="402"/>
      <c r="E30" s="402"/>
      <c r="F30" s="402" t="s">
        <v>43</v>
      </c>
      <c r="G30" s="402"/>
      <c r="H30" s="402"/>
      <c r="I30" s="402" t="s">
        <v>44</v>
      </c>
      <c r="J30" s="402"/>
      <c r="K30" s="402"/>
      <c r="L30" s="402" t="s">
        <v>9</v>
      </c>
      <c r="M30" s="402"/>
      <c r="N30" s="402"/>
      <c r="O30" s="402" t="s">
        <v>45</v>
      </c>
      <c r="P30" s="402"/>
      <c r="Q30" s="402"/>
      <c r="R30" s="402" t="s">
        <v>11</v>
      </c>
      <c r="S30" s="402"/>
      <c r="T30" s="48"/>
      <c r="U30" s="48"/>
    </row>
    <row r="31" spans="1:31" s="47" customFormat="1" ht="38.25" customHeight="1" x14ac:dyDescent="0.25">
      <c r="A31" s="353" t="s">
        <v>21</v>
      </c>
      <c r="B31" s="238" t="s">
        <v>15</v>
      </c>
      <c r="C31" s="239" t="s">
        <v>111</v>
      </c>
      <c r="D31" s="240" t="s">
        <v>112</v>
      </c>
      <c r="E31" s="238" t="s">
        <v>15</v>
      </c>
      <c r="F31" s="239" t="s">
        <v>111</v>
      </c>
      <c r="G31" s="240" t="s">
        <v>112</v>
      </c>
      <c r="H31" s="238" t="s">
        <v>15</v>
      </c>
      <c r="I31" s="239" t="s">
        <v>111</v>
      </c>
      <c r="J31" s="240" t="s">
        <v>112</v>
      </c>
      <c r="K31" s="238" t="s">
        <v>15</v>
      </c>
      <c r="L31" s="239" t="s">
        <v>111</v>
      </c>
      <c r="M31" s="240" t="s">
        <v>112</v>
      </c>
      <c r="N31" s="238" t="s">
        <v>15</v>
      </c>
      <c r="O31" s="239" t="s">
        <v>111</v>
      </c>
      <c r="P31" s="240" t="s">
        <v>112</v>
      </c>
      <c r="Q31" s="238" t="s">
        <v>15</v>
      </c>
      <c r="R31" s="239" t="s">
        <v>111</v>
      </c>
      <c r="S31" s="240" t="s">
        <v>112</v>
      </c>
      <c r="T31" s="36" t="s">
        <v>172</v>
      </c>
      <c r="U31" s="49"/>
      <c r="V31" s="50"/>
    </row>
    <row r="32" spans="1:31" s="47" customFormat="1" x14ac:dyDescent="0.25">
      <c r="A32" s="353" t="s">
        <v>22</v>
      </c>
      <c r="B32" s="238"/>
      <c r="C32" s="241"/>
      <c r="D32" s="242"/>
      <c r="E32" s="238"/>
      <c r="F32" s="241"/>
      <c r="G32" s="242"/>
      <c r="H32" s="238"/>
      <c r="I32" s="241"/>
      <c r="J32" s="241"/>
      <c r="K32" s="238"/>
      <c r="L32" s="241"/>
      <c r="M32" s="242"/>
      <c r="N32" s="238"/>
      <c r="O32" s="241"/>
      <c r="P32" s="242"/>
      <c r="Q32" s="238"/>
      <c r="R32" s="241"/>
      <c r="S32" s="242"/>
      <c r="T32" s="40"/>
      <c r="U32" s="49"/>
    </row>
    <row r="33" spans="1:26" s="47" customFormat="1" x14ac:dyDescent="0.25">
      <c r="A33" s="359" t="s">
        <v>61</v>
      </c>
      <c r="B33" s="433">
        <v>7</v>
      </c>
      <c r="C33" s="64">
        <f>B33*(INDEX('Ex ante LI &amp; Eligibility Stats'!$A:$M,MATCH($A33,'Ex ante LI &amp; Eligibility Stats'!$A:$A,0),MATCH('Program MW@ '!C$30,'Ex ante LI &amp; Eligibility Stats'!$A$5:$M$5,0))/1000)</f>
        <v>1.5953126000000002</v>
      </c>
      <c r="D33" s="64">
        <f>B33*(INDEX('Ex post LI &amp; Eligibility Stats'!$A:$N,MATCH($A33,'Ex post LI &amp; Eligibility Stats'!$A:$A,0),MATCH('Program MW@ '!C$30,'Ex post LI &amp; Eligibility Stats'!$A$6:$N$6,0))/1000)</f>
        <v>2.162781775</v>
      </c>
      <c r="E33" s="408"/>
      <c r="F33" s="64">
        <f>E33*(INDEX('Ex ante LI &amp; Eligibility Stats'!$A:$M,MATCH($A33,'Ex ante LI &amp; Eligibility Stats'!$A:$A,0),MATCH('Program MW@ '!F$30,'Ex ante LI &amp; Eligibility Stats'!$A$5:$M$5,0))/1000)</f>
        <v>0</v>
      </c>
      <c r="G33" s="64">
        <f>E33*(INDEX('Ex post LI &amp; Eligibility Stats'!$A:$N,MATCH($A33,'Ex post LI &amp; Eligibility Stats'!$A:$A,0),MATCH('Program MW@ '!F$30,'Ex post LI &amp; Eligibility Stats'!$A$6:$N$6,0))/1000)</f>
        <v>0</v>
      </c>
      <c r="H33" s="408"/>
      <c r="I33" s="64">
        <f>H33*(INDEX('Ex ante LI &amp; Eligibility Stats'!$A:$M,MATCH($A33,'Ex ante LI &amp; Eligibility Stats'!$A:$A,0),MATCH('Program MW@ '!I$30,'Ex ante LI &amp; Eligibility Stats'!$A$5:$M$5,0))/1000)</f>
        <v>0</v>
      </c>
      <c r="J33" s="64">
        <f>H33*(INDEX('Ex post LI &amp; Eligibility Stats'!$A:$N,MATCH($A33,'Ex post LI &amp; Eligibility Stats'!$A:$A,0),MATCH('Program MW@ '!I$30,'Ex post LI &amp; Eligibility Stats'!$A$6:$N$6,0))/1000)</f>
        <v>0</v>
      </c>
      <c r="K33" s="432"/>
      <c r="L33" s="64">
        <f>K33*(INDEX('Ex ante LI &amp; Eligibility Stats'!$A:$M,MATCH($A33,'Ex ante LI &amp; Eligibility Stats'!$A:$A,0),MATCH('Program MW@ '!L$30,'Ex ante LI &amp; Eligibility Stats'!$A$5:$M$5,0))/1000)</f>
        <v>0</v>
      </c>
      <c r="M33" s="64">
        <f>K33*(INDEX('Ex post LI &amp; Eligibility Stats'!$A:$N,MATCH($A33,'Ex post LI &amp; Eligibility Stats'!$A:$A,0),MATCH('Program MW@ '!L$30,'Ex post LI &amp; Eligibility Stats'!$A$6:$N$6,0))/1000)</f>
        <v>0</v>
      </c>
      <c r="N33" s="408"/>
      <c r="O33" s="64">
        <f>N33*(INDEX('Ex ante LI &amp; Eligibility Stats'!$A:$M,MATCH($A33,'Ex ante LI &amp; Eligibility Stats'!$A:$A,0),MATCH('Program MW@ '!O$30,'Ex ante LI &amp; Eligibility Stats'!$A$5:$M$5,0))/1000)</f>
        <v>0</v>
      </c>
      <c r="P33" s="64">
        <f>N33*(INDEX('Ex post LI &amp; Eligibility Stats'!$A:$N,MATCH($A33,'Ex post LI &amp; Eligibility Stats'!$A:$A,0),MATCH('Program MW@ '!O$30,'Ex post LI &amp; Eligibility Stats'!$A$6:$N$6,0))/1000)</f>
        <v>0</v>
      </c>
      <c r="Q33" s="408"/>
      <c r="R33" s="64">
        <f>Q33*(INDEX('Ex ante LI &amp; Eligibility Stats'!$A:$M,MATCH($A33,'Ex ante LI &amp; Eligibility Stats'!$A:$A,0),MATCH('Program MW@ '!R$30,'Ex ante LI &amp; Eligibility Stats'!$A$5:$M$5,0))/1000)</f>
        <v>0</v>
      </c>
      <c r="S33" s="66">
        <f>Q33*(INDEX('Ex post LI &amp; Eligibility Stats'!$A:$N,MATCH($A33,'Ex post LI &amp; Eligibility Stats'!$A:$A,0),MATCH('Program MW@ '!R$30,'Ex post LI &amp; Eligibility Stats'!$A$6:$N$6,0))/1000)</f>
        <v>0</v>
      </c>
      <c r="T33" s="38">
        <v>5276</v>
      </c>
      <c r="U33" s="49"/>
    </row>
    <row r="34" spans="1:26" s="47" customFormat="1" ht="13.8" thickBot="1" x14ac:dyDescent="0.3">
      <c r="A34" s="355" t="s">
        <v>20</v>
      </c>
      <c r="B34" s="428">
        <f t="shared" ref="B34:K34" si="3">SUM(B33:B33)</f>
        <v>7</v>
      </c>
      <c r="C34" s="4">
        <f>SUM(C33:C33)</f>
        <v>1.5953126000000002</v>
      </c>
      <c r="D34" s="3">
        <f>SUM(D33:D33)</f>
        <v>2.162781775</v>
      </c>
      <c r="E34" s="428">
        <f t="shared" si="3"/>
        <v>0</v>
      </c>
      <c r="F34" s="4">
        <f>SUM(F33:F33)</f>
        <v>0</v>
      </c>
      <c r="G34" s="3">
        <f>SUM(G33:G33)</f>
        <v>0</v>
      </c>
      <c r="H34" s="428">
        <f t="shared" si="3"/>
        <v>0</v>
      </c>
      <c r="I34" s="4">
        <f>SUM(I33:I33)</f>
        <v>0</v>
      </c>
      <c r="J34" s="3">
        <f>SUM(J33:J33)</f>
        <v>0</v>
      </c>
      <c r="K34" s="428">
        <f t="shared" si="3"/>
        <v>0</v>
      </c>
      <c r="L34" s="4">
        <f t="shared" ref="L34:S34" si="4">SUM(L33:L33)</f>
        <v>0</v>
      </c>
      <c r="M34" s="3">
        <f t="shared" si="4"/>
        <v>0</v>
      </c>
      <c r="N34" s="428">
        <f t="shared" si="4"/>
        <v>0</v>
      </c>
      <c r="O34" s="4">
        <f t="shared" si="4"/>
        <v>0</v>
      </c>
      <c r="P34" s="3">
        <f t="shared" si="4"/>
        <v>0</v>
      </c>
      <c r="Q34" s="428">
        <f t="shared" si="4"/>
        <v>0</v>
      </c>
      <c r="R34" s="4">
        <f t="shared" si="4"/>
        <v>0</v>
      </c>
      <c r="S34" s="3">
        <f t="shared" si="4"/>
        <v>0</v>
      </c>
      <c r="T34" s="39"/>
      <c r="U34" s="49"/>
    </row>
    <row r="35" spans="1:26" s="47" customFormat="1" ht="13.8" thickTop="1" x14ac:dyDescent="0.25">
      <c r="A35" s="353" t="s">
        <v>113</v>
      </c>
      <c r="B35" s="429"/>
      <c r="C35" s="5"/>
      <c r="D35" s="6"/>
      <c r="E35" s="429"/>
      <c r="F35" s="5"/>
      <c r="G35" s="6"/>
      <c r="H35" s="429"/>
      <c r="I35" s="5"/>
      <c r="J35" s="6"/>
      <c r="K35" s="429"/>
      <c r="L35" s="5"/>
      <c r="M35" s="6"/>
      <c r="N35" s="429"/>
      <c r="O35" s="5"/>
      <c r="P35" s="6"/>
      <c r="Q35" s="429"/>
      <c r="R35" s="5"/>
      <c r="S35" s="29"/>
      <c r="T35" s="40"/>
      <c r="U35" s="49"/>
    </row>
    <row r="36" spans="1:26" s="47" customFormat="1" x14ac:dyDescent="0.25">
      <c r="A36" s="359" t="s">
        <v>62</v>
      </c>
      <c r="B36" s="408">
        <v>13419</v>
      </c>
      <c r="C36" s="64">
        <f>B36*(INDEX('Ex ante LI &amp; Eligibility Stats'!$A:$M,MATCH($A36,'Ex ante LI &amp; Eligibility Stats'!$A:$A,0),MATCH('Program MW@ '!C$30,'Ex ante LI &amp; Eligibility Stats'!$A$5:$M$5,0))/1000)</f>
        <v>17.601670094400003</v>
      </c>
      <c r="D36" s="64">
        <f>B36*(INDEX('Ex post LI &amp; Eligibility Stats'!$A:$N,MATCH($A36,'Ex post LI &amp; Eligibility Stats'!$A:$A,0),MATCH('Program MW@ '!C$30,'Ex post LI &amp; Eligibility Stats'!$A$6:$N$6,0))/1000)</f>
        <v>23.992495570961939</v>
      </c>
      <c r="E36" s="408"/>
      <c r="F36" s="64">
        <f>E36*(INDEX('Ex ante LI &amp; Eligibility Stats'!$A:$M,MATCH($A36,'Ex ante LI &amp; Eligibility Stats'!$A:$A,0),MATCH('Program MW@ '!F$30,'Ex ante LI &amp; Eligibility Stats'!$A$5:$M$5,0))/1000)</f>
        <v>0</v>
      </c>
      <c r="G36" s="64">
        <f>E36*(INDEX('Ex post LI &amp; Eligibility Stats'!$A:$N,MATCH($A36,'Ex post LI &amp; Eligibility Stats'!$A:$A,0),MATCH('Program MW@ '!F$30,'Ex post LI &amp; Eligibility Stats'!$A$6:$N$6,0))/1000)</f>
        <v>0</v>
      </c>
      <c r="H36" s="408"/>
      <c r="I36" s="64">
        <f>H36*(INDEX('Ex ante LI &amp; Eligibility Stats'!$A:$M,MATCH($A36,'Ex ante LI &amp; Eligibility Stats'!$A:$A,0),MATCH('Program MW@ '!I$30,'Ex ante LI &amp; Eligibility Stats'!$A$5:$M$5,0))/1000)</f>
        <v>0</v>
      </c>
      <c r="J36" s="64">
        <f>H36*(INDEX('Ex post LI &amp; Eligibility Stats'!$A:$N,MATCH($A36,'Ex post LI &amp; Eligibility Stats'!$A:$A,0),MATCH('Program MW@ '!I$30,'Ex post LI &amp; Eligibility Stats'!$A$6:$N$6,0))/1000)</f>
        <v>0</v>
      </c>
      <c r="K36" s="408"/>
      <c r="L36" s="64">
        <f>K36*(INDEX('Ex ante LI &amp; Eligibility Stats'!$A:$M,MATCH($A36,'Ex ante LI &amp; Eligibility Stats'!$A:$A,0),MATCH('Program MW@ '!L$30,'Ex ante LI &amp; Eligibility Stats'!$A$5:$M$5,0))/1000)</f>
        <v>0</v>
      </c>
      <c r="M36" s="64">
        <f>K36*(INDEX('Ex post LI &amp; Eligibility Stats'!$A:$N,MATCH($A36,'Ex post LI &amp; Eligibility Stats'!$A:$A,0),MATCH('Program MW@ '!L$30,'Ex post LI &amp; Eligibility Stats'!$A$6:$N$6,0))/1000)</f>
        <v>0</v>
      </c>
      <c r="N36" s="408"/>
      <c r="O36" s="64">
        <f>N36*(INDEX('Ex ante LI &amp; Eligibility Stats'!$A:$M,MATCH($A36,'Ex ante LI &amp; Eligibility Stats'!$A:$A,0),MATCH('Program MW@ '!O$30,'Ex ante LI &amp; Eligibility Stats'!$A$5:$M$5,0))/1000)</f>
        <v>0</v>
      </c>
      <c r="P36" s="69">
        <f>N36*(INDEX('Ex post LI &amp; Eligibility Stats'!$A:$N,MATCH($A36,'Ex post LI &amp; Eligibility Stats'!$A:$A,0),MATCH('Program MW@ '!O$30,'Ex post LI &amp; Eligibility Stats'!$A$6:$N$6,0))/1000)</f>
        <v>0</v>
      </c>
      <c r="Q36" s="431"/>
      <c r="R36" s="64">
        <f>Q36*(INDEX('Ex ante LI &amp; Eligibility Stats'!$A:$M,MATCH($A36,'Ex ante LI &amp; Eligibility Stats'!$A:$A,0),MATCH('Program MW@ '!R$30,'Ex ante LI &amp; Eligibility Stats'!$A$5:$M$5,0))/1000)</f>
        <v>0</v>
      </c>
      <c r="S36" s="66">
        <f>Q36*(INDEX('Ex post LI &amp; Eligibility Stats'!$A:$N,MATCH($A36,'Ex post LI &amp; Eligibility Stats'!$A:$A,0),MATCH('Program MW@ '!R$30,'Ex post LI &amp; Eligibility Stats'!$A$6:$N$6,0))/1000)</f>
        <v>0</v>
      </c>
      <c r="T36" s="42">
        <v>138123</v>
      </c>
      <c r="U36" s="49"/>
    </row>
    <row r="37" spans="1:26" s="47" customFormat="1" x14ac:dyDescent="0.25">
      <c r="A37" s="359" t="s">
        <v>63</v>
      </c>
      <c r="B37" s="408">
        <v>25072</v>
      </c>
      <c r="C37" s="64">
        <f>B37*(INDEX('Ex ante LI &amp; Eligibility Stats'!$A:$M,MATCH($A37,'Ex ante LI &amp; Eligibility Stats'!$A:$A,0),MATCH('Program MW@ '!C$30,'Ex ante LI &amp; Eligibility Stats'!$A$5:$M$5,0))/1000)</f>
        <v>8.9306463999999988</v>
      </c>
      <c r="D37" s="64">
        <f>B37*(INDEX('Ex post LI &amp; Eligibility Stats'!$A:$N,MATCH($A37,'Ex post LI &amp; Eligibility Stats'!$A:$A,0),MATCH('Program MW@ '!C$30,'Ex post LI &amp; Eligibility Stats'!$A$6:$N$6,0))/1000)</f>
        <v>10.009995999999999</v>
      </c>
      <c r="E37" s="408"/>
      <c r="F37" s="64">
        <f>E37*(INDEX('Ex ante LI &amp; Eligibility Stats'!$A:$M,MATCH($A37,'Ex ante LI &amp; Eligibility Stats'!$A:$A,0),MATCH('Program MW@ '!F$30,'Ex ante LI &amp; Eligibility Stats'!$A$5:$M$5,0))/1000)</f>
        <v>0</v>
      </c>
      <c r="G37" s="64">
        <f>E37*(INDEX('Ex post LI &amp; Eligibility Stats'!$A:$N,MATCH($A37,'Ex post LI &amp; Eligibility Stats'!$A:$A,0),MATCH('Program MW@ '!F$30,'Ex post LI &amp; Eligibility Stats'!$A$6:$N$6,0))/1000)</f>
        <v>0</v>
      </c>
      <c r="H37" s="408"/>
      <c r="I37" s="64">
        <f>H37*(INDEX('Ex ante LI &amp; Eligibility Stats'!$A:$M,MATCH($A37,'Ex ante LI &amp; Eligibility Stats'!$A:$A,0),MATCH('Program MW@ '!I$30,'Ex ante LI &amp; Eligibility Stats'!$A$5:$M$5,0))/1000)</f>
        <v>0</v>
      </c>
      <c r="J37" s="64">
        <f>H37*(INDEX('Ex post LI &amp; Eligibility Stats'!$A:$N,MATCH($A37,'Ex post LI &amp; Eligibility Stats'!$A:$A,0),MATCH('Program MW@ '!I$30,'Ex post LI &amp; Eligibility Stats'!$A$6:$N$6,0))/1000)</f>
        <v>0</v>
      </c>
      <c r="K37" s="408"/>
      <c r="L37" s="64">
        <f>K37*(INDEX('Ex ante LI &amp; Eligibility Stats'!$A:$M,MATCH($A37,'Ex ante LI &amp; Eligibility Stats'!$A:$A,0),MATCH('Program MW@ '!L$30,'Ex ante LI &amp; Eligibility Stats'!$A$5:$M$5,0))/1000)</f>
        <v>0</v>
      </c>
      <c r="M37" s="64">
        <f>K37*(INDEX('Ex post LI &amp; Eligibility Stats'!$A:$N,MATCH($A37,'Ex post LI &amp; Eligibility Stats'!$A:$A,0),MATCH('Program MW@ '!L$30,'Ex post LI &amp; Eligibility Stats'!$A$6:$N$6,0))/1000)</f>
        <v>0</v>
      </c>
      <c r="N37" s="408"/>
      <c r="O37" s="64">
        <f>N37*(INDEX('Ex ante LI &amp; Eligibility Stats'!$A:$M,MATCH($A37,'Ex ante LI &amp; Eligibility Stats'!$A:$A,0),MATCH('Program MW@ '!O$30,'Ex ante LI &amp; Eligibility Stats'!$A$5:$M$5,0))/1000)</f>
        <v>0</v>
      </c>
      <c r="P37" s="66">
        <f>N37*(INDEX('Ex post LI &amp; Eligibility Stats'!$A:$N,MATCH($A37,'Ex post LI &amp; Eligibility Stats'!$A:$A,0),MATCH('Program MW@ '!O$30,'Ex post LI &amp; Eligibility Stats'!$A$6:$N$6,0))/1000)</f>
        <v>0</v>
      </c>
      <c r="Q37" s="431"/>
      <c r="R37" s="64">
        <f>Q37*(INDEX('Ex ante LI &amp; Eligibility Stats'!$A:$M,MATCH($A37,'Ex ante LI &amp; Eligibility Stats'!$A:$A,0),MATCH('Program MW@ '!R$30,'Ex ante LI &amp; Eligibility Stats'!$A$5:$M$5,0))/1000)</f>
        <v>0</v>
      </c>
      <c r="S37" s="66">
        <f>Q37*(INDEX('Ex post LI &amp; Eligibility Stats'!$A:$N,MATCH($A37,'Ex post LI &amp; Eligibility Stats'!$A:$A,0),MATCH('Program MW@ '!R$30,'Ex post LI &amp; Eligibility Stats'!$A$6:$N$6,0))/1000)</f>
        <v>0</v>
      </c>
      <c r="T37" s="38">
        <v>663393.5</v>
      </c>
      <c r="U37" s="49"/>
    </row>
    <row r="38" spans="1:26" s="47" customFormat="1" x14ac:dyDescent="0.25">
      <c r="A38" s="359" t="s">
        <v>64</v>
      </c>
      <c r="B38" s="408">
        <v>10915</v>
      </c>
      <c r="C38" s="64">
        <f>B38*(INDEX('Ex ante LI &amp; Eligibility Stats'!$A:$M,MATCH($A38,'Ex ante LI &amp; Eligibility Stats'!$A:$A,0),MATCH('Program MW@ '!C$30,'Ex ante LI &amp; Eligibility Stats'!$A$5:$M$5,0))/1000)</f>
        <v>2.8902920000000005</v>
      </c>
      <c r="D38" s="64">
        <f>B38*(INDEX('Ex post LI &amp; Eligibility Stats'!$A:$N,MATCH($A38,'Ex post LI &amp; Eligibility Stats'!$A:$A,0),MATCH('Program MW@ '!C$30,'Ex post LI &amp; Eligibility Stats'!$A$6:$N$6,0))/1000)</f>
        <v>1.800975</v>
      </c>
      <c r="E38" s="408"/>
      <c r="F38" s="64">
        <f>E38*(INDEX('Ex ante LI &amp; Eligibility Stats'!$A:$M,MATCH($A38,'Ex ante LI &amp; Eligibility Stats'!$A:$A,0),MATCH('Program MW@ '!F$30,'Ex ante LI &amp; Eligibility Stats'!$A$5:$M$5,0))/1000)</f>
        <v>0</v>
      </c>
      <c r="G38" s="64">
        <f>E38*(INDEX('Ex post LI &amp; Eligibility Stats'!$A:$N,MATCH($A38,'Ex post LI &amp; Eligibility Stats'!$A:$A,0),MATCH('Program MW@ '!F$30,'Ex post LI &amp; Eligibility Stats'!$A$6:$N$6,0))/1000)</f>
        <v>0</v>
      </c>
      <c r="H38" s="408"/>
      <c r="I38" s="64">
        <f>H38*(INDEX('Ex ante LI &amp; Eligibility Stats'!$A:$M,MATCH($A38,'Ex ante LI &amp; Eligibility Stats'!$A:$A,0),MATCH('Program MW@ '!I$30,'Ex ante LI &amp; Eligibility Stats'!$A$5:$M$5,0))/1000)</f>
        <v>0</v>
      </c>
      <c r="J38" s="64">
        <f>H38*(INDEX('Ex post LI &amp; Eligibility Stats'!$A:$N,MATCH($A38,'Ex post LI &amp; Eligibility Stats'!$A:$A,0),MATCH('Program MW@ '!I$30,'Ex post LI &amp; Eligibility Stats'!$A$6:$N$6,0))/1000)</f>
        <v>0</v>
      </c>
      <c r="K38" s="408"/>
      <c r="L38" s="64">
        <f>K38*(INDEX('Ex ante LI &amp; Eligibility Stats'!$A:$M,MATCH($A38,'Ex ante LI &amp; Eligibility Stats'!$A:$A,0),MATCH('Program MW@ '!L$30,'Ex ante LI &amp; Eligibility Stats'!$A$5:$M$5,0))/1000)</f>
        <v>0</v>
      </c>
      <c r="M38" s="64">
        <f>K38*(INDEX('Ex post LI &amp; Eligibility Stats'!$A:$N,MATCH($A38,'Ex post LI &amp; Eligibility Stats'!$A:$A,0),MATCH('Program MW@ '!L$30,'Ex post LI &amp; Eligibility Stats'!$A$6:$N$6,0))/1000)</f>
        <v>0</v>
      </c>
      <c r="N38" s="408"/>
      <c r="O38" s="64">
        <f>N38*(INDEX('Ex ante LI &amp; Eligibility Stats'!$A:$M,MATCH($A38,'Ex ante LI &amp; Eligibility Stats'!$A:$A,0),MATCH('Program MW@ '!O$30,'Ex ante LI &amp; Eligibility Stats'!$A$5:$M$5,0))/1000)</f>
        <v>0</v>
      </c>
      <c r="P38" s="66">
        <f>N38*(INDEX('Ex post LI &amp; Eligibility Stats'!$A:$N,MATCH($A38,'Ex post LI &amp; Eligibility Stats'!$A:$A,0),MATCH('Program MW@ '!O$30,'Ex post LI &amp; Eligibility Stats'!$A$6:$N$6,0))/1000)</f>
        <v>0</v>
      </c>
      <c r="Q38" s="431"/>
      <c r="R38" s="64">
        <f>Q38*(INDEX('Ex ante LI &amp; Eligibility Stats'!$A:$M,MATCH($A38,'Ex ante LI &amp; Eligibility Stats'!$A:$A,0),MATCH('Program MW@ '!R$30,'Ex ante LI &amp; Eligibility Stats'!$A$5:$M$5,0))/1000)</f>
        <v>0</v>
      </c>
      <c r="S38" s="66">
        <f>Q38*(INDEX('Ex post LI &amp; Eligibility Stats'!$A:$N,MATCH($A38,'Ex post LI &amp; Eligibility Stats'!$A:$A,0),MATCH('Program MW@ '!R$30,'Ex post LI &amp; Eligibility Stats'!$A$6:$N$6,0))/1000)</f>
        <v>0</v>
      </c>
      <c r="T38" s="38">
        <v>157189</v>
      </c>
      <c r="U38" s="49"/>
    </row>
    <row r="39" spans="1:26" s="47" customFormat="1" x14ac:dyDescent="0.25">
      <c r="A39" s="359" t="s">
        <v>65</v>
      </c>
      <c r="B39" s="408">
        <v>68</v>
      </c>
      <c r="C39" s="64">
        <f>B39*(INDEX('Ex ante LI &amp; Eligibility Stats'!$A:$M,MATCH($A39,'Ex ante LI &amp; Eligibility Stats'!$A:$A,0),MATCH('Program MW@ '!C$30,'Ex ante LI &amp; Eligibility Stats'!$A$5:$M$5,0))/1000)</f>
        <v>4.2754578232765201</v>
      </c>
      <c r="D39" s="64">
        <f>B39*(INDEX('Ex post LI &amp; Eligibility Stats'!$A:$N,MATCH($A39,'Ex post LI &amp; Eligibility Stats'!$A:$A,0),MATCH('Program MW@ '!C$30,'Ex post LI &amp; Eligibility Stats'!$A$6:$N$6,0))/1000)</f>
        <v>4.5015882154305782</v>
      </c>
      <c r="E39" s="408"/>
      <c r="F39" s="64">
        <f>E39*(INDEX('Ex ante LI &amp; Eligibility Stats'!$A:$M,MATCH($A39,'Ex ante LI &amp; Eligibility Stats'!$A:$A,0),MATCH('Program MW@ '!F$30,'Ex ante LI &amp; Eligibility Stats'!$A$5:$M$5,0))/1000)</f>
        <v>0</v>
      </c>
      <c r="G39" s="64">
        <f>E39*(INDEX('Ex post LI &amp; Eligibility Stats'!$A:$N,MATCH($A39,'Ex post LI &amp; Eligibility Stats'!$A:$A,0),MATCH('Program MW@ '!F$30,'Ex post LI &amp; Eligibility Stats'!$A$6:$N$6,0))/1000)</f>
        <v>0</v>
      </c>
      <c r="H39" s="408"/>
      <c r="I39" s="64">
        <f>H39*(INDEX('Ex ante LI &amp; Eligibility Stats'!$A:$M,MATCH($A39,'Ex ante LI &amp; Eligibility Stats'!$A:$A,0),MATCH('Program MW@ '!I$30,'Ex ante LI &amp; Eligibility Stats'!$A$5:$M$5,0))/1000)</f>
        <v>0</v>
      </c>
      <c r="J39" s="64">
        <f>H39*(INDEX('Ex post LI &amp; Eligibility Stats'!$A:$N,MATCH($A39,'Ex post LI &amp; Eligibility Stats'!$A:$A,0),MATCH('Program MW@ '!I$30,'Ex post LI &amp; Eligibility Stats'!$A$6:$N$6,0))/1000)</f>
        <v>0</v>
      </c>
      <c r="K39" s="408"/>
      <c r="L39" s="64">
        <f>K39*(INDEX('Ex ante LI &amp; Eligibility Stats'!$A:$M,MATCH($A39,'Ex ante LI &amp; Eligibility Stats'!$A:$A,0),MATCH('Program MW@ '!L$30,'Ex ante LI &amp; Eligibility Stats'!$A$5:$M$5,0))/1000)</f>
        <v>0</v>
      </c>
      <c r="M39" s="64">
        <f>K39*(INDEX('Ex post LI &amp; Eligibility Stats'!$A:$N,MATCH($A39,'Ex post LI &amp; Eligibility Stats'!$A:$A,0),MATCH('Program MW@ '!L$30,'Ex post LI &amp; Eligibility Stats'!$A$6:$N$6,0))/1000)</f>
        <v>0</v>
      </c>
      <c r="N39" s="408"/>
      <c r="O39" s="64">
        <f>N39*(INDEX('Ex ante LI &amp; Eligibility Stats'!$A:$M,MATCH($A39,'Ex ante LI &amp; Eligibility Stats'!$A:$A,0),MATCH('Program MW@ '!O$30,'Ex ante LI &amp; Eligibility Stats'!$A$5:$M$5,0))/1000)</f>
        <v>0</v>
      </c>
      <c r="P39" s="66">
        <f>N39*(INDEX('Ex post LI &amp; Eligibility Stats'!$A:$N,MATCH($A39,'Ex post LI &amp; Eligibility Stats'!$A:$A,0),MATCH('Program MW@ '!O$30,'Ex post LI &amp; Eligibility Stats'!$A$6:$N$6,0))/1000)</f>
        <v>0</v>
      </c>
      <c r="Q39" s="431"/>
      <c r="R39" s="64">
        <f>Q39*(INDEX('Ex ante LI &amp; Eligibility Stats'!$A:$M,MATCH($A39,'Ex ante LI &amp; Eligibility Stats'!$A:$A,0),MATCH('Program MW@ '!R$30,'Ex ante LI &amp; Eligibility Stats'!$A$5:$M$5,0))/1000)</f>
        <v>0</v>
      </c>
      <c r="S39" s="66">
        <f>Q39*(INDEX('Ex post LI &amp; Eligibility Stats'!$A:$N,MATCH($A39,'Ex post LI &amp; Eligibility Stats'!$A:$A,0),MATCH('Program MW@ '!R$30,'Ex post LI &amp; Eligibility Stats'!$A$6:$N$6,0))/1000)</f>
        <v>0</v>
      </c>
      <c r="T39" s="38">
        <v>18875</v>
      </c>
      <c r="U39" s="49"/>
    </row>
    <row r="40" spans="1:26" s="47" customFormat="1" x14ac:dyDescent="0.25">
      <c r="A40" s="359" t="s">
        <v>66</v>
      </c>
      <c r="B40" s="408">
        <v>198</v>
      </c>
      <c r="C40" s="64">
        <f>B40*(INDEX('Ex ante LI &amp; Eligibility Stats'!$A:$M,MATCH($A40,'Ex ante LI &amp; Eligibility Stats'!$A:$A,0),MATCH('Program MW@ '!C$30,'Ex ante LI &amp; Eligibility Stats'!$A$5:$M$5,0))/1000)</f>
        <v>4.1653332229289735</v>
      </c>
      <c r="D40" s="64">
        <f>B40*(INDEX('Ex post LI &amp; Eligibility Stats'!$A:$N,MATCH($A40,'Ex post LI &amp; Eligibility Stats'!$A:$A,0),MATCH('Program MW@ '!C$30,'Ex post LI &amp; Eligibility Stats'!$A$6:$N$6,0))/1000)</f>
        <v>5.1674123536105512</v>
      </c>
      <c r="E40" s="408"/>
      <c r="F40" s="64">
        <f>E40*(INDEX('Ex ante LI &amp; Eligibility Stats'!$A:$M,MATCH($A40,'Ex ante LI &amp; Eligibility Stats'!$A:$A,0),MATCH('Program MW@ '!F$30,'Ex ante LI &amp; Eligibility Stats'!$A$5:$M$5,0))/1000)</f>
        <v>0</v>
      </c>
      <c r="G40" s="64">
        <f>E40*(INDEX('Ex post LI &amp; Eligibility Stats'!$A:$N,MATCH($A40,'Ex post LI &amp; Eligibility Stats'!$A:$A,0),MATCH('Program MW@ '!F$30,'Ex post LI &amp; Eligibility Stats'!$A$6:$N$6,0))/1000)</f>
        <v>0</v>
      </c>
      <c r="H40" s="408"/>
      <c r="I40" s="64">
        <f>H40*(INDEX('Ex ante LI &amp; Eligibility Stats'!$A:$M,MATCH($A40,'Ex ante LI &amp; Eligibility Stats'!$A:$A,0),MATCH('Program MW@ '!I$30,'Ex ante LI &amp; Eligibility Stats'!$A$5:$M$5,0))/1000)</f>
        <v>0</v>
      </c>
      <c r="J40" s="64">
        <f>H40*(INDEX('Ex post LI &amp; Eligibility Stats'!$A:$N,MATCH($A40,'Ex post LI &amp; Eligibility Stats'!$A:$A,0),MATCH('Program MW@ '!I$30,'Ex post LI &amp; Eligibility Stats'!$A$6:$N$6,0))/1000)</f>
        <v>0</v>
      </c>
      <c r="K40" s="408"/>
      <c r="L40" s="64">
        <f>K40*(INDEX('Ex ante LI &amp; Eligibility Stats'!$A:$M,MATCH($A40,'Ex ante LI &amp; Eligibility Stats'!$A:$A,0),MATCH('Program MW@ '!L$30,'Ex ante LI &amp; Eligibility Stats'!$A$5:$M$5,0))/1000)</f>
        <v>0</v>
      </c>
      <c r="M40" s="64">
        <f>K40*(INDEX('Ex post LI &amp; Eligibility Stats'!$A:$N,MATCH($A40,'Ex post LI &amp; Eligibility Stats'!$A:$A,0),MATCH('Program MW@ '!L$30,'Ex post LI &amp; Eligibility Stats'!$A$6:$N$6,0))/1000)</f>
        <v>0</v>
      </c>
      <c r="N40" s="408"/>
      <c r="O40" s="64">
        <f>N40*(INDEX('Ex ante LI &amp; Eligibility Stats'!$A:$M,MATCH($A40,'Ex ante LI &amp; Eligibility Stats'!$A:$A,0),MATCH('Program MW@ '!O$30,'Ex ante LI &amp; Eligibility Stats'!$A$5:$M$5,0))/1000)</f>
        <v>0</v>
      </c>
      <c r="P40" s="66">
        <f>N40*(INDEX('Ex post LI &amp; Eligibility Stats'!$A:$N,MATCH($A40,'Ex post LI &amp; Eligibility Stats'!$A:$A,0),MATCH('Program MW@ '!O$30,'Ex post LI &amp; Eligibility Stats'!$A$6:$N$6,0))/1000)</f>
        <v>0</v>
      </c>
      <c r="Q40" s="431"/>
      <c r="R40" s="64">
        <f>Q40*(INDEX('Ex ante LI &amp; Eligibility Stats'!$A:$M,MATCH($A40,'Ex ante LI &amp; Eligibility Stats'!$A:$A,0),MATCH('Program MW@ '!R$30,'Ex ante LI &amp; Eligibility Stats'!$A$5:$M$5,0))/1000)</f>
        <v>0</v>
      </c>
      <c r="S40" s="66">
        <f>Q40*(INDEX('Ex post LI &amp; Eligibility Stats'!$A:$N,MATCH($A40,'Ex post LI &amp; Eligibility Stats'!$A:$A,0),MATCH('Program MW@ '!R$30,'Ex post LI &amp; Eligibility Stats'!$A$6:$N$6,0))/1000)</f>
        <v>0</v>
      </c>
      <c r="T40" s="38">
        <v>18875</v>
      </c>
      <c r="U40" s="49"/>
    </row>
    <row r="41" spans="1:26" s="47" customFormat="1" x14ac:dyDescent="0.25">
      <c r="A41" s="354" t="s">
        <v>171</v>
      </c>
      <c r="B41" s="431">
        <v>77783</v>
      </c>
      <c r="C41" s="64">
        <f>B41*(INDEX('Ex ante LI &amp; Eligibility Stats'!$A:$M,MATCH($A41,'Ex ante LI &amp; Eligibility Stats'!$A:$A,0),MATCH('Program MW@ '!C$30,'Ex ante LI &amp; Eligibility Stats'!$A$5:$M$5,0))/1000)</f>
        <v>3.1113200000000001</v>
      </c>
      <c r="D41" s="66">
        <f>B41*(INDEX('Ex post LI &amp; Eligibility Stats'!$A:$N,MATCH($A41,'Ex post LI &amp; Eligibility Stats'!$A:$A,0),MATCH('Program MW@ '!C$30,'Ex post LI &amp; Eligibility Stats'!$A$6:$N$6,0))/1000)</f>
        <v>4.9886780458313238</v>
      </c>
      <c r="E41" s="431"/>
      <c r="F41" s="64">
        <f>E41*(INDEX('Ex ante LI &amp; Eligibility Stats'!$A:$M,MATCH($A41,'Ex ante LI &amp; Eligibility Stats'!$A:$A,0),MATCH('Program MW@ '!F$30,'Ex ante LI &amp; Eligibility Stats'!$A$5:$M$5,0))/1000)</f>
        <v>0</v>
      </c>
      <c r="G41" s="66">
        <f>E41*(INDEX('Ex post LI &amp; Eligibility Stats'!$A:$N,MATCH($A41,'Ex post LI &amp; Eligibility Stats'!$A:$A,0),MATCH('Program MW@ '!F$30,'Ex post LI &amp; Eligibility Stats'!$A$6:$N$6,0))/1000)</f>
        <v>0</v>
      </c>
      <c r="H41" s="431"/>
      <c r="I41" s="64">
        <f>H41*(INDEX('Ex ante LI &amp; Eligibility Stats'!$A:$M,MATCH($A41,'Ex ante LI &amp; Eligibility Stats'!$A:$A,0),MATCH('Program MW@ '!I$30,'Ex ante LI &amp; Eligibility Stats'!$A$5:$M$5,0))/1000)</f>
        <v>0</v>
      </c>
      <c r="J41" s="66">
        <f>H41*(INDEX('Ex post LI &amp; Eligibility Stats'!$A:$N,MATCH($A41,'Ex post LI &amp; Eligibility Stats'!$A:$A,0),MATCH('Program MW@ '!I$30,'Ex post LI &amp; Eligibility Stats'!$A$6:$N$6,0))/1000)</f>
        <v>0</v>
      </c>
      <c r="K41" s="431"/>
      <c r="L41" s="64">
        <f>K41*(INDEX('Ex ante LI &amp; Eligibility Stats'!$A:$M,MATCH($A41,'Ex ante LI &amp; Eligibility Stats'!$A:$A,0),MATCH('Program MW@ '!L$30,'Ex ante LI &amp; Eligibility Stats'!$A$5:$M$5,0))/1000)</f>
        <v>0</v>
      </c>
      <c r="M41" s="66">
        <f>K41*(INDEX('Ex post LI &amp; Eligibility Stats'!$A:$N,MATCH($A41,'Ex post LI &amp; Eligibility Stats'!$A:$A,0),MATCH('Program MW@ '!L$30,'Ex post LI &amp; Eligibility Stats'!$A$6:$N$6,0))/1000)</f>
        <v>0</v>
      </c>
      <c r="N41" s="431"/>
      <c r="O41" s="64">
        <f>N41*(INDEX('Ex ante LI &amp; Eligibility Stats'!$A:$M,MATCH($A41,'Ex ante LI &amp; Eligibility Stats'!$A:$A,0),MATCH('Program MW@ '!O$30,'Ex ante LI &amp; Eligibility Stats'!$A$5:$M$5,0))/1000)</f>
        <v>0</v>
      </c>
      <c r="P41" s="66">
        <f>N41*(INDEX('Ex post LI &amp; Eligibility Stats'!$A:$N,MATCH($A41,'Ex post LI &amp; Eligibility Stats'!$A:$A,0),MATCH('Program MW@ '!O$30,'Ex post LI &amp; Eligibility Stats'!$A$6:$N$6,0))/1000)</f>
        <v>0</v>
      </c>
      <c r="Q41" s="431"/>
      <c r="R41" s="64">
        <f>Q41*(INDEX('Ex ante LI &amp; Eligibility Stats'!$A:$M,MATCH($A41,'Ex ante LI &amp; Eligibility Stats'!$A:$A,0),MATCH('Program MW@ '!R$30,'Ex ante LI &amp; Eligibility Stats'!$A$5:$M$5,0))/1000)</f>
        <v>0</v>
      </c>
      <c r="S41" s="66">
        <f>Q41*(INDEX('Ex post LI &amp; Eligibility Stats'!$A:$N,MATCH($A41,'Ex post LI &amp; Eligibility Stats'!$A:$A,0),MATCH('Program MW@ '!R$30,'Ex post LI &amp; Eligibility Stats'!$A$6:$N$6,0))/1000)</f>
        <v>0</v>
      </c>
      <c r="T41" s="38">
        <v>1200000</v>
      </c>
      <c r="U41" s="49"/>
    </row>
    <row r="42" spans="1:26" s="47" customFormat="1" x14ac:dyDescent="0.25">
      <c r="A42" s="338" t="s">
        <v>200</v>
      </c>
      <c r="B42" s="431">
        <v>10066</v>
      </c>
      <c r="C42" s="64">
        <f>B42*(INDEX('Ex ante LI &amp; Eligibility Stats'!$A:$M,MATCH($A42,'Ex ante LI &amp; Eligibility Stats'!$A:$A,0),MATCH('Program MW@ '!C$30,'Ex ante LI &amp; Eligibility Stats'!$A$5:$M$5,0))/1000)</f>
        <v>2.3766626891211664</v>
      </c>
      <c r="D42" s="66">
        <f>B42*(INDEX('Ex post LI &amp; Eligibility Stats'!$A:$N,MATCH($A42,'Ex post LI &amp; Eligibility Stats'!$A:$A,0),MATCH('Program MW@ '!C$30,'Ex post LI &amp; Eligibility Stats'!$A$6:$N$6,0))/1000)</f>
        <v>4.590096</v>
      </c>
      <c r="E42" s="431"/>
      <c r="F42" s="64">
        <f>E42*(INDEX('Ex ante LI &amp; Eligibility Stats'!$A:$M,MATCH($A42,'Ex ante LI &amp; Eligibility Stats'!$A:$A,0),MATCH('Program MW@ '!F$30,'Ex ante LI &amp; Eligibility Stats'!$A$5:$M$5,0))/1000)</f>
        <v>0</v>
      </c>
      <c r="G42" s="66">
        <f>E42*(INDEX('Ex post LI &amp; Eligibility Stats'!$A:$N,MATCH($A42,'Ex post LI &amp; Eligibility Stats'!$A:$A,0),MATCH('Program MW@ '!F$30,'Ex post LI &amp; Eligibility Stats'!$A$6:$N$6,0))/1000)</f>
        <v>0</v>
      </c>
      <c r="H42" s="431"/>
      <c r="I42" s="64">
        <f>H42*(INDEX('Ex ante LI &amp; Eligibility Stats'!$A:$M,MATCH($A42,'Ex ante LI &amp; Eligibility Stats'!$A:$A,0),MATCH('Program MW@ '!I$30,'Ex ante LI &amp; Eligibility Stats'!$A$5:$M$5,0))/1000)</f>
        <v>0</v>
      </c>
      <c r="J42" s="66">
        <f>H42*(INDEX('Ex post LI &amp; Eligibility Stats'!$A:$N,MATCH($A42,'Ex post LI &amp; Eligibility Stats'!$A:$A,0),MATCH('Program MW@ '!I$30,'Ex post LI &amp; Eligibility Stats'!$A$6:$N$6,0))/1000)</f>
        <v>0</v>
      </c>
      <c r="K42" s="431"/>
      <c r="L42" s="64">
        <f>K42*(INDEX('Ex ante LI &amp; Eligibility Stats'!$A:$M,MATCH($A42,'Ex ante LI &amp; Eligibility Stats'!$A:$A,0),MATCH('Program MW@ '!L$30,'Ex ante LI &amp; Eligibility Stats'!$A$5:$M$5,0))/1000)</f>
        <v>0</v>
      </c>
      <c r="M42" s="66">
        <f>K42*(INDEX('Ex post LI &amp; Eligibility Stats'!$A:$N,MATCH($A42,'Ex post LI &amp; Eligibility Stats'!$A:$A,0),MATCH('Program MW@ '!L$30,'Ex post LI &amp; Eligibility Stats'!$A$6:$N$6,0))/1000)</f>
        <v>0</v>
      </c>
      <c r="N42" s="431"/>
      <c r="O42" s="64">
        <f>N42*(INDEX('Ex ante LI &amp; Eligibility Stats'!$A:$M,MATCH($A42,'Ex ante LI &amp; Eligibility Stats'!$A:$A,0),MATCH('Program MW@ '!O$30,'Ex ante LI &amp; Eligibility Stats'!$A$5:$M$5,0))/1000)</f>
        <v>0</v>
      </c>
      <c r="P42" s="66">
        <f>N42*(INDEX('Ex post LI &amp; Eligibility Stats'!$A:$N,MATCH($A42,'Ex post LI &amp; Eligibility Stats'!$A:$A,0),MATCH('Program MW@ '!O$30,'Ex post LI &amp; Eligibility Stats'!$A$6:$N$6,0))/1000)</f>
        <v>0</v>
      </c>
      <c r="Q42" s="431"/>
      <c r="R42" s="64">
        <f>Q42*(INDEX('Ex ante LI &amp; Eligibility Stats'!$A:$M,MATCH($A42,'Ex ante LI &amp; Eligibility Stats'!$A:$A,0),MATCH('Program MW@ '!R$30,'Ex ante LI &amp; Eligibility Stats'!$A$5:$M$5,0))/1000)</f>
        <v>0</v>
      </c>
      <c r="S42" s="66">
        <f>Q42*(INDEX('Ex post LI &amp; Eligibility Stats'!$A:$N,MATCH($A42,'Ex post LI &amp; Eligibility Stats'!$A:$A,0),MATCH('Program MW@ '!R$30,'Ex post LI &amp; Eligibility Stats'!$A$6:$N$6,0))/1000)</f>
        <v>0</v>
      </c>
      <c r="T42" s="38">
        <v>120000</v>
      </c>
      <c r="U42" s="49"/>
    </row>
    <row r="43" spans="1:26" s="47" customFormat="1" x14ac:dyDescent="0.25">
      <c r="A43" s="338" t="s">
        <v>201</v>
      </c>
      <c r="B43" s="431">
        <v>3016</v>
      </c>
      <c r="C43" s="64">
        <f>B43*(INDEX('Ex ante LI &amp; Eligibility Stats'!$A:$M,MATCH($A43,'Ex ante LI &amp; Eligibility Stats'!$A:$A,0),MATCH('Program MW@ '!C$30,'Ex ante LI &amp; Eligibility Stats'!$A$5:$M$5,0))/1000)</f>
        <v>2.0808649323540043</v>
      </c>
      <c r="D43" s="66">
        <f>B43*(INDEX('Ex post LI &amp; Eligibility Stats'!$A:$N,MATCH($A43,'Ex post LI &amp; Eligibility Stats'!$A:$A,0),MATCH('Program MW@ '!C$30,'Ex post LI &amp; Eligibility Stats'!$A$6:$N$6,0))/1000)</f>
        <v>6.8487737218294953</v>
      </c>
      <c r="E43" s="431"/>
      <c r="F43" s="64">
        <f>E43*(INDEX('Ex ante LI &amp; Eligibility Stats'!$A:$M,MATCH($A43,'Ex ante LI &amp; Eligibility Stats'!$A:$A,0),MATCH('Program MW@ '!F$30,'Ex ante LI &amp; Eligibility Stats'!$A$5:$M$5,0))/1000)</f>
        <v>0</v>
      </c>
      <c r="G43" s="66">
        <f>E43*(INDEX('Ex post LI &amp; Eligibility Stats'!$A:$N,MATCH($A43,'Ex post LI &amp; Eligibility Stats'!$A:$A,0),MATCH('Program MW@ '!F$30,'Ex post LI &amp; Eligibility Stats'!$A$6:$N$6,0))/1000)</f>
        <v>0</v>
      </c>
      <c r="H43" s="431"/>
      <c r="I43" s="64">
        <f>H43*(INDEX('Ex ante LI &amp; Eligibility Stats'!$A:$M,MATCH($A43,'Ex ante LI &amp; Eligibility Stats'!$A:$A,0),MATCH('Program MW@ '!I$30,'Ex ante LI &amp; Eligibility Stats'!$A$5:$M$5,0))/1000)</f>
        <v>0</v>
      </c>
      <c r="J43" s="66">
        <f>H43*(INDEX('Ex post LI &amp; Eligibility Stats'!$A:$N,MATCH($A43,'Ex post LI &amp; Eligibility Stats'!$A:$A,0),MATCH('Program MW@ '!I$30,'Ex post LI &amp; Eligibility Stats'!$A$6:$N$6,0))/1000)</f>
        <v>0</v>
      </c>
      <c r="K43" s="431"/>
      <c r="L43" s="64">
        <f>K43*(INDEX('Ex ante LI &amp; Eligibility Stats'!$A:$M,MATCH($A43,'Ex ante LI &amp; Eligibility Stats'!$A:$A,0),MATCH('Program MW@ '!L$30,'Ex ante LI &amp; Eligibility Stats'!$A$5:$M$5,0))/1000)</f>
        <v>0</v>
      </c>
      <c r="M43" s="66">
        <f>K43*(INDEX('Ex post LI &amp; Eligibility Stats'!$A:$N,MATCH($A43,'Ex post LI &amp; Eligibility Stats'!$A:$A,0),MATCH('Program MW@ '!L$30,'Ex post LI &amp; Eligibility Stats'!$A$6:$N$6,0))/1000)</f>
        <v>0</v>
      </c>
      <c r="N43" s="431"/>
      <c r="O43" s="64">
        <f>N43*(INDEX('Ex ante LI &amp; Eligibility Stats'!$A:$M,MATCH($A43,'Ex ante LI &amp; Eligibility Stats'!$A:$A,0),MATCH('Program MW@ '!O$30,'Ex ante LI &amp; Eligibility Stats'!$A$5:$M$5,0))/1000)</f>
        <v>0</v>
      </c>
      <c r="P43" s="66">
        <f>N43*(INDEX('Ex post LI &amp; Eligibility Stats'!$A:$N,MATCH($A43,'Ex post LI &amp; Eligibility Stats'!$A:$A,0),MATCH('Program MW@ '!O$30,'Ex post LI &amp; Eligibility Stats'!$A$6:$N$6,0))/1000)</f>
        <v>0</v>
      </c>
      <c r="Q43" s="431"/>
      <c r="R43" s="64">
        <f>Q43*(INDEX('Ex ante LI &amp; Eligibility Stats'!$A:$M,MATCH($A43,'Ex ante LI &amp; Eligibility Stats'!$A:$A,0),MATCH('Program MW@ '!R$30,'Ex ante LI &amp; Eligibility Stats'!$A$5:$M$5,0))/1000)</f>
        <v>0</v>
      </c>
      <c r="S43" s="66">
        <f>Q43*(INDEX('Ex post LI &amp; Eligibility Stats'!$A:$N,MATCH($A43,'Ex post LI &amp; Eligibility Stats'!$A:$A,0),MATCH('Program MW@ '!R$30,'Ex post LI &amp; Eligibility Stats'!$A$6:$N$6,0))/1000)</f>
        <v>0</v>
      </c>
      <c r="T43" s="38">
        <v>162482</v>
      </c>
      <c r="U43" s="49"/>
    </row>
    <row r="44" spans="1:26" s="47" customFormat="1" x14ac:dyDescent="0.25">
      <c r="A44" s="354" t="s">
        <v>125</v>
      </c>
      <c r="B44" s="408">
        <v>9</v>
      </c>
      <c r="C44" s="64">
        <f>B44*(INDEX('Ex ante LI &amp; Eligibility Stats'!$A:$M,MATCH($A44,'Ex ante LI &amp; Eligibility Stats'!$A:$A,0),MATCH('Program MW@ '!C$30,'Ex ante LI &amp; Eligibility Stats'!$A$5:$M$5,0))/1000)</f>
        <v>2.5996781746546427</v>
      </c>
      <c r="D44" s="64">
        <f>B44*(INDEX('Ex post LI &amp; Eligibility Stats'!$A:$N,MATCH($A44,'Ex post LI &amp; Eligibility Stats'!$A:$A,0),MATCH('Program MW@ '!C$30,'Ex post LI &amp; Eligibility Stats'!$A$6:$N$6,0))/1000)</f>
        <v>0</v>
      </c>
      <c r="E44" s="408"/>
      <c r="F44" s="64">
        <f>E44*(INDEX('Ex ante LI &amp; Eligibility Stats'!$A:$M,MATCH($A44,'Ex ante LI &amp; Eligibility Stats'!$A:$A,0),MATCH('Program MW@ '!F$30,'Ex ante LI &amp; Eligibility Stats'!$A$5:$M$5,0))/1000)</f>
        <v>0</v>
      </c>
      <c r="G44" s="64">
        <f>E44*(INDEX('Ex post LI &amp; Eligibility Stats'!$A:$N,MATCH($A44,'Ex post LI &amp; Eligibility Stats'!$A:$A,0),MATCH('Program MW@ '!F$30,'Ex post LI &amp; Eligibility Stats'!$A$6:$N$6,0))/1000)</f>
        <v>0</v>
      </c>
      <c r="H44" s="408"/>
      <c r="I44" s="64">
        <f>H44*(INDEX('Ex ante LI &amp; Eligibility Stats'!$A:$M,MATCH($A44,'Ex ante LI &amp; Eligibility Stats'!$A:$A,0),MATCH('Program MW@ '!I$30,'Ex ante LI &amp; Eligibility Stats'!$A$5:$M$5,0))/1000)</f>
        <v>0</v>
      </c>
      <c r="J44" s="64">
        <f>H44*(INDEX('Ex post LI &amp; Eligibility Stats'!$A:$N,MATCH($A44,'Ex post LI &amp; Eligibility Stats'!$A:$A,0),MATCH('Program MW@ '!I$30,'Ex post LI &amp; Eligibility Stats'!$A$6:$N$6,0))/1000)</f>
        <v>0</v>
      </c>
      <c r="K44" s="408"/>
      <c r="L44" s="64">
        <f>K44*(INDEX('Ex ante LI &amp; Eligibility Stats'!$A:$M,MATCH($A44,'Ex ante LI &amp; Eligibility Stats'!$A:$A,0),MATCH('Program MW@ '!L$30,'Ex ante LI &amp; Eligibility Stats'!$A$5:$M$5,0))/1000)</f>
        <v>0</v>
      </c>
      <c r="M44" s="64">
        <f>K44*(INDEX('Ex post LI &amp; Eligibility Stats'!$A:$N,MATCH($A44,'Ex post LI &amp; Eligibility Stats'!$A:$A,0),MATCH('Program MW@ '!L$30,'Ex post LI &amp; Eligibility Stats'!$A$6:$N$6,0))/1000)</f>
        <v>0</v>
      </c>
      <c r="N44" s="408"/>
      <c r="O44" s="64">
        <f>N44*(INDEX('Ex ante LI &amp; Eligibility Stats'!$A:$M,MATCH($A44,'Ex ante LI &amp; Eligibility Stats'!$A:$A,0),MATCH('Program MW@ '!O$30,'Ex ante LI &amp; Eligibility Stats'!$A$5:$M$5,0))/1000)</f>
        <v>0</v>
      </c>
      <c r="P44" s="66">
        <f>N44*(INDEX('Ex post LI &amp; Eligibility Stats'!$A:$N,MATCH($A44,'Ex post LI &amp; Eligibility Stats'!$A:$A,0),MATCH('Program MW@ '!O$30,'Ex post LI &amp; Eligibility Stats'!$A$6:$N$6,0))/1000)</f>
        <v>0</v>
      </c>
      <c r="Q44" s="431"/>
      <c r="R44" s="64">
        <f>Q44*(INDEX('Ex ante LI &amp; Eligibility Stats'!$A:$M,MATCH($A44,'Ex ante LI &amp; Eligibility Stats'!$A:$A,0),MATCH('Program MW@ '!R$30,'Ex ante LI &amp; Eligibility Stats'!$A$5:$M$5,0))/1000)</f>
        <v>0</v>
      </c>
      <c r="S44" s="66">
        <f>Q44*(INDEX('Ex post LI &amp; Eligibility Stats'!$A:$N,MATCH($A44,'Ex post LI &amp; Eligibility Stats'!$A:$A,0),MATCH('Program MW@ '!R$30,'Ex post LI &amp; Eligibility Stats'!$A$6:$N$6,0))/1000)</f>
        <v>0</v>
      </c>
      <c r="T44" s="38"/>
      <c r="U44" s="49"/>
    </row>
    <row r="45" spans="1:26" s="47" customFormat="1" x14ac:dyDescent="0.25">
      <c r="A45" s="356" t="s">
        <v>182</v>
      </c>
      <c r="B45" s="408">
        <v>118449</v>
      </c>
      <c r="C45" s="64">
        <f>B45*(INDEX('Ex ante LI &amp; Eligibility Stats'!$A:$M,MATCH($A45,'Ex ante LI &amp; Eligibility Stats'!$A:$A,0),MATCH('Program MW@ '!C$30,'Ex ante LI &amp; Eligibility Stats'!$A$5:$M$5,0))/1000)</f>
        <v>1.18449</v>
      </c>
      <c r="D45" s="64">
        <f>B45*(INDEX('Ex post LI &amp; Eligibility Stats'!$A:$N,MATCH($A45,'Ex post LI &amp; Eligibility Stats'!$A:$A,0),MATCH('Program MW@ '!C$30,'Ex post LI &amp; Eligibility Stats'!$A$6:$N$6,0))/1000)</f>
        <v>0</v>
      </c>
      <c r="E45" s="408"/>
      <c r="F45" s="64">
        <f>E45*(INDEX('Ex ante LI &amp; Eligibility Stats'!$A:$M,MATCH($A45,'Ex ante LI &amp; Eligibility Stats'!$A:$A,0),MATCH('Program MW@ '!F$30,'Ex ante LI &amp; Eligibility Stats'!$A$5:$M$5,0))/1000)</f>
        <v>0</v>
      </c>
      <c r="G45" s="64">
        <f>E45*(INDEX('Ex post LI &amp; Eligibility Stats'!$A:$N,MATCH($A45,'Ex post LI &amp; Eligibility Stats'!$A:$A,0),MATCH('Program MW@ '!F$30,'Ex post LI &amp; Eligibility Stats'!$A$6:$N$6,0))/1000)</f>
        <v>0</v>
      </c>
      <c r="H45" s="408"/>
      <c r="I45" s="64">
        <f>H45*(INDEX('Ex ante LI &amp; Eligibility Stats'!$A:$M,MATCH($A45,'Ex ante LI &amp; Eligibility Stats'!$A:$A,0),MATCH('Program MW@ '!I$30,'Ex ante LI &amp; Eligibility Stats'!$A$5:$M$5,0))/1000)</f>
        <v>0</v>
      </c>
      <c r="J45" s="64">
        <f>H45*(INDEX('Ex post LI &amp; Eligibility Stats'!$A:$N,MATCH($A45,'Ex post LI &amp; Eligibility Stats'!$A:$A,0),MATCH('Program MW@ '!I$30,'Ex post LI &amp; Eligibility Stats'!$A$6:$N$6,0))/1000)</f>
        <v>0</v>
      </c>
      <c r="K45" s="431"/>
      <c r="L45" s="64">
        <f>K45*(INDEX('Ex ante LI &amp; Eligibility Stats'!$A:$M,MATCH($A45,'Ex ante LI &amp; Eligibility Stats'!$A:$A,0),MATCH('Program MW@ '!L$30,'Ex ante LI &amp; Eligibility Stats'!$A$5:$M$5,0))/1000)</f>
        <v>0</v>
      </c>
      <c r="M45" s="64">
        <f>K45*(INDEX('Ex post LI &amp; Eligibility Stats'!$A:$N,MATCH($A45,'Ex post LI &amp; Eligibility Stats'!$A:$A,0),MATCH('Program MW@ '!L$30,'Ex post LI &amp; Eligibility Stats'!$A$6:$N$6,0))/1000)</f>
        <v>0</v>
      </c>
      <c r="N45" s="408"/>
      <c r="O45" s="64">
        <f>N45*(INDEX('Ex ante LI &amp; Eligibility Stats'!$A:$M,MATCH($A45,'Ex ante LI &amp; Eligibility Stats'!$A:$A,0),MATCH('Program MW@ '!O$30,'Ex ante LI &amp; Eligibility Stats'!$A$5:$M$5,0))/1000)</f>
        <v>0</v>
      </c>
      <c r="P45" s="66">
        <f>N45*(INDEX('Ex post LI &amp; Eligibility Stats'!$A:$N,MATCH($A45,'Ex post LI &amp; Eligibility Stats'!$A:$A,0),MATCH('Program MW@ '!O$30,'Ex post LI &amp; Eligibility Stats'!$A$6:$N$6,0))/1000)</f>
        <v>0</v>
      </c>
      <c r="Q45" s="431"/>
      <c r="R45" s="64">
        <f>Q45*(INDEX('Ex ante LI &amp; Eligibility Stats'!$A:$M,MATCH($A45,'Ex ante LI &amp; Eligibility Stats'!$A:$A,0),MATCH('Program MW@ '!R$30,'Ex ante LI &amp; Eligibility Stats'!$A$5:$M$5,0))/1000)</f>
        <v>0</v>
      </c>
      <c r="S45" s="66">
        <f>Q45*(INDEX('Ex post LI &amp; Eligibility Stats'!$A:$N,MATCH($A45,'Ex post LI &amp; Eligibility Stats'!$A:$A,0),MATCH('Program MW@ '!R$30,'Ex post LI &amp; Eligibility Stats'!$A$6:$N$6,0))/1000)</f>
        <v>0</v>
      </c>
      <c r="T45" s="38"/>
      <c r="U45" s="49"/>
    </row>
    <row r="46" spans="1:26" s="47" customFormat="1" ht="13.8" thickBot="1" x14ac:dyDescent="0.3">
      <c r="A46" s="356" t="s">
        <v>95</v>
      </c>
      <c r="B46" s="408">
        <v>0</v>
      </c>
      <c r="C46" s="64">
        <f>B46*(INDEX('Ex ante LI &amp; Eligibility Stats'!$A:$M,MATCH($A46,'Ex ante LI &amp; Eligibility Stats'!$A:$A,0),MATCH('Program MW@ '!C$30,'Ex ante LI &amp; Eligibility Stats'!$A$5:$M$5,0))/1000)</f>
        <v>0</v>
      </c>
      <c r="D46" s="64">
        <f>B46*(INDEX('Ex post LI &amp; Eligibility Stats'!$A:$N,MATCH($A46,'Ex post LI &amp; Eligibility Stats'!$A:$A,0),MATCH('Program MW@ '!C$30,'Ex post LI &amp; Eligibility Stats'!$A$6:$N$6,0))/1000)</f>
        <v>0</v>
      </c>
      <c r="E46" s="408"/>
      <c r="F46" s="64">
        <f>E46*(INDEX('Ex ante LI &amp; Eligibility Stats'!$A:$M,MATCH($A46,'Ex ante LI &amp; Eligibility Stats'!$A:$A,0),MATCH('Program MW@ '!F$30,'Ex ante LI &amp; Eligibility Stats'!$A$5:$M$5,0))/1000)</f>
        <v>0</v>
      </c>
      <c r="G46" s="64">
        <f>E46*(INDEX('Ex post LI &amp; Eligibility Stats'!$A:$N,MATCH($A46,'Ex post LI &amp; Eligibility Stats'!$A:$A,0),MATCH('Program MW@ '!F$30,'Ex post LI &amp; Eligibility Stats'!$A$6:$N$6,0))/1000)</f>
        <v>0</v>
      </c>
      <c r="H46" s="408"/>
      <c r="I46" s="64">
        <f>H46*(INDEX('Ex ante LI &amp; Eligibility Stats'!$A:$M,MATCH($A46,'Ex ante LI &amp; Eligibility Stats'!$A:$A,0),MATCH('Program MW@ '!I$30,'Ex ante LI &amp; Eligibility Stats'!$A$5:$M$5,0))/1000)</f>
        <v>0</v>
      </c>
      <c r="J46" s="64">
        <f>H46*(INDEX('Ex post LI &amp; Eligibility Stats'!$A:$N,MATCH($A46,'Ex post LI &amp; Eligibility Stats'!$A:$A,0),MATCH('Program MW@ '!I$30,'Ex post LI &amp; Eligibility Stats'!$A$6:$N$6,0))/1000)</f>
        <v>0</v>
      </c>
      <c r="K46" s="408"/>
      <c r="L46" s="64">
        <f>K46*(INDEX('Ex ante LI &amp; Eligibility Stats'!$A:$M,MATCH($A46,'Ex ante LI &amp; Eligibility Stats'!$A:$A,0),MATCH('Program MW@ '!L$30,'Ex ante LI &amp; Eligibility Stats'!$A$5:$M$5,0))/1000)</f>
        <v>0</v>
      </c>
      <c r="M46" s="64">
        <f>K46*(INDEX('Ex post LI &amp; Eligibility Stats'!$A:$N,MATCH($A46,'Ex post LI &amp; Eligibility Stats'!$A:$A,0),MATCH('Program MW@ '!L$30,'Ex post LI &amp; Eligibility Stats'!$A$6:$N$6,0))/1000)</f>
        <v>0</v>
      </c>
      <c r="N46" s="408"/>
      <c r="O46" s="64">
        <f>N46*(INDEX('Ex ante LI &amp; Eligibility Stats'!$A:$M,MATCH($A46,'Ex ante LI &amp; Eligibility Stats'!$A:$A,0),MATCH('Program MW@ '!O$30,'Ex ante LI &amp; Eligibility Stats'!$A$5:$M$5,0))/1000)</f>
        <v>0</v>
      </c>
      <c r="P46" s="72">
        <f>N46*(INDEX('Ex post LI &amp; Eligibility Stats'!$A:$N,MATCH($A46,'Ex post LI &amp; Eligibility Stats'!$A:$A,0),MATCH('Program MW@ '!O$30,'Ex post LI &amp; Eligibility Stats'!$A$6:$N$6,0))/1000)</f>
        <v>0</v>
      </c>
      <c r="Q46" s="431"/>
      <c r="R46" s="64">
        <f>Q46*(INDEX('Ex ante LI &amp; Eligibility Stats'!$A:$M,MATCH($A46,'Ex ante LI &amp; Eligibility Stats'!$A:$A,0),MATCH('Program MW@ '!R$30,'Ex ante LI &amp; Eligibility Stats'!$A$5:$M$5,0))/1000)</f>
        <v>0</v>
      </c>
      <c r="S46" s="72">
        <f>Q46*(INDEX('Ex post LI &amp; Eligibility Stats'!$A:$N,MATCH($A46,'Ex post LI &amp; Eligibility Stats'!$A:$A,0),MATCH('Program MW@ '!R$30,'Ex post LI &amp; Eligibility Stats'!$A$6:$N$6,0))/1000)</f>
        <v>0</v>
      </c>
      <c r="T46" s="44"/>
      <c r="U46" s="49"/>
    </row>
    <row r="47" spans="1:26" ht="14.4" thickTop="1" thickBot="1" x14ac:dyDescent="0.3">
      <c r="A47" s="355" t="s">
        <v>33</v>
      </c>
      <c r="B47" s="12">
        <f>SUM(B36:B46)</f>
        <v>258995</v>
      </c>
      <c r="C47" s="4">
        <f>SUM(C36:C46)</f>
        <v>49.216415336735302</v>
      </c>
      <c r="D47" s="3">
        <f>SUM(D36:D46)</f>
        <v>61.900014907663888</v>
      </c>
      <c r="E47" s="12">
        <f t="shared" ref="E47:Q47" si="5">SUM(E36:E46)</f>
        <v>0</v>
      </c>
      <c r="F47" s="4">
        <f>SUM(F36:F46)</f>
        <v>0</v>
      </c>
      <c r="G47" s="3">
        <f>SUM(G36:G46)</f>
        <v>0</v>
      </c>
      <c r="H47" s="12">
        <f t="shared" si="5"/>
        <v>0</v>
      </c>
      <c r="I47" s="4">
        <f>SUM(I36:I46)</f>
        <v>0</v>
      </c>
      <c r="J47" s="3">
        <f>SUM(J36:J46)</f>
        <v>0</v>
      </c>
      <c r="K47" s="12">
        <f t="shared" si="5"/>
        <v>0</v>
      </c>
      <c r="L47" s="4">
        <f>SUM(L36:L46)</f>
        <v>0</v>
      </c>
      <c r="M47" s="3">
        <f>SUM(M36:M46)</f>
        <v>0</v>
      </c>
      <c r="N47" s="12">
        <f t="shared" si="5"/>
        <v>0</v>
      </c>
      <c r="O47" s="4">
        <f>SUM(O36:O46)</f>
        <v>0</v>
      </c>
      <c r="P47" s="3">
        <f>SUM(P36:P46)</f>
        <v>0</v>
      </c>
      <c r="Q47" s="12">
        <f t="shared" si="5"/>
        <v>0</v>
      </c>
      <c r="R47" s="4">
        <f>SUM(R36:R46)</f>
        <v>0</v>
      </c>
      <c r="S47" s="3">
        <f>SUM(S36:S46)</f>
        <v>0</v>
      </c>
      <c r="T47" s="46"/>
      <c r="U47" s="51"/>
    </row>
    <row r="48" spans="1:26" ht="14.4" thickTop="1" thickBot="1" x14ac:dyDescent="0.3">
      <c r="A48" s="357" t="s">
        <v>23</v>
      </c>
      <c r="B48" s="9">
        <f>+B34+B47</f>
        <v>259002</v>
      </c>
      <c r="C48" s="13">
        <f>+C34+C47</f>
        <v>50.811727936735302</v>
      </c>
      <c r="D48" s="10">
        <f>+D34+D47</f>
        <v>64.062796682663887</v>
      </c>
      <c r="E48" s="9">
        <f t="shared" ref="E48:Q48" si="6">+E34+E47</f>
        <v>0</v>
      </c>
      <c r="F48" s="13">
        <f>+F34+F47</f>
        <v>0</v>
      </c>
      <c r="G48" s="10">
        <f>+G34+G47</f>
        <v>0</v>
      </c>
      <c r="H48" s="9">
        <f t="shared" si="6"/>
        <v>0</v>
      </c>
      <c r="I48" s="13">
        <f>+I34+I47</f>
        <v>0</v>
      </c>
      <c r="J48" s="10">
        <f>+J34+J47</f>
        <v>0</v>
      </c>
      <c r="K48" s="9">
        <f t="shared" si="6"/>
        <v>0</v>
      </c>
      <c r="L48" s="13">
        <f>+L34+L47</f>
        <v>0</v>
      </c>
      <c r="M48" s="10">
        <f>+M34+M47</f>
        <v>0</v>
      </c>
      <c r="N48" s="9">
        <f t="shared" si="6"/>
        <v>0</v>
      </c>
      <c r="O48" s="13">
        <f>+O34+O47</f>
        <v>0</v>
      </c>
      <c r="P48" s="10">
        <f>+P34+P47</f>
        <v>0</v>
      </c>
      <c r="Q48" s="339">
        <f t="shared" si="6"/>
        <v>0</v>
      </c>
      <c r="R48" s="13">
        <f>+R34+R47</f>
        <v>0</v>
      </c>
      <c r="S48" s="10">
        <f>+S34+S47</f>
        <v>0</v>
      </c>
      <c r="T48" s="52"/>
      <c r="U48" s="41"/>
      <c r="V48" s="52"/>
      <c r="W48" s="52"/>
      <c r="X48" s="43"/>
      <c r="Y48" s="53"/>
      <c r="Z48" s="53"/>
    </row>
    <row r="49" spans="1:26" ht="13.8" thickTop="1" x14ac:dyDescent="0.25">
      <c r="A49" s="45"/>
      <c r="B49" s="52"/>
      <c r="C49" s="52"/>
      <c r="D49" s="41"/>
      <c r="E49" s="52"/>
      <c r="F49" s="52"/>
      <c r="G49" s="52"/>
      <c r="H49" s="41"/>
      <c r="I49" s="52"/>
      <c r="J49" s="52"/>
      <c r="K49" s="52"/>
      <c r="L49" s="52"/>
      <c r="M49" s="41"/>
      <c r="N49" s="52"/>
      <c r="O49" s="52"/>
      <c r="P49" s="52"/>
      <c r="Q49" s="41"/>
      <c r="R49" s="52"/>
      <c r="S49" s="52"/>
      <c r="T49" s="52"/>
      <c r="U49" s="41"/>
      <c r="V49" s="41"/>
      <c r="W49" s="52"/>
      <c r="X49" s="43"/>
      <c r="Y49" s="43"/>
      <c r="Z49" s="53"/>
    </row>
    <row r="50" spans="1:26" ht="14.4" x14ac:dyDescent="0.3">
      <c r="A50" s="45"/>
      <c r="B50" s="41"/>
      <c r="C50" s="41"/>
      <c r="D50" s="41"/>
      <c r="E50" s="52"/>
      <c r="F50" s="41"/>
      <c r="G50" s="52"/>
      <c r="H50" s="52"/>
      <c r="I50" s="41"/>
      <c r="J50" s="41"/>
      <c r="K50" s="52"/>
      <c r="L50" s="54"/>
      <c r="M50" s="41"/>
      <c r="N50" s="41"/>
      <c r="O50" s="41"/>
      <c r="P50" s="55"/>
      <c r="Q50" s="41"/>
      <c r="R50" s="41"/>
      <c r="S50" s="41"/>
      <c r="T50" s="56"/>
      <c r="U50" s="56"/>
      <c r="V50" s="56"/>
      <c r="W50" s="56"/>
      <c r="X50" s="56"/>
      <c r="Y50" s="56"/>
      <c r="Z50" s="56"/>
    </row>
    <row r="51" spans="1:26" ht="12.75" customHeight="1" x14ac:dyDescent="0.3">
      <c r="A51" s="588" t="s">
        <v>25</v>
      </c>
      <c r="B51" s="56"/>
      <c r="C51" s="56"/>
      <c r="D51" s="56"/>
      <c r="E51" s="56"/>
      <c r="F51" s="57"/>
      <c r="G51" s="56"/>
      <c r="H51" s="57"/>
      <c r="I51" s="56"/>
      <c r="J51" s="56"/>
      <c r="K51" s="56"/>
      <c r="L51" s="56"/>
      <c r="M51" s="56"/>
      <c r="N51" s="56"/>
      <c r="O51" s="56"/>
      <c r="P51" s="58"/>
      <c r="Q51" s="56"/>
      <c r="R51" s="56"/>
      <c r="S51" s="56"/>
      <c r="T51" s="59"/>
      <c r="U51" s="59"/>
      <c r="V51" s="59"/>
      <c r="W51" s="59"/>
      <c r="X51" s="59"/>
      <c r="Y51" s="59"/>
      <c r="Z51" s="59"/>
    </row>
    <row r="52" spans="1:26" x14ac:dyDescent="0.25">
      <c r="A52" s="623" t="s">
        <v>252</v>
      </c>
      <c r="B52" s="624"/>
      <c r="C52" s="624"/>
      <c r="D52" s="624"/>
      <c r="E52" s="624"/>
      <c r="F52" s="624"/>
      <c r="G52" s="624"/>
      <c r="H52" s="624"/>
      <c r="I52" s="624"/>
      <c r="J52" s="624"/>
      <c r="K52" s="624"/>
      <c r="L52" s="624"/>
      <c r="M52" s="624"/>
      <c r="N52" s="624"/>
      <c r="O52" s="60"/>
      <c r="P52" s="60"/>
      <c r="Q52" s="60"/>
      <c r="R52" s="60"/>
      <c r="S52" s="60"/>
      <c r="T52" s="61"/>
      <c r="U52" s="61"/>
      <c r="V52" s="61"/>
      <c r="W52" s="61"/>
      <c r="X52" s="61"/>
      <c r="Y52" s="61"/>
      <c r="Z52" s="61"/>
    </row>
    <row r="53" spans="1:26" x14ac:dyDescent="0.25">
      <c r="A53" s="237" t="s">
        <v>209</v>
      </c>
      <c r="B53" s="594"/>
      <c r="C53" s="594"/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62"/>
      <c r="P53" s="62"/>
      <c r="Q53" s="62"/>
      <c r="R53" s="62"/>
      <c r="S53" s="62"/>
    </row>
    <row r="54" spans="1:26" x14ac:dyDescent="0.25">
      <c r="A54" s="587" t="s">
        <v>235</v>
      </c>
      <c r="B54" s="595"/>
      <c r="C54" s="595"/>
      <c r="D54" s="595"/>
      <c r="E54" s="595"/>
      <c r="F54" s="595"/>
      <c r="G54" s="595"/>
      <c r="H54" s="595"/>
      <c r="I54" s="595"/>
      <c r="J54" s="595"/>
      <c r="K54" s="595"/>
      <c r="L54" s="595"/>
      <c r="M54" s="595"/>
      <c r="N54" s="595"/>
    </row>
    <row r="55" spans="1:26" x14ac:dyDescent="0.25">
      <c r="A55" s="585"/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</row>
    <row r="57" spans="1:26" x14ac:dyDescent="0.25">
      <c r="A57" s="63"/>
    </row>
    <row r="58" spans="1:26" x14ac:dyDescent="0.25">
      <c r="A58" s="61"/>
    </row>
  </sheetData>
  <sheetProtection password="F01B" sheet="1" objects="1" scenarios="1"/>
  <mergeCells count="1">
    <mergeCell ref="A52:N52"/>
  </mergeCells>
  <phoneticPr fontId="0" type="noConversion"/>
  <printOptions horizontalCentered="1"/>
  <pageMargins left="0" right="0" top="0.8" bottom="0.17" header="0.3" footer="0.15"/>
  <pageSetup scale="51" orientation="landscape" cellComments="atEnd" r:id="rId1"/>
  <headerFooter alignWithMargins="0">
    <oddHeader>&amp;C&amp;"Arial,Bold"San Diego Gas and Electric
Interruptible and Price Responsive Programs
 Subscription Statistics - Enrolled MW
July 2016</oddHeader>
    <oddFooter>&amp;L&amp;F&amp;R&amp;D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view="pageBreakPreview" zoomScale="75" zoomScaleNormal="100" zoomScaleSheetLayoutView="75" workbookViewId="0">
      <pane xSplit="1" ySplit="3" topLeftCell="B27" activePane="bottomRight" state="frozen"/>
      <selection activeCell="D68" sqref="D68"/>
      <selection pane="topRight" activeCell="D68" sqref="D68"/>
      <selection pane="bottomLeft" activeCell="D68" sqref="D68"/>
      <selection pane="bottomRight" activeCell="A2" sqref="A2"/>
    </sheetView>
  </sheetViews>
  <sheetFormatPr defaultColWidth="17" defaultRowHeight="13.2" x14ac:dyDescent="0.25"/>
  <cols>
    <col min="1" max="1" width="42.5546875" style="112" customWidth="1"/>
    <col min="2" max="7" width="11.6640625" style="112" customWidth="1"/>
    <col min="8" max="8" width="14.88671875" style="112" customWidth="1"/>
    <col min="9" max="9" width="11.6640625" style="112" customWidth="1"/>
    <col min="10" max="10" width="11.6640625" style="114" customWidth="1"/>
    <col min="11" max="11" width="11.6640625" style="112" customWidth="1"/>
    <col min="12" max="12" width="12.33203125" style="112" customWidth="1"/>
    <col min="13" max="13" width="11.6640625" style="112" customWidth="1"/>
    <col min="14" max="14" width="12.6640625" style="112" customWidth="1"/>
    <col min="15" max="15" width="12.88671875" style="112" customWidth="1"/>
    <col min="16" max="16" width="12.44140625" style="112" customWidth="1"/>
    <col min="17" max="16384" width="17" style="112"/>
  </cols>
  <sheetData>
    <row r="1" spans="1:16" ht="13.8" thickBot="1" x14ac:dyDescent="0.3"/>
    <row r="2" spans="1:16" x14ac:dyDescent="0.25">
      <c r="A2" s="115"/>
      <c r="B2" s="116"/>
      <c r="C2" s="116"/>
      <c r="D2" s="116"/>
      <c r="E2" s="116"/>
      <c r="F2" s="116"/>
      <c r="G2" s="116"/>
      <c r="H2" s="116"/>
      <c r="I2" s="116"/>
      <c r="J2" s="117"/>
      <c r="K2" s="116"/>
      <c r="L2" s="116"/>
      <c r="M2" s="116"/>
      <c r="N2" s="116"/>
      <c r="O2" s="116"/>
      <c r="P2" s="118"/>
    </row>
    <row r="3" spans="1:16" ht="26.4" x14ac:dyDescent="0.25">
      <c r="A3" s="119" t="s">
        <v>17</v>
      </c>
      <c r="B3" s="120" t="s">
        <v>0</v>
      </c>
      <c r="C3" s="120" t="s">
        <v>1</v>
      </c>
      <c r="D3" s="120" t="s">
        <v>2</v>
      </c>
      <c r="E3" s="120" t="s">
        <v>3</v>
      </c>
      <c r="F3" s="120" t="s">
        <v>4</v>
      </c>
      <c r="G3" s="120" t="s">
        <v>5</v>
      </c>
      <c r="H3" s="120" t="s">
        <v>6</v>
      </c>
      <c r="I3" s="120" t="s">
        <v>7</v>
      </c>
      <c r="J3" s="121" t="s">
        <v>8</v>
      </c>
      <c r="K3" s="120" t="s">
        <v>9</v>
      </c>
      <c r="L3" s="120" t="s">
        <v>10</v>
      </c>
      <c r="M3" s="120" t="s">
        <v>11</v>
      </c>
      <c r="N3" s="122" t="s">
        <v>88</v>
      </c>
      <c r="O3" s="123"/>
      <c r="P3" s="124" t="s">
        <v>89</v>
      </c>
    </row>
    <row r="4" spans="1:16" x14ac:dyDescent="0.25">
      <c r="A4" s="125"/>
      <c r="B4" s="126"/>
      <c r="C4" s="126"/>
      <c r="D4" s="126"/>
      <c r="E4" s="126"/>
      <c r="F4" s="126"/>
      <c r="G4" s="126"/>
      <c r="H4" s="126"/>
      <c r="I4" s="126"/>
      <c r="J4" s="127"/>
      <c r="K4" s="126"/>
      <c r="L4" s="126"/>
      <c r="M4" s="126"/>
      <c r="N4" s="128"/>
      <c r="O4" s="129"/>
      <c r="P4" s="130"/>
    </row>
    <row r="5" spans="1:16" x14ac:dyDescent="0.25">
      <c r="A5" s="131" t="s">
        <v>73</v>
      </c>
      <c r="B5" s="126"/>
      <c r="C5" s="126"/>
      <c r="D5" s="126"/>
      <c r="E5" s="126"/>
      <c r="F5" s="126"/>
      <c r="G5" s="126"/>
      <c r="H5" s="126"/>
      <c r="I5" s="126"/>
      <c r="J5" s="127"/>
      <c r="K5" s="126"/>
      <c r="L5" s="126"/>
      <c r="M5" s="126"/>
      <c r="N5" s="132"/>
      <c r="O5" s="129"/>
      <c r="P5" s="130"/>
    </row>
    <row r="6" spans="1:16" x14ac:dyDescent="0.25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5"/>
      <c r="M6" s="134"/>
      <c r="N6" s="136"/>
      <c r="O6" s="137"/>
      <c r="P6" s="138"/>
    </row>
    <row r="7" spans="1:16" x14ac:dyDescent="0.25">
      <c r="A7" s="133" t="s">
        <v>90</v>
      </c>
      <c r="B7" s="134">
        <v>2.8730000000000002</v>
      </c>
      <c r="C7" s="134">
        <v>4.3239999999999998</v>
      </c>
      <c r="D7" s="134">
        <v>5.8140000000000001</v>
      </c>
      <c r="E7" s="134">
        <v>5.306</v>
      </c>
      <c r="F7" s="134">
        <v>7.5439999999999996</v>
      </c>
      <c r="G7" s="134">
        <v>5.89</v>
      </c>
      <c r="H7" s="515">
        <v>8.4</v>
      </c>
      <c r="I7" s="515"/>
      <c r="J7" s="515"/>
      <c r="K7" s="515"/>
      <c r="L7" s="516"/>
      <c r="M7" s="515"/>
      <c r="N7" s="136">
        <f t="shared" ref="N7:N32" si="0">SUM(B7:M7)</f>
        <v>40.151000000000003</v>
      </c>
      <c r="O7" s="139">
        <v>0</v>
      </c>
      <c r="P7" s="138" t="s">
        <v>69</v>
      </c>
    </row>
    <row r="8" spans="1:16" x14ac:dyDescent="0.25">
      <c r="A8" s="133" t="s">
        <v>125</v>
      </c>
      <c r="B8" s="134">
        <v>1.8080000000000001</v>
      </c>
      <c r="C8" s="134">
        <v>2.5510000000000002</v>
      </c>
      <c r="D8" s="134">
        <v>3.262</v>
      </c>
      <c r="E8" s="134">
        <v>3.2879999999999998</v>
      </c>
      <c r="F8" s="134">
        <v>3.4020000000000001</v>
      </c>
      <c r="G8" s="134">
        <v>3.75</v>
      </c>
      <c r="H8" s="515">
        <v>3.1</v>
      </c>
      <c r="I8" s="515"/>
      <c r="J8" s="515"/>
      <c r="K8" s="515"/>
      <c r="L8" s="516"/>
      <c r="M8" s="515"/>
      <c r="N8" s="136">
        <f t="shared" si="0"/>
        <v>21.161000000000001</v>
      </c>
      <c r="O8" s="137">
        <v>0</v>
      </c>
      <c r="P8" s="138" t="s">
        <v>69</v>
      </c>
    </row>
    <row r="9" spans="1:16" x14ac:dyDescent="0.25">
      <c r="A9" s="133" t="s">
        <v>31</v>
      </c>
      <c r="B9" s="134">
        <v>63.686</v>
      </c>
      <c r="C9" s="134">
        <v>13.766</v>
      </c>
      <c r="D9" s="134">
        <v>47.7</v>
      </c>
      <c r="E9" s="134">
        <v>34.869</v>
      </c>
      <c r="F9" s="134">
        <v>43.415999999999997</v>
      </c>
      <c r="G9" s="134">
        <v>69.316999999999993</v>
      </c>
      <c r="H9" s="515">
        <v>68.400000000000006</v>
      </c>
      <c r="I9" s="515"/>
      <c r="J9" s="515"/>
      <c r="K9" s="515"/>
      <c r="L9" s="516"/>
      <c r="M9" s="515"/>
      <c r="N9" s="136">
        <f t="shared" si="0"/>
        <v>341.154</v>
      </c>
      <c r="O9" s="137">
        <v>0</v>
      </c>
      <c r="P9" s="138" t="s">
        <v>69</v>
      </c>
    </row>
    <row r="10" spans="1:16" x14ac:dyDescent="0.25">
      <c r="A10" s="133" t="s">
        <v>130</v>
      </c>
      <c r="B10" s="134">
        <v>5.6020000000000003</v>
      </c>
      <c r="C10" s="134">
        <v>9.3759999999999994</v>
      </c>
      <c r="D10" s="134">
        <v>10.954000000000001</v>
      </c>
      <c r="E10" s="134">
        <v>5.8239999999999998</v>
      </c>
      <c r="F10" s="134">
        <v>7.9489999999999998</v>
      </c>
      <c r="G10" s="134">
        <v>6.13</v>
      </c>
      <c r="H10" s="515">
        <v>6.1</v>
      </c>
      <c r="I10" s="515"/>
      <c r="J10" s="515"/>
      <c r="K10" s="515"/>
      <c r="L10" s="516"/>
      <c r="M10" s="515"/>
      <c r="N10" s="136">
        <f t="shared" si="0"/>
        <v>51.935000000000002</v>
      </c>
      <c r="O10" s="137">
        <v>0</v>
      </c>
      <c r="P10" s="138" t="s">
        <v>69</v>
      </c>
    </row>
    <row r="11" spans="1:16" x14ac:dyDescent="0.25">
      <c r="A11" s="133" t="s">
        <v>92</v>
      </c>
      <c r="B11" s="134">
        <v>108.956</v>
      </c>
      <c r="C11" s="134">
        <v>57.345999999999997</v>
      </c>
      <c r="D11" s="134">
        <v>22.3</v>
      </c>
      <c r="E11" s="134">
        <v>55.709000000000003</v>
      </c>
      <c r="F11" s="134">
        <v>61.274999999999999</v>
      </c>
      <c r="G11" s="134">
        <v>109.98</v>
      </c>
      <c r="H11" s="515">
        <v>23.3</v>
      </c>
      <c r="I11" s="515"/>
      <c r="J11" s="515"/>
      <c r="K11" s="515"/>
      <c r="L11" s="516"/>
      <c r="M11" s="515"/>
      <c r="N11" s="136">
        <f t="shared" si="0"/>
        <v>438.86600000000004</v>
      </c>
      <c r="O11" s="137">
        <v>0</v>
      </c>
      <c r="P11" s="138" t="s">
        <v>69</v>
      </c>
    </row>
    <row r="12" spans="1:16" x14ac:dyDescent="0.25">
      <c r="A12" s="133" t="s">
        <v>145</v>
      </c>
      <c r="B12" s="134">
        <v>14.672000000000001</v>
      </c>
      <c r="C12" s="134">
        <v>128.31299999999999</v>
      </c>
      <c r="D12" s="134">
        <v>162.56100000000001</v>
      </c>
      <c r="E12" s="134">
        <v>-211.893</v>
      </c>
      <c r="F12" s="134">
        <v>26.492999999999999</v>
      </c>
      <c r="G12" s="134">
        <v>93.69</v>
      </c>
      <c r="H12" s="515">
        <v>97.3</v>
      </c>
      <c r="I12" s="515"/>
      <c r="J12" s="515"/>
      <c r="K12" s="515"/>
      <c r="L12" s="516"/>
      <c r="M12" s="515"/>
      <c r="N12" s="136">
        <f t="shared" si="0"/>
        <v>311.13599999999997</v>
      </c>
      <c r="O12" s="137">
        <v>0</v>
      </c>
      <c r="P12" s="138" t="s">
        <v>69</v>
      </c>
    </row>
    <row r="13" spans="1:16" x14ac:dyDescent="0.25">
      <c r="A13" s="133" t="s">
        <v>91</v>
      </c>
      <c r="B13" s="134">
        <v>65.134</v>
      </c>
      <c r="C13" s="134">
        <v>25.170999999999999</v>
      </c>
      <c r="D13" s="134">
        <v>60.241999999999997</v>
      </c>
      <c r="E13" s="134">
        <v>25.523</v>
      </c>
      <c r="F13" s="134">
        <v>61.161999999999999</v>
      </c>
      <c r="G13" s="134">
        <v>50.45</v>
      </c>
      <c r="H13" s="515">
        <v>53.6</v>
      </c>
      <c r="I13" s="515"/>
      <c r="J13" s="515"/>
      <c r="K13" s="515"/>
      <c r="L13" s="516"/>
      <c r="M13" s="515"/>
      <c r="N13" s="136">
        <f t="shared" si="0"/>
        <v>341.28200000000004</v>
      </c>
      <c r="O13" s="137">
        <v>0</v>
      </c>
      <c r="P13" s="138" t="s">
        <v>69</v>
      </c>
    </row>
    <row r="14" spans="1:16" x14ac:dyDescent="0.25">
      <c r="A14" s="133" t="s">
        <v>189</v>
      </c>
      <c r="B14" s="134">
        <v>1.1870000000000001</v>
      </c>
      <c r="C14" s="134">
        <v>0.86599999999999999</v>
      </c>
      <c r="D14" s="134">
        <v>8.2000000000000003E-2</v>
      </c>
      <c r="E14" s="134">
        <v>1.228</v>
      </c>
      <c r="F14" s="134">
        <v>26.177</v>
      </c>
      <c r="G14" s="134">
        <v>-24.2</v>
      </c>
      <c r="H14" s="515">
        <v>1.6</v>
      </c>
      <c r="I14" s="515"/>
      <c r="J14" s="515"/>
      <c r="K14" s="515"/>
      <c r="L14" s="516"/>
      <c r="M14" s="515"/>
      <c r="N14" s="136">
        <f t="shared" si="0"/>
        <v>6.9399999999999995</v>
      </c>
      <c r="O14" s="137">
        <v>0</v>
      </c>
      <c r="P14" s="138" t="s">
        <v>69</v>
      </c>
    </row>
    <row r="15" spans="1:16" x14ac:dyDescent="0.25">
      <c r="A15" s="133" t="s">
        <v>186</v>
      </c>
      <c r="B15" s="134">
        <v>43.161000000000001</v>
      </c>
      <c r="C15" s="134">
        <v>108.47199999999999</v>
      </c>
      <c r="D15" s="134">
        <v>353.411</v>
      </c>
      <c r="E15" s="134">
        <v>53.814</v>
      </c>
      <c r="F15" s="134">
        <v>353.57799999999997</v>
      </c>
      <c r="G15" s="134">
        <v>87.11</v>
      </c>
      <c r="H15" s="515">
        <v>10.6</v>
      </c>
      <c r="I15" s="515"/>
      <c r="J15" s="515"/>
      <c r="K15" s="515"/>
      <c r="L15" s="516"/>
      <c r="M15" s="515"/>
      <c r="N15" s="136">
        <f t="shared" si="0"/>
        <v>1010.146</v>
      </c>
      <c r="O15" s="137">
        <v>0</v>
      </c>
      <c r="P15" s="138" t="s">
        <v>69</v>
      </c>
    </row>
    <row r="16" spans="1:16" x14ac:dyDescent="0.25">
      <c r="A16" s="133" t="s">
        <v>190</v>
      </c>
      <c r="B16" s="134">
        <v>36.491999999999997</v>
      </c>
      <c r="C16" s="134">
        <v>278.93200000000002</v>
      </c>
      <c r="D16" s="134">
        <v>63.804000000000002</v>
      </c>
      <c r="E16" s="134">
        <v>-170.68700000000001</v>
      </c>
      <c r="F16" s="134">
        <v>60.347000000000001</v>
      </c>
      <c r="G16" s="134">
        <v>57.96</v>
      </c>
      <c r="H16" s="515">
        <v>66.099999999999994</v>
      </c>
      <c r="I16" s="515"/>
      <c r="J16" s="515"/>
      <c r="K16" s="515"/>
      <c r="L16" s="516"/>
      <c r="M16" s="515"/>
      <c r="N16" s="136">
        <f t="shared" si="0"/>
        <v>392.94799999999998</v>
      </c>
      <c r="O16" s="137">
        <v>0</v>
      </c>
      <c r="P16" s="138" t="s">
        <v>69</v>
      </c>
    </row>
    <row r="17" spans="1:18" x14ac:dyDescent="0.25">
      <c r="A17" s="133" t="s">
        <v>188</v>
      </c>
      <c r="B17" s="134">
        <v>8.2140000000000004</v>
      </c>
      <c r="C17" s="134">
        <v>15.843999999999999</v>
      </c>
      <c r="D17" s="134">
        <v>25.39</v>
      </c>
      <c r="E17" s="134">
        <v>16.068000000000001</v>
      </c>
      <c r="F17" s="134">
        <v>0.82199999999999995</v>
      </c>
      <c r="G17" s="134">
        <v>27.17</v>
      </c>
      <c r="H17" s="515">
        <v>9.1</v>
      </c>
      <c r="I17" s="515"/>
      <c r="J17" s="515"/>
      <c r="K17" s="515"/>
      <c r="L17" s="516"/>
      <c r="M17" s="515"/>
      <c r="N17" s="136">
        <f t="shared" si="0"/>
        <v>102.608</v>
      </c>
      <c r="O17" s="137">
        <v>0</v>
      </c>
      <c r="P17" s="138" t="s">
        <v>69</v>
      </c>
    </row>
    <row r="18" spans="1:18" x14ac:dyDescent="0.25">
      <c r="A18" s="133" t="s">
        <v>95</v>
      </c>
      <c r="B18" s="134">
        <v>4.2779999999999996</v>
      </c>
      <c r="C18" s="134">
        <v>4.798</v>
      </c>
      <c r="D18" s="134">
        <v>4.6479999999999997</v>
      </c>
      <c r="E18" s="134">
        <v>5.8390000000000004</v>
      </c>
      <c r="F18" s="134">
        <v>6.4290000000000003</v>
      </c>
      <c r="G18" s="134">
        <v>5.7859999999999996</v>
      </c>
      <c r="H18" s="515">
        <v>5.4</v>
      </c>
      <c r="I18" s="515"/>
      <c r="J18" s="515"/>
      <c r="K18" s="515"/>
      <c r="L18" s="516"/>
      <c r="M18" s="515"/>
      <c r="N18" s="136">
        <f t="shared" si="0"/>
        <v>37.178000000000004</v>
      </c>
      <c r="O18" s="137">
        <v>0</v>
      </c>
      <c r="P18" s="138" t="s">
        <v>69</v>
      </c>
    </row>
    <row r="19" spans="1:18" x14ac:dyDescent="0.25">
      <c r="A19" s="133" t="s">
        <v>222</v>
      </c>
      <c r="B19" s="134">
        <v>0.69899999999999995</v>
      </c>
      <c r="C19" s="134">
        <v>2.54</v>
      </c>
      <c r="D19" s="134">
        <v>5.468</v>
      </c>
      <c r="E19" s="134">
        <v>2.8239999999999998</v>
      </c>
      <c r="F19" s="134">
        <v>2.9609999999999999</v>
      </c>
      <c r="G19" s="134">
        <v>2.7</v>
      </c>
      <c r="H19" s="515">
        <v>2.5</v>
      </c>
      <c r="I19" s="515"/>
      <c r="J19" s="515"/>
      <c r="K19" s="515"/>
      <c r="L19" s="516"/>
      <c r="M19" s="515"/>
      <c r="N19" s="136">
        <f t="shared" si="0"/>
        <v>19.692</v>
      </c>
      <c r="O19" s="137">
        <v>0</v>
      </c>
      <c r="P19" s="138" t="s">
        <v>69</v>
      </c>
    </row>
    <row r="20" spans="1:18" x14ac:dyDescent="0.25">
      <c r="A20" s="133" t="s">
        <v>174</v>
      </c>
      <c r="B20" s="134">
        <v>11.077999999999999</v>
      </c>
      <c r="C20" s="134">
        <v>13.731999999999999</v>
      </c>
      <c r="D20" s="134">
        <v>17.863</v>
      </c>
      <c r="E20" s="134">
        <v>35.921999999999997</v>
      </c>
      <c r="F20" s="134">
        <v>66.930999999999997</v>
      </c>
      <c r="G20" s="134">
        <v>173.04</v>
      </c>
      <c r="H20" s="515">
        <v>24.1</v>
      </c>
      <c r="I20" s="515"/>
      <c r="J20" s="515"/>
      <c r="K20" s="515"/>
      <c r="L20" s="516"/>
      <c r="M20" s="515"/>
      <c r="N20" s="136">
        <f>SUM(B20:M20)</f>
        <v>342.66600000000005</v>
      </c>
      <c r="O20" s="137">
        <v>0</v>
      </c>
      <c r="P20" s="138" t="s">
        <v>69</v>
      </c>
    </row>
    <row r="21" spans="1:18" x14ac:dyDescent="0.25">
      <c r="A21" s="133" t="s">
        <v>175</v>
      </c>
      <c r="B21" s="134">
        <v>3.2509999999999999</v>
      </c>
      <c r="C21" s="134">
        <v>4.1399999999999997</v>
      </c>
      <c r="D21" s="134">
        <v>2.1760000000000002</v>
      </c>
      <c r="E21" s="134">
        <v>3.2770000000000001</v>
      </c>
      <c r="F21" s="134">
        <v>23.43</v>
      </c>
      <c r="G21" s="134">
        <v>3.42</v>
      </c>
      <c r="H21" s="515">
        <v>6.6</v>
      </c>
      <c r="I21" s="515"/>
      <c r="J21" s="515"/>
      <c r="K21" s="515"/>
      <c r="L21" s="516"/>
      <c r="M21" s="515"/>
      <c r="N21" s="136">
        <f t="shared" si="0"/>
        <v>46.294000000000004</v>
      </c>
      <c r="O21" s="137">
        <v>0</v>
      </c>
      <c r="P21" s="138" t="s">
        <v>69</v>
      </c>
    </row>
    <row r="22" spans="1:18" x14ac:dyDescent="0.25">
      <c r="A22" s="133" t="s">
        <v>176</v>
      </c>
      <c r="B22" s="134">
        <v>1.298</v>
      </c>
      <c r="C22" s="134">
        <v>1.7509999999999999</v>
      </c>
      <c r="D22" s="134">
        <v>-0.57999999999999996</v>
      </c>
      <c r="E22" s="134">
        <v>0.84299999999999997</v>
      </c>
      <c r="F22" s="134">
        <v>0.70899999999999996</v>
      </c>
      <c r="G22" s="134">
        <v>0.95099999999999996</v>
      </c>
      <c r="H22" s="515">
        <v>1</v>
      </c>
      <c r="I22" s="515"/>
      <c r="J22" s="515"/>
      <c r="K22" s="515"/>
      <c r="L22" s="516"/>
      <c r="M22" s="515"/>
      <c r="N22" s="136">
        <f t="shared" si="0"/>
        <v>5.9719999999999995</v>
      </c>
      <c r="O22" s="137">
        <v>0</v>
      </c>
      <c r="P22" s="138" t="s">
        <v>69</v>
      </c>
    </row>
    <row r="23" spans="1:18" x14ac:dyDescent="0.25">
      <c r="A23" s="133" t="s">
        <v>178</v>
      </c>
      <c r="B23" s="134">
        <v>18.832999999999998</v>
      </c>
      <c r="C23" s="134">
        <v>31.997</v>
      </c>
      <c r="D23" s="134">
        <v>40.929000000000002</v>
      </c>
      <c r="E23" s="134">
        <v>63.271999999999998</v>
      </c>
      <c r="F23" s="134">
        <f>68.234+10.616</f>
        <v>78.849999999999994</v>
      </c>
      <c r="G23" s="134">
        <v>83.88</v>
      </c>
      <c r="H23" s="515">
        <v>43.4</v>
      </c>
      <c r="I23" s="515"/>
      <c r="J23" s="515"/>
      <c r="K23" s="515"/>
      <c r="L23" s="516"/>
      <c r="M23" s="515"/>
      <c r="N23" s="136">
        <f t="shared" si="0"/>
        <v>361.16099999999994</v>
      </c>
      <c r="O23" s="137">
        <v>0</v>
      </c>
      <c r="P23" s="138" t="s">
        <v>69</v>
      </c>
    </row>
    <row r="24" spans="1:18" x14ac:dyDescent="0.25">
      <c r="A24" s="133" t="s">
        <v>177</v>
      </c>
      <c r="B24" s="134">
        <v>0.70699999999999996</v>
      </c>
      <c r="C24" s="134">
        <v>1.855</v>
      </c>
      <c r="D24" s="134">
        <v>1941.877</v>
      </c>
      <c r="E24" s="134">
        <v>20.277999999999999</v>
      </c>
      <c r="F24" s="134">
        <v>32.597000000000001</v>
      </c>
      <c r="G24" s="134">
        <v>50.23</v>
      </c>
      <c r="H24" s="515">
        <v>51</v>
      </c>
      <c r="I24" s="515"/>
      <c r="J24" s="515"/>
      <c r="K24" s="515"/>
      <c r="L24" s="516"/>
      <c r="M24" s="515"/>
      <c r="N24" s="136">
        <f t="shared" si="0"/>
        <v>2098.5439999999999</v>
      </c>
      <c r="O24" s="137">
        <v>0</v>
      </c>
      <c r="P24" s="138" t="s">
        <v>69</v>
      </c>
    </row>
    <row r="25" spans="1:18" s="113" customFormat="1" x14ac:dyDescent="0.25">
      <c r="A25" s="133" t="s">
        <v>187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515">
        <v>0</v>
      </c>
      <c r="I25" s="515"/>
      <c r="J25" s="515"/>
      <c r="K25" s="515"/>
      <c r="L25" s="516"/>
      <c r="M25" s="515"/>
      <c r="N25" s="136">
        <f t="shared" si="0"/>
        <v>0</v>
      </c>
      <c r="O25" s="137">
        <v>0</v>
      </c>
      <c r="P25" s="138" t="s">
        <v>69</v>
      </c>
      <c r="Q25" s="112"/>
      <c r="R25" s="112"/>
    </row>
    <row r="26" spans="1:18" s="113" customFormat="1" x14ac:dyDescent="0.25">
      <c r="A26" s="133" t="s">
        <v>225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515">
        <v>0</v>
      </c>
      <c r="I26" s="515"/>
      <c r="J26" s="515"/>
      <c r="K26" s="515"/>
      <c r="L26" s="516"/>
      <c r="M26" s="515"/>
      <c r="N26" s="136">
        <f t="shared" si="0"/>
        <v>0</v>
      </c>
      <c r="O26" s="137">
        <v>0</v>
      </c>
      <c r="P26" s="138" t="s">
        <v>69</v>
      </c>
      <c r="Q26" s="112"/>
      <c r="R26" s="112"/>
    </row>
    <row r="27" spans="1:18" s="113" customFormat="1" x14ac:dyDescent="0.25">
      <c r="A27" s="133" t="s">
        <v>94</v>
      </c>
      <c r="B27" s="134">
        <v>454.27800000000002</v>
      </c>
      <c r="C27" s="134">
        <v>158.369</v>
      </c>
      <c r="D27" s="134">
        <v>159.505</v>
      </c>
      <c r="E27" s="134">
        <v>-125.282</v>
      </c>
      <c r="F27" s="134">
        <v>-523.81299999999999</v>
      </c>
      <c r="G27" s="134">
        <v>16.658999999999999</v>
      </c>
      <c r="H27" s="515">
        <v>22.6</v>
      </c>
      <c r="I27" s="515"/>
      <c r="J27" s="515"/>
      <c r="K27" s="515"/>
      <c r="L27" s="516"/>
      <c r="M27" s="515"/>
      <c r="N27" s="136">
        <f t="shared" si="0"/>
        <v>162.316</v>
      </c>
      <c r="O27" s="137">
        <v>0</v>
      </c>
      <c r="P27" s="138" t="s">
        <v>69</v>
      </c>
      <c r="Q27" s="112"/>
      <c r="R27" s="112"/>
    </row>
    <row r="28" spans="1:18" s="113" customFormat="1" x14ac:dyDescent="0.25">
      <c r="A28" s="133" t="s">
        <v>93</v>
      </c>
      <c r="B28" s="134">
        <v>9.0999999999999998E-2</v>
      </c>
      <c r="C28" s="134">
        <v>9.0999999999999998E-2</v>
      </c>
      <c r="D28" s="134">
        <v>9.0999999999999998E-2</v>
      </c>
      <c r="E28" s="134">
        <v>9.0999999999999998E-2</v>
      </c>
      <c r="F28" s="134">
        <v>9.0999999999999998E-2</v>
      </c>
      <c r="G28" s="134">
        <v>9.0999999999999998E-2</v>
      </c>
      <c r="H28" s="515">
        <v>0.1</v>
      </c>
      <c r="I28" s="515"/>
      <c r="J28" s="515"/>
      <c r="K28" s="515"/>
      <c r="L28" s="516"/>
      <c r="M28" s="515"/>
      <c r="N28" s="136">
        <f t="shared" si="0"/>
        <v>0.64599999999999991</v>
      </c>
      <c r="O28" s="137">
        <v>0</v>
      </c>
      <c r="P28" s="138" t="s">
        <v>69</v>
      </c>
      <c r="Q28" s="112"/>
      <c r="R28" s="112"/>
    </row>
    <row r="29" spans="1:18" s="113" customFormat="1" x14ac:dyDescent="0.25">
      <c r="A29" s="133"/>
      <c r="B29" s="134"/>
      <c r="C29" s="134"/>
      <c r="D29" s="134"/>
      <c r="E29" s="134"/>
      <c r="F29" s="134"/>
      <c r="G29" s="134"/>
      <c r="H29" s="515"/>
      <c r="I29" s="515"/>
      <c r="J29" s="515"/>
      <c r="K29" s="515"/>
      <c r="L29" s="516"/>
      <c r="M29" s="515"/>
      <c r="N29" s="136">
        <f t="shared" si="0"/>
        <v>0</v>
      </c>
      <c r="O29" s="137">
        <v>0</v>
      </c>
      <c r="P29" s="138" t="s">
        <v>69</v>
      </c>
      <c r="Q29" s="112"/>
      <c r="R29" s="112"/>
    </row>
    <row r="30" spans="1:18" s="113" customFormat="1" x14ac:dyDescent="0.25">
      <c r="A30" s="133"/>
      <c r="B30" s="134"/>
      <c r="C30" s="134"/>
      <c r="D30" s="134"/>
      <c r="E30" s="134"/>
      <c r="F30" s="134"/>
      <c r="G30" s="134"/>
      <c r="H30" s="515"/>
      <c r="I30" s="515"/>
      <c r="J30" s="515"/>
      <c r="K30" s="515"/>
      <c r="L30" s="516"/>
      <c r="M30" s="515"/>
      <c r="N30" s="136">
        <f t="shared" si="0"/>
        <v>0</v>
      </c>
      <c r="O30" s="137">
        <v>0</v>
      </c>
      <c r="P30" s="138" t="s">
        <v>69</v>
      </c>
      <c r="Q30" s="112"/>
      <c r="R30" s="112"/>
    </row>
    <row r="31" spans="1:18" s="113" customFormat="1" x14ac:dyDescent="0.25">
      <c r="A31" s="133"/>
      <c r="B31" s="134"/>
      <c r="C31" s="134"/>
      <c r="D31" s="134"/>
      <c r="E31" s="134"/>
      <c r="F31" s="134"/>
      <c r="G31" s="134"/>
      <c r="H31" s="515"/>
      <c r="I31" s="515"/>
      <c r="J31" s="515"/>
      <c r="K31" s="515"/>
      <c r="L31" s="516"/>
      <c r="M31" s="515"/>
      <c r="N31" s="136">
        <f t="shared" si="0"/>
        <v>0</v>
      </c>
      <c r="O31" s="137">
        <v>0</v>
      </c>
      <c r="P31" s="138" t="s">
        <v>69</v>
      </c>
      <c r="Q31" s="112"/>
      <c r="R31" s="112"/>
    </row>
    <row r="32" spans="1:18" s="113" customFormat="1" x14ac:dyDescent="0.25">
      <c r="A32" s="133"/>
      <c r="B32" s="134"/>
      <c r="C32" s="134"/>
      <c r="D32" s="134"/>
      <c r="E32" s="134"/>
      <c r="F32" s="134"/>
      <c r="G32" s="134"/>
      <c r="H32" s="515"/>
      <c r="I32" s="515"/>
      <c r="J32" s="515"/>
      <c r="K32" s="515"/>
      <c r="L32" s="516"/>
      <c r="M32" s="515"/>
      <c r="N32" s="136">
        <f t="shared" si="0"/>
        <v>0</v>
      </c>
      <c r="O32" s="137">
        <v>0</v>
      </c>
      <c r="P32" s="138" t="s">
        <v>69</v>
      </c>
      <c r="Q32" s="112"/>
      <c r="R32" s="112"/>
    </row>
    <row r="33" spans="1:18" s="113" customFormat="1" x14ac:dyDescent="0.25">
      <c r="A33" s="133"/>
      <c r="B33" s="134"/>
      <c r="C33" s="134"/>
      <c r="D33" s="134"/>
      <c r="E33" s="134"/>
      <c r="F33" s="134"/>
      <c r="G33" s="134"/>
      <c r="H33" s="515"/>
      <c r="I33" s="515"/>
      <c r="J33" s="515"/>
      <c r="K33" s="515"/>
      <c r="L33" s="516"/>
      <c r="M33" s="515"/>
      <c r="N33" s="136"/>
      <c r="O33" s="137"/>
      <c r="P33" s="138"/>
      <c r="Q33" s="112"/>
      <c r="R33" s="112"/>
    </row>
    <row r="34" spans="1:18" s="113" customFormat="1" x14ac:dyDescent="0.25">
      <c r="A34" s="133"/>
      <c r="B34" s="134"/>
      <c r="C34" s="134"/>
      <c r="D34" s="134"/>
      <c r="E34" s="134"/>
      <c r="F34" s="134"/>
      <c r="G34" s="134"/>
      <c r="H34" s="515"/>
      <c r="I34" s="515"/>
      <c r="J34" s="515"/>
      <c r="K34" s="515"/>
      <c r="L34" s="516"/>
      <c r="M34" s="515"/>
      <c r="N34" s="140"/>
      <c r="O34" s="134"/>
      <c r="P34" s="138"/>
      <c r="Q34" s="112"/>
      <c r="R34" s="112"/>
    </row>
    <row r="35" spans="1:18" x14ac:dyDescent="0.25">
      <c r="A35" s="141" t="s">
        <v>96</v>
      </c>
      <c r="B35" s="142">
        <f t="shared" ref="B35:N35" si="1">SUM(B6:B34)</f>
        <v>846.298</v>
      </c>
      <c r="C35" s="142">
        <f t="shared" si="1"/>
        <v>864.23399999999992</v>
      </c>
      <c r="D35" s="142">
        <f t="shared" si="1"/>
        <v>2927.4969999999998</v>
      </c>
      <c r="E35" s="142">
        <f t="shared" si="1"/>
        <v>-173.887</v>
      </c>
      <c r="F35" s="142">
        <f t="shared" si="1"/>
        <v>340.34999999999991</v>
      </c>
      <c r="G35" s="142">
        <f t="shared" si="1"/>
        <v>824.00400000000002</v>
      </c>
      <c r="H35" s="142">
        <f t="shared" si="1"/>
        <v>504.30000000000007</v>
      </c>
      <c r="I35" s="142">
        <f t="shared" si="1"/>
        <v>0</v>
      </c>
      <c r="J35" s="142">
        <f t="shared" si="1"/>
        <v>0</v>
      </c>
      <c r="K35" s="142">
        <f t="shared" si="1"/>
        <v>0</v>
      </c>
      <c r="L35" s="142">
        <f t="shared" si="1"/>
        <v>0</v>
      </c>
      <c r="M35" s="142">
        <f t="shared" si="1"/>
        <v>0</v>
      </c>
      <c r="N35" s="143">
        <f t="shared" si="1"/>
        <v>6132.7959999999994</v>
      </c>
      <c r="O35" s="142">
        <f>SUM(O6:O25)</f>
        <v>0</v>
      </c>
      <c r="P35" s="144" t="s">
        <v>69</v>
      </c>
    </row>
    <row r="36" spans="1:18" ht="13.5" customHeight="1" x14ac:dyDescent="0.25">
      <c r="A36" s="145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6"/>
      <c r="O36" s="137"/>
      <c r="P36" s="146"/>
      <c r="Q36" s="147"/>
      <c r="R36" s="134"/>
    </row>
    <row r="37" spans="1:18" x14ac:dyDescent="0.25">
      <c r="A37" s="131" t="s">
        <v>97</v>
      </c>
      <c r="B37" s="134"/>
      <c r="C37" s="134"/>
      <c r="D37" s="134"/>
      <c r="E37" s="134"/>
      <c r="F37" s="134"/>
      <c r="G37" s="134"/>
      <c r="H37" s="515"/>
      <c r="I37" s="515"/>
      <c r="J37" s="515"/>
      <c r="K37" s="515"/>
      <c r="L37" s="515"/>
      <c r="M37" s="515"/>
      <c r="N37" s="136"/>
      <c r="O37" s="137"/>
      <c r="P37" s="146"/>
    </row>
    <row r="38" spans="1:18" x14ac:dyDescent="0.25">
      <c r="A38" s="133" t="s">
        <v>90</v>
      </c>
      <c r="B38" s="134">
        <v>0</v>
      </c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515">
        <v>0</v>
      </c>
      <c r="I38" s="515"/>
      <c r="J38" s="515"/>
      <c r="K38" s="515"/>
      <c r="L38" s="515"/>
      <c r="M38" s="515"/>
      <c r="N38" s="136">
        <f>B38+C38+D38+E38+F38+G38+H38+I38+J38+K38+L38+M38</f>
        <v>0</v>
      </c>
      <c r="O38" s="137">
        <v>0</v>
      </c>
      <c r="P38" s="138" t="s">
        <v>69</v>
      </c>
    </row>
    <row r="39" spans="1:18" x14ac:dyDescent="0.25">
      <c r="A39" s="133" t="s">
        <v>98</v>
      </c>
      <c r="B39" s="134">
        <v>0</v>
      </c>
      <c r="C39" s="134">
        <v>0</v>
      </c>
      <c r="D39" s="134">
        <v>0</v>
      </c>
      <c r="E39" s="134">
        <v>0</v>
      </c>
      <c r="F39" s="134">
        <v>0</v>
      </c>
      <c r="G39" s="134">
        <v>0</v>
      </c>
      <c r="H39" s="515">
        <v>0</v>
      </c>
      <c r="I39" s="515"/>
      <c r="J39" s="515"/>
      <c r="K39" s="515"/>
      <c r="L39" s="515"/>
      <c r="M39" s="515"/>
      <c r="N39" s="136">
        <f>B39+C39+D39+E39+F39+G39+H39+I39+J39+K39+L39+M39</f>
        <v>0</v>
      </c>
      <c r="O39" s="137">
        <v>0</v>
      </c>
      <c r="P39" s="138" t="s">
        <v>69</v>
      </c>
    </row>
    <row r="40" spans="1:18" x14ac:dyDescent="0.25">
      <c r="A40" s="141" t="s">
        <v>99</v>
      </c>
      <c r="B40" s="148">
        <f t="shared" ref="B40:I40" si="2">SUM(B38:B39)</f>
        <v>0</v>
      </c>
      <c r="C40" s="148">
        <f t="shared" si="2"/>
        <v>0</v>
      </c>
      <c r="D40" s="148">
        <f t="shared" si="2"/>
        <v>0</v>
      </c>
      <c r="E40" s="148">
        <f t="shared" si="2"/>
        <v>0</v>
      </c>
      <c r="F40" s="148">
        <f t="shared" si="2"/>
        <v>0</v>
      </c>
      <c r="G40" s="148">
        <f t="shared" si="2"/>
        <v>0</v>
      </c>
      <c r="H40" s="148">
        <f t="shared" si="2"/>
        <v>0</v>
      </c>
      <c r="I40" s="148">
        <f t="shared" si="2"/>
        <v>0</v>
      </c>
      <c r="J40" s="148">
        <v>0</v>
      </c>
      <c r="K40" s="148">
        <f>SUM(K38:K39)</f>
        <v>0</v>
      </c>
      <c r="L40" s="148">
        <f>SUM(L38:L39)</f>
        <v>0</v>
      </c>
      <c r="M40" s="148">
        <f>SUM(M38:M39)</f>
        <v>0</v>
      </c>
      <c r="N40" s="149">
        <f>B40+C40+D40+E40+F40+G40+H40+I40+J40+K40+L40+M40</f>
        <v>0</v>
      </c>
      <c r="O40" s="150">
        <f>SUM(O38:O39)</f>
        <v>0</v>
      </c>
      <c r="P40" s="144" t="s">
        <v>69</v>
      </c>
    </row>
    <row r="41" spans="1:18" x14ac:dyDescent="0.25">
      <c r="A41" s="145" t="s">
        <v>13</v>
      </c>
      <c r="B41" s="134"/>
      <c r="C41" s="134"/>
      <c r="D41" s="134"/>
      <c r="E41" s="134"/>
      <c r="F41" s="134"/>
      <c r="G41" s="134"/>
      <c r="H41" s="134"/>
      <c r="I41" s="134"/>
      <c r="K41" s="134"/>
      <c r="L41" s="134"/>
      <c r="M41" s="134"/>
      <c r="N41" s="136"/>
      <c r="O41" s="137"/>
      <c r="P41" s="146"/>
    </row>
    <row r="42" spans="1:18" x14ac:dyDescent="0.25">
      <c r="A42" s="131" t="s">
        <v>100</v>
      </c>
      <c r="B42" s="134"/>
      <c r="C42" s="134"/>
      <c r="D42" s="134"/>
      <c r="E42" s="134"/>
      <c r="F42" s="134"/>
      <c r="H42" s="134"/>
      <c r="I42" s="134"/>
      <c r="K42" s="151"/>
      <c r="L42" s="134"/>
      <c r="M42" s="134"/>
      <c r="N42" s="136" t="s">
        <v>13</v>
      </c>
      <c r="O42" s="137"/>
      <c r="P42" s="146"/>
    </row>
    <row r="43" spans="1:18" x14ac:dyDescent="0.25">
      <c r="A43" s="133" t="s">
        <v>131</v>
      </c>
      <c r="B43" s="134">
        <v>0</v>
      </c>
      <c r="C43" s="134">
        <v>0</v>
      </c>
      <c r="D43" s="134">
        <v>48.496000000000002</v>
      </c>
      <c r="E43" s="134">
        <v>432.01400000000001</v>
      </c>
      <c r="F43" s="134">
        <v>-22.021999999999998</v>
      </c>
      <c r="G43" s="134">
        <v>0</v>
      </c>
      <c r="H43" s="515">
        <v>0</v>
      </c>
      <c r="I43" s="515"/>
      <c r="J43" s="515"/>
      <c r="K43" s="515"/>
      <c r="L43" s="515"/>
      <c r="M43" s="515"/>
      <c r="N43" s="136">
        <f>B43+C43+D43+E43+F43+G43+H43+I43+J43+K43+L43+M43</f>
        <v>458.488</v>
      </c>
      <c r="O43" s="152">
        <v>0</v>
      </c>
      <c r="P43" s="138" t="s">
        <v>69</v>
      </c>
    </row>
    <row r="44" spans="1:18" x14ac:dyDescent="0.25">
      <c r="A44" s="133" t="s">
        <v>102</v>
      </c>
      <c r="B44" s="134">
        <v>186.20400000000001</v>
      </c>
      <c r="C44" s="134">
        <v>275.59199999999998</v>
      </c>
      <c r="D44" s="134">
        <v>215.89699999999999</v>
      </c>
      <c r="E44" s="134">
        <v>0</v>
      </c>
      <c r="F44" s="134">
        <v>230.44</v>
      </c>
      <c r="G44" s="134">
        <v>100.751</v>
      </c>
      <c r="H44" s="515">
        <v>-80</v>
      </c>
      <c r="I44" s="515"/>
      <c r="J44" s="515"/>
      <c r="K44" s="515"/>
      <c r="L44" s="516"/>
      <c r="M44" s="515"/>
      <c r="N44" s="136">
        <f>B44+C44+D44+E44+F44+G44+H44+I44+J44+K44+L44+M44</f>
        <v>928.88400000000001</v>
      </c>
      <c r="O44" s="152">
        <v>0</v>
      </c>
      <c r="P44" s="138" t="s">
        <v>69</v>
      </c>
    </row>
    <row r="45" spans="1:18" x14ac:dyDescent="0.25">
      <c r="A45" s="153" t="s">
        <v>103</v>
      </c>
      <c r="B45" s="148">
        <f t="shared" ref="B45:O45" si="3">SUM(B43:B44)</f>
        <v>186.20400000000001</v>
      </c>
      <c r="C45" s="148">
        <f t="shared" si="3"/>
        <v>275.59199999999998</v>
      </c>
      <c r="D45" s="148">
        <f t="shared" si="3"/>
        <v>264.39299999999997</v>
      </c>
      <c r="E45" s="148">
        <f t="shared" si="3"/>
        <v>432.01400000000001</v>
      </c>
      <c r="F45" s="148">
        <f t="shared" si="3"/>
        <v>208.41800000000001</v>
      </c>
      <c r="G45" s="148">
        <f t="shared" si="3"/>
        <v>100.751</v>
      </c>
      <c r="H45" s="148">
        <f t="shared" si="3"/>
        <v>-80</v>
      </c>
      <c r="I45" s="148">
        <f t="shared" si="3"/>
        <v>0</v>
      </c>
      <c r="J45" s="148">
        <f t="shared" si="3"/>
        <v>0</v>
      </c>
      <c r="K45" s="148">
        <f t="shared" si="3"/>
        <v>0</v>
      </c>
      <c r="L45" s="148">
        <f t="shared" si="3"/>
        <v>0</v>
      </c>
      <c r="M45" s="148">
        <f t="shared" si="3"/>
        <v>0</v>
      </c>
      <c r="N45" s="154">
        <f t="shared" si="3"/>
        <v>1387.3720000000001</v>
      </c>
      <c r="O45" s="155">
        <f t="shared" si="3"/>
        <v>0</v>
      </c>
      <c r="P45" s="144" t="s">
        <v>69</v>
      </c>
    </row>
    <row r="46" spans="1:18" x14ac:dyDescent="0.25">
      <c r="A46" s="133"/>
      <c r="B46" s="134"/>
      <c r="C46" s="134"/>
      <c r="D46" s="134"/>
      <c r="E46" s="134"/>
      <c r="F46" s="134"/>
      <c r="G46" s="134"/>
      <c r="H46" s="134"/>
      <c r="I46" s="134"/>
      <c r="K46" s="134"/>
      <c r="L46" s="134"/>
      <c r="M46" s="134"/>
      <c r="N46" s="136"/>
      <c r="O46" s="137"/>
      <c r="P46" s="146"/>
    </row>
    <row r="47" spans="1:18" s="113" customFormat="1" x14ac:dyDescent="0.25">
      <c r="A47" s="131" t="s">
        <v>83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6"/>
      <c r="O47" s="137"/>
      <c r="P47" s="146"/>
      <c r="Q47" s="112"/>
      <c r="R47" s="112"/>
    </row>
    <row r="48" spans="1:18" x14ac:dyDescent="0.25">
      <c r="A48" s="133" t="s">
        <v>104</v>
      </c>
      <c r="B48" s="134">
        <v>6.02</v>
      </c>
      <c r="C48" s="134">
        <v>0</v>
      </c>
      <c r="D48" s="134">
        <v>5.0149999999999997</v>
      </c>
      <c r="E48" s="134">
        <v>2.8879999999999999</v>
      </c>
      <c r="F48" s="134">
        <v>2.2250000000000001</v>
      </c>
      <c r="G48" s="134">
        <v>0</v>
      </c>
      <c r="H48" s="515">
        <v>43.8</v>
      </c>
      <c r="I48" s="515"/>
      <c r="J48" s="515"/>
      <c r="K48" s="515"/>
      <c r="L48" s="516"/>
      <c r="M48" s="515"/>
      <c r="N48" s="136">
        <f t="shared" ref="N48:N56" si="4">B48+C48+D48+E48+F48+G48+H48+I48+J48+K48+L48+M48</f>
        <v>59.947999999999993</v>
      </c>
      <c r="O48" s="137">
        <v>0</v>
      </c>
      <c r="P48" s="138" t="s">
        <v>69</v>
      </c>
    </row>
    <row r="49" spans="1:26" x14ac:dyDescent="0.25">
      <c r="A49" s="133" t="s">
        <v>31</v>
      </c>
      <c r="B49" s="134">
        <v>164.37</v>
      </c>
      <c r="C49" s="134">
        <v>62.908000000000001</v>
      </c>
      <c r="D49" s="134">
        <v>0</v>
      </c>
      <c r="E49" s="134">
        <v>0</v>
      </c>
      <c r="F49" s="134">
        <v>0</v>
      </c>
      <c r="G49" s="134">
        <v>0</v>
      </c>
      <c r="H49" s="515">
        <v>0</v>
      </c>
      <c r="I49" s="515"/>
      <c r="J49" s="515"/>
      <c r="K49" s="515"/>
      <c r="L49" s="515"/>
      <c r="M49" s="515"/>
      <c r="N49" s="136">
        <f t="shared" si="4"/>
        <v>227.27800000000002</v>
      </c>
      <c r="O49" s="137">
        <v>0</v>
      </c>
      <c r="P49" s="138" t="s">
        <v>69</v>
      </c>
    </row>
    <row r="50" spans="1:26" x14ac:dyDescent="0.25">
      <c r="A50" s="133" t="s">
        <v>179</v>
      </c>
      <c r="B50" s="134">
        <v>0</v>
      </c>
      <c r="C50" s="134">
        <v>0</v>
      </c>
      <c r="D50" s="134">
        <v>0</v>
      </c>
      <c r="E50" s="134">
        <v>0</v>
      </c>
      <c r="F50" s="134">
        <v>0</v>
      </c>
      <c r="G50" s="134">
        <v>0</v>
      </c>
      <c r="H50" s="515">
        <v>0</v>
      </c>
      <c r="I50" s="515"/>
      <c r="J50" s="515"/>
      <c r="K50" s="515"/>
      <c r="L50" s="516"/>
      <c r="M50" s="515"/>
      <c r="N50" s="136">
        <f t="shared" si="4"/>
        <v>0</v>
      </c>
      <c r="O50" s="137">
        <v>0</v>
      </c>
      <c r="P50" s="138" t="s">
        <v>69</v>
      </c>
    </row>
    <row r="51" spans="1:26" x14ac:dyDescent="0.25">
      <c r="A51" s="133" t="s">
        <v>145</v>
      </c>
      <c r="B51" s="134">
        <v>323.27999999999997</v>
      </c>
      <c r="C51" s="134">
        <v>-29.93</v>
      </c>
      <c r="D51" s="134">
        <v>61.728999999999999</v>
      </c>
      <c r="E51" s="134">
        <v>244.42</v>
      </c>
      <c r="F51" s="134">
        <v>55.418999999999997</v>
      </c>
      <c r="G51" s="134">
        <v>145.47</v>
      </c>
      <c r="H51" s="515">
        <v>-61</v>
      </c>
      <c r="I51" s="515"/>
      <c r="J51" s="515"/>
      <c r="K51" s="515"/>
      <c r="L51" s="516"/>
      <c r="M51" s="515"/>
      <c r="N51" s="136">
        <f t="shared" si="4"/>
        <v>739.38799999999992</v>
      </c>
      <c r="O51" s="137">
        <v>0</v>
      </c>
      <c r="P51" s="138" t="s">
        <v>69</v>
      </c>
    </row>
    <row r="52" spans="1:26" x14ac:dyDescent="0.25">
      <c r="A52" s="133" t="s">
        <v>91</v>
      </c>
      <c r="B52" s="134">
        <v>70.483000000000004</v>
      </c>
      <c r="C52" s="134">
        <v>2.8260000000000001</v>
      </c>
      <c r="D52" s="134">
        <v>0</v>
      </c>
      <c r="E52" s="134">
        <v>0</v>
      </c>
      <c r="F52" s="134">
        <v>0</v>
      </c>
      <c r="G52" s="134">
        <v>0</v>
      </c>
      <c r="H52" s="515">
        <v>2</v>
      </c>
      <c r="I52" s="515"/>
      <c r="J52" s="515"/>
      <c r="K52" s="515"/>
      <c r="L52" s="516"/>
      <c r="M52" s="515"/>
      <c r="N52" s="136">
        <f t="shared" si="4"/>
        <v>75.308999999999997</v>
      </c>
      <c r="O52" s="137">
        <v>0</v>
      </c>
      <c r="P52" s="138" t="s">
        <v>69</v>
      </c>
    </row>
    <row r="53" spans="1:26" x14ac:dyDescent="0.25">
      <c r="A53" s="133" t="s">
        <v>189</v>
      </c>
      <c r="B53" s="134">
        <v>0</v>
      </c>
      <c r="C53" s="134">
        <v>0</v>
      </c>
      <c r="D53" s="134">
        <v>0</v>
      </c>
      <c r="E53" s="134">
        <v>0</v>
      </c>
      <c r="F53" s="134">
        <v>0</v>
      </c>
      <c r="G53" s="134">
        <v>0</v>
      </c>
      <c r="H53" s="515">
        <v>0</v>
      </c>
      <c r="I53" s="515"/>
      <c r="J53" s="515"/>
      <c r="K53" s="515"/>
      <c r="L53" s="516"/>
      <c r="M53" s="515"/>
      <c r="N53" s="136">
        <f t="shared" si="4"/>
        <v>0</v>
      </c>
      <c r="O53" s="137">
        <v>0</v>
      </c>
      <c r="P53" s="138" t="s">
        <v>69</v>
      </c>
    </row>
    <row r="54" spans="1:26" x14ac:dyDescent="0.25">
      <c r="A54" s="133" t="s">
        <v>174</v>
      </c>
      <c r="B54" s="134">
        <v>4.9950000000000001</v>
      </c>
      <c r="C54" s="134">
        <v>0</v>
      </c>
      <c r="D54" s="134">
        <v>42.716999999999999</v>
      </c>
      <c r="E54" s="134">
        <v>46.738</v>
      </c>
      <c r="F54" s="134">
        <v>0</v>
      </c>
      <c r="G54" s="134">
        <v>0</v>
      </c>
      <c r="H54" s="515">
        <v>0</v>
      </c>
      <c r="I54" s="515"/>
      <c r="J54" s="515"/>
      <c r="K54" s="515"/>
      <c r="L54" s="516"/>
      <c r="M54" s="515"/>
      <c r="N54" s="136">
        <f t="shared" si="4"/>
        <v>94.449999999999989</v>
      </c>
      <c r="O54" s="137">
        <v>0</v>
      </c>
      <c r="P54" s="138" t="s">
        <v>69</v>
      </c>
    </row>
    <row r="55" spans="1:26" x14ac:dyDescent="0.25">
      <c r="A55" s="133" t="s">
        <v>175</v>
      </c>
      <c r="B55" s="134">
        <v>0</v>
      </c>
      <c r="C55" s="134">
        <v>0</v>
      </c>
      <c r="D55" s="134">
        <v>0</v>
      </c>
      <c r="E55" s="134">
        <v>0</v>
      </c>
      <c r="F55" s="134">
        <v>0</v>
      </c>
      <c r="G55" s="134">
        <v>0</v>
      </c>
      <c r="H55" s="515">
        <v>0</v>
      </c>
      <c r="I55" s="515"/>
      <c r="J55" s="515"/>
      <c r="K55" s="515"/>
      <c r="L55" s="516"/>
      <c r="M55" s="515"/>
      <c r="N55" s="136">
        <f t="shared" si="4"/>
        <v>0</v>
      </c>
      <c r="O55" s="137">
        <v>0</v>
      </c>
      <c r="P55" s="138" t="s">
        <v>69</v>
      </c>
    </row>
    <row r="56" spans="1:26" x14ac:dyDescent="0.25">
      <c r="A56" s="133" t="s">
        <v>101</v>
      </c>
      <c r="B56" s="134">
        <v>0</v>
      </c>
      <c r="C56" s="134">
        <v>0.316</v>
      </c>
      <c r="D56" s="134">
        <v>0.35799999999999998</v>
      </c>
      <c r="E56" s="134">
        <v>0.12</v>
      </c>
      <c r="F56" s="134">
        <v>0.22500000000000001</v>
      </c>
      <c r="G56" s="134">
        <v>0.24</v>
      </c>
      <c r="H56" s="515">
        <v>0</v>
      </c>
      <c r="I56" s="515"/>
      <c r="J56" s="515"/>
      <c r="K56" s="515"/>
      <c r="L56" s="516"/>
      <c r="M56" s="515"/>
      <c r="N56" s="136">
        <f t="shared" si="4"/>
        <v>1.2589999999999999</v>
      </c>
      <c r="O56" s="137">
        <v>0</v>
      </c>
      <c r="P56" s="138" t="s">
        <v>69</v>
      </c>
    </row>
    <row r="57" spans="1:26" x14ac:dyDescent="0.25">
      <c r="A57" s="153" t="s">
        <v>84</v>
      </c>
      <c r="B57" s="148">
        <f t="shared" ref="B57:O57" si="5">SUM(B48:B56)</f>
        <v>569.14800000000002</v>
      </c>
      <c r="C57" s="148">
        <f t="shared" si="5"/>
        <v>36.120000000000005</v>
      </c>
      <c r="D57" s="148">
        <f t="shared" si="5"/>
        <v>109.819</v>
      </c>
      <c r="E57" s="148">
        <f t="shared" si="5"/>
        <v>294.166</v>
      </c>
      <c r="F57" s="148">
        <f t="shared" si="5"/>
        <v>57.869</v>
      </c>
      <c r="G57" s="148">
        <f t="shared" si="5"/>
        <v>145.71</v>
      </c>
      <c r="H57" s="148">
        <f t="shared" si="5"/>
        <v>-15.200000000000003</v>
      </c>
      <c r="I57" s="148">
        <f t="shared" si="5"/>
        <v>0</v>
      </c>
      <c r="J57" s="148">
        <f t="shared" si="5"/>
        <v>0</v>
      </c>
      <c r="K57" s="148">
        <f t="shared" si="5"/>
        <v>0</v>
      </c>
      <c r="L57" s="148">
        <f t="shared" si="5"/>
        <v>0</v>
      </c>
      <c r="M57" s="156">
        <f t="shared" si="5"/>
        <v>0</v>
      </c>
      <c r="N57" s="157">
        <f t="shared" si="5"/>
        <v>1197.6320000000001</v>
      </c>
      <c r="O57" s="155">
        <f t="shared" si="5"/>
        <v>0</v>
      </c>
      <c r="P57" s="144" t="s">
        <v>69</v>
      </c>
    </row>
    <row r="58" spans="1:26" ht="30.15" customHeight="1" x14ac:dyDescent="0.25">
      <c r="A58" s="158" t="s">
        <v>105</v>
      </c>
      <c r="B58" s="148">
        <f t="shared" ref="B58:O58" si="6">+B57+B45+B40+B35</f>
        <v>1601.65</v>
      </c>
      <c r="C58" s="148">
        <f t="shared" si="6"/>
        <v>1175.9459999999999</v>
      </c>
      <c r="D58" s="148">
        <f t="shared" si="6"/>
        <v>3301.7089999999998</v>
      </c>
      <c r="E58" s="148">
        <f t="shared" si="6"/>
        <v>552.29300000000012</v>
      </c>
      <c r="F58" s="148">
        <f t="shared" si="6"/>
        <v>606.63699999999994</v>
      </c>
      <c r="G58" s="148">
        <f t="shared" si="6"/>
        <v>1070.4650000000001</v>
      </c>
      <c r="H58" s="148">
        <f t="shared" si="6"/>
        <v>409.10000000000008</v>
      </c>
      <c r="I58" s="148">
        <f t="shared" si="6"/>
        <v>0</v>
      </c>
      <c r="J58" s="148">
        <f t="shared" si="6"/>
        <v>0</v>
      </c>
      <c r="K58" s="148">
        <f t="shared" si="6"/>
        <v>0</v>
      </c>
      <c r="L58" s="148">
        <f t="shared" si="6"/>
        <v>0</v>
      </c>
      <c r="M58" s="156">
        <f t="shared" si="6"/>
        <v>0</v>
      </c>
      <c r="N58" s="154">
        <f t="shared" si="6"/>
        <v>8717.7999999999993</v>
      </c>
      <c r="O58" s="150">
        <f t="shared" si="6"/>
        <v>0</v>
      </c>
      <c r="P58" s="144" t="s">
        <v>69</v>
      </c>
    </row>
    <row r="59" spans="1:26" ht="15.9" customHeight="1" x14ac:dyDescent="0.25">
      <c r="A59" s="159"/>
      <c r="B59" s="160"/>
      <c r="C59" s="148"/>
      <c r="D59" s="161"/>
      <c r="E59" s="161"/>
      <c r="F59" s="161"/>
      <c r="G59" s="161"/>
      <c r="H59" s="161"/>
      <c r="I59" s="161"/>
      <c r="J59" s="162"/>
      <c r="K59" s="161"/>
      <c r="L59" s="161"/>
      <c r="M59" s="161"/>
      <c r="N59" s="161"/>
      <c r="O59" s="160"/>
      <c r="P59" s="160"/>
    </row>
    <row r="60" spans="1:26" ht="30.15" customHeight="1" thickBot="1" x14ac:dyDescent="0.3">
      <c r="A60" s="163" t="s">
        <v>199</v>
      </c>
      <c r="B60" s="164">
        <v>1607.9</v>
      </c>
      <c r="C60" s="165">
        <v>1126.5999999999999</v>
      </c>
      <c r="D60" s="166">
        <f>3407.4-5</f>
        <v>3402.4</v>
      </c>
      <c r="E60" s="517">
        <v>519.9</v>
      </c>
      <c r="F60" s="517">
        <v>561.29999999999995</v>
      </c>
      <c r="G60" s="518">
        <v>1133</v>
      </c>
      <c r="H60" s="519">
        <v>419.7</v>
      </c>
      <c r="I60" s="519"/>
      <c r="J60" s="520"/>
      <c r="K60" s="520"/>
      <c r="L60" s="520"/>
      <c r="M60" s="520"/>
      <c r="N60" s="167">
        <f>SUM(B60:M60)</f>
        <v>8770.7999999999993</v>
      </c>
      <c r="O60" s="168"/>
      <c r="P60" s="169"/>
    </row>
    <row r="61" spans="1:26" x14ac:dyDescent="0.25">
      <c r="A61" s="112" t="s">
        <v>106</v>
      </c>
      <c r="G61" s="134"/>
      <c r="H61" s="134"/>
    </row>
    <row r="62" spans="1:26" x14ac:dyDescent="0.25">
      <c r="B62" s="134"/>
      <c r="C62" s="134"/>
      <c r="D62" s="134"/>
      <c r="E62" s="134"/>
      <c r="F62" s="134"/>
      <c r="G62" s="134"/>
      <c r="H62" s="134"/>
      <c r="I62" s="134"/>
      <c r="J62" s="170"/>
      <c r="K62" s="134"/>
      <c r="L62" s="134"/>
      <c r="M62" s="134"/>
    </row>
    <row r="63" spans="1:26" ht="14.4" x14ac:dyDescent="0.3">
      <c r="A63" s="103" t="s">
        <v>25</v>
      </c>
      <c r="B63" s="21"/>
      <c r="C63" s="21"/>
      <c r="D63" s="24"/>
      <c r="E63" s="21"/>
      <c r="F63" s="23"/>
      <c r="G63" s="25"/>
      <c r="H63" s="23"/>
      <c r="I63" s="21"/>
      <c r="J63" s="25"/>
      <c r="K63" s="25"/>
      <c r="L63" s="25"/>
      <c r="M63" s="25"/>
      <c r="N63" s="21"/>
      <c r="O63" s="21"/>
      <c r="P63" s="22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x14ac:dyDescent="0.25">
      <c r="A64" s="645"/>
      <c r="B64" s="645"/>
      <c r="C64" s="645"/>
      <c r="D64" s="645"/>
      <c r="E64" s="645"/>
      <c r="F64" s="645"/>
      <c r="G64" s="645"/>
      <c r="H64" s="645"/>
      <c r="I64" s="645"/>
      <c r="J64" s="645"/>
      <c r="K64" s="645"/>
      <c r="L64" s="645"/>
      <c r="M64" s="645"/>
      <c r="N64" s="645"/>
      <c r="O64" s="645"/>
      <c r="P64" s="645"/>
      <c r="Q64" s="645"/>
      <c r="R64" s="645"/>
      <c r="S64" s="645"/>
      <c r="T64" s="645"/>
      <c r="U64" s="645"/>
      <c r="V64" s="645"/>
      <c r="W64" s="645"/>
      <c r="X64" s="645"/>
      <c r="Y64" s="645"/>
      <c r="Z64" s="645"/>
    </row>
    <row r="65" spans="2:14" x14ac:dyDescent="0.25">
      <c r="B65" s="134"/>
      <c r="D65" s="134"/>
    </row>
    <row r="66" spans="2:14" x14ac:dyDescent="0.25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9" spans="2:14" x14ac:dyDescent="0.25">
      <c r="L69" s="134"/>
    </row>
    <row r="70" spans="2:14" x14ac:dyDescent="0.25">
      <c r="C70" s="134"/>
    </row>
    <row r="71" spans="2:14" x14ac:dyDescent="0.25">
      <c r="C71" s="134"/>
      <c r="I71" s="134"/>
      <c r="M71" s="134"/>
      <c r="N71" s="134"/>
    </row>
  </sheetData>
  <sheetProtection password="F01B" sheet="1" objects="1" scenarios="1"/>
  <mergeCells count="1">
    <mergeCell ref="A64:Z64"/>
  </mergeCells>
  <printOptions horizontalCentered="1"/>
  <pageMargins left="0.55000000000000004" right="0.2" top="0.81" bottom="0.38" header="0.21" footer="0.19"/>
  <pageSetup scale="46" orientation="landscape" r:id="rId1"/>
  <headerFooter alignWithMargins="0">
    <oddHeader>&amp;C&amp;"Arial,Bold"SDGE
Demand Response Programs 
Total Cost and AMDRMA 2016 Accounts Balance
$000</oddHeader>
    <oddFooter>&amp;L&amp;F&amp;R&amp;D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showGridLines="0" view="pageBreakPreview" topLeftCell="A2" zoomScale="75" zoomScaleNormal="100" zoomScaleSheetLayoutView="75" workbookViewId="0">
      <pane xSplit="1" ySplit="2" topLeftCell="B7" activePane="bottomRight" state="frozen"/>
      <selection sqref="A1:XFD1048576"/>
      <selection pane="topRight" sqref="A1:XFD1048576"/>
      <selection pane="bottomLeft" sqref="A1:XFD1048576"/>
      <selection pane="bottomRight" activeCell="A26" sqref="A26"/>
    </sheetView>
  </sheetViews>
  <sheetFormatPr defaultColWidth="9.109375" defaultRowHeight="13.2" x14ac:dyDescent="0.25"/>
  <cols>
    <col min="1" max="1" width="39.44140625" style="102" customWidth="1"/>
    <col min="2" max="2" width="11" style="102" customWidth="1"/>
    <col min="3" max="3" width="9.6640625" style="102" customWidth="1"/>
    <col min="4" max="4" width="11" style="102" customWidth="1"/>
    <col min="5" max="5" width="11.6640625" style="102" customWidth="1"/>
    <col min="6" max="8" width="11" style="102" customWidth="1"/>
    <col min="9" max="9" width="10.33203125" style="102" bestFit="1" customWidth="1"/>
    <col min="10" max="13" width="11" style="102" customWidth="1"/>
    <col min="14" max="14" width="15.6640625" style="102" bestFit="1" customWidth="1"/>
    <col min="15" max="15" width="9.6640625" style="102" bestFit="1" customWidth="1"/>
    <col min="16" max="16" width="9.109375" style="102"/>
    <col min="17" max="17" width="22.33203125" style="102" customWidth="1"/>
    <col min="18" max="16384" width="9.109375" style="102"/>
  </cols>
  <sheetData>
    <row r="2" spans="1:15" ht="13.8" thickBot="1" x14ac:dyDescent="0.3">
      <c r="A2" s="171"/>
    </row>
    <row r="3" spans="1:15" ht="31.65" customHeight="1" x14ac:dyDescent="0.25">
      <c r="A3" s="172" t="s">
        <v>17</v>
      </c>
      <c r="B3" s="173" t="s">
        <v>0</v>
      </c>
      <c r="C3" s="173" t="s">
        <v>1</v>
      </c>
      <c r="D3" s="173" t="s">
        <v>2</v>
      </c>
      <c r="E3" s="173" t="s">
        <v>3</v>
      </c>
      <c r="F3" s="173" t="s">
        <v>4</v>
      </c>
      <c r="G3" s="173" t="s">
        <v>5</v>
      </c>
      <c r="H3" s="173" t="s">
        <v>6</v>
      </c>
      <c r="I3" s="173" t="s">
        <v>7</v>
      </c>
      <c r="J3" s="173" t="s">
        <v>8</v>
      </c>
      <c r="K3" s="173" t="s">
        <v>9</v>
      </c>
      <c r="L3" s="173" t="s">
        <v>10</v>
      </c>
      <c r="M3" s="173" t="s">
        <v>11</v>
      </c>
      <c r="N3" s="174" t="s">
        <v>16</v>
      </c>
    </row>
    <row r="4" spans="1:15" ht="16.8" x14ac:dyDescent="0.3">
      <c r="A4" s="175" t="s">
        <v>72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7"/>
    </row>
    <row r="5" spans="1:15" ht="6" customHeight="1" x14ac:dyDescent="0.25">
      <c r="A5" s="178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7"/>
    </row>
    <row r="6" spans="1:15" x14ac:dyDescent="0.25">
      <c r="A6" s="178" t="s">
        <v>73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</row>
    <row r="7" spans="1:15" x14ac:dyDescent="0.25">
      <c r="A7" s="179" t="s">
        <v>74</v>
      </c>
      <c r="B7" s="180">
        <v>0</v>
      </c>
      <c r="C7" s="180">
        <v>0</v>
      </c>
      <c r="D7" s="180">
        <v>0</v>
      </c>
      <c r="E7" s="180">
        <v>0</v>
      </c>
      <c r="F7" s="180">
        <v>0</v>
      </c>
      <c r="G7" s="180">
        <v>0</v>
      </c>
      <c r="H7" s="521">
        <v>0</v>
      </c>
      <c r="I7" s="521"/>
      <c r="J7" s="521"/>
      <c r="K7" s="521"/>
      <c r="L7" s="521"/>
      <c r="M7" s="521"/>
      <c r="N7" s="181">
        <f t="shared" ref="N7:N12" si="0">SUM(B7:M7)</f>
        <v>0</v>
      </c>
    </row>
    <row r="8" spans="1:15" ht="14.25" customHeight="1" x14ac:dyDescent="0.25">
      <c r="A8" s="179" t="s">
        <v>62</v>
      </c>
      <c r="B8" s="180">
        <v>6.0010000000000003</v>
      </c>
      <c r="C8" s="180">
        <v>9.5180000000000007</v>
      </c>
      <c r="D8" s="180">
        <v>12.218</v>
      </c>
      <c r="E8" s="180">
        <v>8.5120000000000005</v>
      </c>
      <c r="F8" s="180">
        <v>10.288</v>
      </c>
      <c r="G8" s="180">
        <v>4.3869999999999996</v>
      </c>
      <c r="H8" s="521">
        <v>9.3000000000000007</v>
      </c>
      <c r="I8" s="521"/>
      <c r="J8" s="521"/>
      <c r="K8" s="521"/>
      <c r="L8" s="521"/>
      <c r="M8" s="521"/>
      <c r="N8" s="181">
        <f t="shared" si="0"/>
        <v>60.224000000000004</v>
      </c>
    </row>
    <row r="9" spans="1:15" x14ac:dyDescent="0.25">
      <c r="A9" s="179" t="s">
        <v>28</v>
      </c>
      <c r="B9" s="180">
        <v>0</v>
      </c>
      <c r="C9" s="180">
        <v>0</v>
      </c>
      <c r="D9" s="180">
        <v>0</v>
      </c>
      <c r="E9" s="180">
        <v>0</v>
      </c>
      <c r="F9" s="180">
        <v>0</v>
      </c>
      <c r="G9" s="180">
        <v>0</v>
      </c>
      <c r="H9" s="521">
        <v>0</v>
      </c>
      <c r="I9" s="521"/>
      <c r="J9" s="521"/>
      <c r="K9" s="521"/>
      <c r="L9" s="521"/>
      <c r="M9" s="521"/>
      <c r="N9" s="181">
        <f t="shared" si="0"/>
        <v>0</v>
      </c>
    </row>
    <row r="10" spans="1:15" x14ac:dyDescent="0.25">
      <c r="A10" s="179" t="s">
        <v>75</v>
      </c>
      <c r="B10" s="180">
        <v>0.46800000000000003</v>
      </c>
      <c r="C10" s="180">
        <v>0.47199999999999998</v>
      </c>
      <c r="D10" s="180">
        <v>0.46800000000000003</v>
      </c>
      <c r="E10" s="180">
        <v>0.46899999999999997</v>
      </c>
      <c r="F10" s="180">
        <v>0.47</v>
      </c>
      <c r="G10" s="180">
        <v>0.46800000000000003</v>
      </c>
      <c r="H10" s="521">
        <v>0.5</v>
      </c>
      <c r="I10" s="521"/>
      <c r="J10" s="521"/>
      <c r="K10" s="521"/>
      <c r="L10" s="521"/>
      <c r="M10" s="521"/>
      <c r="N10" s="181">
        <f t="shared" si="0"/>
        <v>3.3149999999999995</v>
      </c>
    </row>
    <row r="11" spans="1:15" x14ac:dyDescent="0.25">
      <c r="A11" s="179" t="s">
        <v>14</v>
      </c>
      <c r="B11" s="180">
        <v>0</v>
      </c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521">
        <v>0</v>
      </c>
      <c r="I11" s="521"/>
      <c r="J11" s="521"/>
      <c r="K11" s="521"/>
      <c r="L11" s="521"/>
      <c r="M11" s="521"/>
      <c r="N11" s="181">
        <f t="shared" si="0"/>
        <v>0</v>
      </c>
      <c r="O11" s="182"/>
    </row>
    <row r="12" spans="1:15" x14ac:dyDescent="0.25">
      <c r="A12" s="141" t="s">
        <v>76</v>
      </c>
      <c r="B12" s="183">
        <f t="shared" ref="B12:H12" si="1">SUM(B7:B11)</f>
        <v>6.4690000000000003</v>
      </c>
      <c r="C12" s="183">
        <f t="shared" si="1"/>
        <v>9.99</v>
      </c>
      <c r="D12" s="183">
        <f t="shared" si="1"/>
        <v>12.686</v>
      </c>
      <c r="E12" s="183">
        <f t="shared" si="1"/>
        <v>8.9809999999999999</v>
      </c>
      <c r="F12" s="183">
        <f t="shared" si="1"/>
        <v>10.758000000000001</v>
      </c>
      <c r="G12" s="183">
        <f t="shared" si="1"/>
        <v>4.8549999999999995</v>
      </c>
      <c r="H12" s="183">
        <f t="shared" si="1"/>
        <v>9.8000000000000007</v>
      </c>
      <c r="I12" s="183">
        <f>SUM(I7:I11)</f>
        <v>0</v>
      </c>
      <c r="J12" s="183">
        <f>SUM(J7:J11)</f>
        <v>0</v>
      </c>
      <c r="K12" s="183">
        <f>SUM(K7:K11)</f>
        <v>0</v>
      </c>
      <c r="L12" s="183">
        <f>SUM(L7:L11)</f>
        <v>0</v>
      </c>
      <c r="M12" s="183">
        <f>SUM(M7:M11)</f>
        <v>0</v>
      </c>
      <c r="N12" s="184">
        <f t="shared" si="0"/>
        <v>63.539000000000001</v>
      </c>
    </row>
    <row r="13" spans="1:15" x14ac:dyDescent="0.25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1"/>
    </row>
    <row r="14" spans="1:15" x14ac:dyDescent="0.25">
      <c r="A14" s="178" t="s">
        <v>77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1"/>
    </row>
    <row r="15" spans="1:15" x14ac:dyDescent="0.25">
      <c r="A15" s="179" t="s">
        <v>78</v>
      </c>
      <c r="B15" s="180">
        <v>0</v>
      </c>
      <c r="C15" s="180">
        <v>0</v>
      </c>
      <c r="D15" s="180">
        <v>0</v>
      </c>
      <c r="E15" s="180">
        <v>0</v>
      </c>
      <c r="F15" s="180">
        <v>0</v>
      </c>
      <c r="G15" s="180">
        <v>0</v>
      </c>
      <c r="H15" s="521">
        <v>0</v>
      </c>
      <c r="I15" s="521"/>
      <c r="J15" s="521"/>
      <c r="K15" s="521"/>
      <c r="L15" s="521"/>
      <c r="M15" s="521"/>
      <c r="N15" s="181">
        <f>SUM(B15:M15)</f>
        <v>0</v>
      </c>
    </row>
    <row r="16" spans="1:15" x14ac:dyDescent="0.25">
      <c r="A16" s="141" t="s">
        <v>79</v>
      </c>
      <c r="B16" s="183">
        <f t="shared" ref="B16:H16" si="2">SUM(B15:B15)</f>
        <v>0</v>
      </c>
      <c r="C16" s="183">
        <f t="shared" si="2"/>
        <v>0</v>
      </c>
      <c r="D16" s="183">
        <f t="shared" si="2"/>
        <v>0</v>
      </c>
      <c r="E16" s="183">
        <f t="shared" si="2"/>
        <v>0</v>
      </c>
      <c r="F16" s="183">
        <f t="shared" si="2"/>
        <v>0</v>
      </c>
      <c r="G16" s="183">
        <f t="shared" si="2"/>
        <v>0</v>
      </c>
      <c r="H16" s="183">
        <f t="shared" si="2"/>
        <v>0</v>
      </c>
      <c r="I16" s="183">
        <f>SUM(I15:I15)</f>
        <v>0</v>
      </c>
      <c r="J16" s="183">
        <f>SUM(J15:J15)</f>
        <v>0</v>
      </c>
      <c r="K16" s="183">
        <f>SUM(K15:K15)</f>
        <v>0</v>
      </c>
      <c r="L16" s="183">
        <f>SUM(L15:L15)</f>
        <v>0</v>
      </c>
      <c r="M16" s="183">
        <f>SUM(M15:M15)</f>
        <v>0</v>
      </c>
      <c r="N16" s="184">
        <f>SUM(B16:M16)</f>
        <v>0</v>
      </c>
    </row>
    <row r="17" spans="1:19" x14ac:dyDescent="0.25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19" x14ac:dyDescent="0.25">
      <c r="A18" s="178" t="s">
        <v>80</v>
      </c>
      <c r="B18" s="180" t="s">
        <v>13</v>
      </c>
      <c r="C18" s="180" t="s">
        <v>13</v>
      </c>
      <c r="D18" s="180" t="s">
        <v>13</v>
      </c>
      <c r="E18" s="180"/>
      <c r="F18" s="180" t="s">
        <v>13</v>
      </c>
      <c r="G18" s="176"/>
      <c r="H18" s="180" t="s">
        <v>13</v>
      </c>
      <c r="I18" s="180" t="s">
        <v>13</v>
      </c>
      <c r="J18" s="180" t="s">
        <v>13</v>
      </c>
      <c r="K18" s="180" t="s">
        <v>13</v>
      </c>
      <c r="L18" s="180" t="s">
        <v>13</v>
      </c>
      <c r="M18" s="180" t="s">
        <v>13</v>
      </c>
      <c r="N18" s="181" t="s">
        <v>13</v>
      </c>
    </row>
    <row r="19" spans="1:19" x14ac:dyDescent="0.25">
      <c r="A19" s="179" t="s">
        <v>81</v>
      </c>
      <c r="B19" s="186">
        <v>0</v>
      </c>
      <c r="C19" s="180">
        <v>0</v>
      </c>
      <c r="D19" s="180">
        <v>0</v>
      </c>
      <c r="E19" s="180">
        <v>0</v>
      </c>
      <c r="F19" s="180">
        <v>0</v>
      </c>
      <c r="G19" s="180">
        <v>0</v>
      </c>
      <c r="H19" s="522">
        <v>0</v>
      </c>
      <c r="I19" s="523"/>
      <c r="J19" s="524"/>
      <c r="K19" s="523"/>
      <c r="L19" s="524"/>
      <c r="M19" s="523"/>
      <c r="N19" s="181">
        <f>SUM(B19:M19)</f>
        <v>0</v>
      </c>
    </row>
    <row r="20" spans="1:19" x14ac:dyDescent="0.25">
      <c r="A20" s="153" t="s">
        <v>82</v>
      </c>
      <c r="B20" s="183">
        <f t="shared" ref="B20:H20" si="3">SUM(B19:B19)</f>
        <v>0</v>
      </c>
      <c r="C20" s="183">
        <f t="shared" si="3"/>
        <v>0</v>
      </c>
      <c r="D20" s="183">
        <f t="shared" si="3"/>
        <v>0</v>
      </c>
      <c r="E20" s="183">
        <f t="shared" si="3"/>
        <v>0</v>
      </c>
      <c r="F20" s="183">
        <f t="shared" si="3"/>
        <v>0</v>
      </c>
      <c r="G20" s="183">
        <f t="shared" si="3"/>
        <v>0</v>
      </c>
      <c r="H20" s="183">
        <f t="shared" si="3"/>
        <v>0</v>
      </c>
      <c r="I20" s="183">
        <f>SUM(I19:I19)</f>
        <v>0</v>
      </c>
      <c r="J20" s="183">
        <f>SUM(J19:J19)</f>
        <v>0</v>
      </c>
      <c r="K20" s="183">
        <f>SUM(K19:K19)</f>
        <v>0</v>
      </c>
      <c r="L20" s="183">
        <f>SUM(L19:L19)</f>
        <v>0</v>
      </c>
      <c r="M20" s="183">
        <f>SUM(M19:M19)</f>
        <v>0</v>
      </c>
      <c r="N20" s="184">
        <f>SUM(B20:M20)</f>
        <v>0</v>
      </c>
    </row>
    <row r="21" spans="1:19" x14ac:dyDescent="0.25">
      <c r="A21" s="189"/>
      <c r="B21" s="186"/>
      <c r="C21" s="186"/>
      <c r="D21" s="186"/>
      <c r="E21" s="186"/>
      <c r="F21" s="186"/>
      <c r="G21" s="190"/>
      <c r="H21" s="186"/>
      <c r="I21" s="190"/>
      <c r="J21" s="186"/>
      <c r="K21" s="186"/>
      <c r="L21" s="190"/>
      <c r="M21" s="186"/>
      <c r="N21" s="187"/>
    </row>
    <row r="22" spans="1:19" x14ac:dyDescent="0.25">
      <c r="A22" s="191" t="s">
        <v>83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7"/>
    </row>
    <row r="23" spans="1:19" x14ac:dyDescent="0.25">
      <c r="A23" s="179" t="s">
        <v>258</v>
      </c>
      <c r="B23" s="188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524">
        <v>0</v>
      </c>
      <c r="I23" s="524"/>
      <c r="J23" s="524"/>
      <c r="K23" s="524"/>
      <c r="L23" s="524"/>
      <c r="M23" s="524"/>
      <c r="N23" s="187">
        <f>SUM(B23:M23)</f>
        <v>0</v>
      </c>
    </row>
    <row r="24" spans="1:19" x14ac:dyDescent="0.25">
      <c r="A24" s="179" t="s">
        <v>12</v>
      </c>
      <c r="B24" s="188">
        <v>0</v>
      </c>
      <c r="C24" s="188">
        <v>0</v>
      </c>
      <c r="D24" s="188">
        <v>0</v>
      </c>
      <c r="E24" s="188">
        <v>0</v>
      </c>
      <c r="F24" s="188">
        <v>0</v>
      </c>
      <c r="G24" s="188">
        <v>0</v>
      </c>
      <c r="H24" s="524">
        <v>0</v>
      </c>
      <c r="I24" s="524"/>
      <c r="J24" s="524"/>
      <c r="K24" s="524"/>
      <c r="L24" s="524"/>
      <c r="M24" s="524"/>
      <c r="N24" s="187">
        <f>SUM(B24:M24)</f>
        <v>0</v>
      </c>
    </row>
    <row r="25" spans="1:19" x14ac:dyDescent="0.25">
      <c r="A25" s="179" t="s">
        <v>28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524">
        <v>0</v>
      </c>
      <c r="I25" s="524"/>
      <c r="J25" s="524"/>
      <c r="K25" s="524"/>
      <c r="L25" s="524"/>
      <c r="M25" s="524"/>
      <c r="N25" s="187">
        <f>SUM(B25:M25)</f>
        <v>0</v>
      </c>
    </row>
    <row r="26" spans="1:19" x14ac:dyDescent="0.25">
      <c r="A26" s="179" t="s">
        <v>75</v>
      </c>
      <c r="B26" s="188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524">
        <v>0</v>
      </c>
      <c r="I26" s="524"/>
      <c r="J26" s="524"/>
      <c r="K26" s="524"/>
      <c r="L26" s="524"/>
      <c r="M26" s="525"/>
      <c r="N26" s="187">
        <f>SUM(B26:M26)</f>
        <v>0</v>
      </c>
    </row>
    <row r="27" spans="1:19" x14ac:dyDescent="0.25">
      <c r="A27" s="192" t="s">
        <v>84</v>
      </c>
      <c r="B27" s="183">
        <f t="shared" ref="B27:H27" si="4">SUM(B23:B26)</f>
        <v>0</v>
      </c>
      <c r="C27" s="183">
        <f t="shared" si="4"/>
        <v>0</v>
      </c>
      <c r="D27" s="183">
        <f t="shared" si="4"/>
        <v>0</v>
      </c>
      <c r="E27" s="183">
        <f t="shared" si="4"/>
        <v>0</v>
      </c>
      <c r="F27" s="183">
        <f t="shared" si="4"/>
        <v>0</v>
      </c>
      <c r="G27" s="183">
        <f t="shared" si="4"/>
        <v>0</v>
      </c>
      <c r="H27" s="183">
        <f t="shared" si="4"/>
        <v>0</v>
      </c>
      <c r="I27" s="183">
        <f>SUM(I22:I26)</f>
        <v>0</v>
      </c>
      <c r="J27" s="183">
        <f>SUM(J23:J26)</f>
        <v>0</v>
      </c>
      <c r="K27" s="183">
        <f>SUM(K23:K26)</f>
        <v>0</v>
      </c>
      <c r="L27" s="183">
        <f>SUM(L23:L26)</f>
        <v>0</v>
      </c>
      <c r="M27" s="183">
        <f>SUM(M23:M26)</f>
        <v>0</v>
      </c>
      <c r="N27" s="184">
        <f>SUM(B27:M27)</f>
        <v>0</v>
      </c>
      <c r="O27" s="182"/>
    </row>
    <row r="28" spans="1:19" ht="10.199999999999999" customHeight="1" x14ac:dyDescent="0.25">
      <c r="A28" s="193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4"/>
    </row>
    <row r="29" spans="1:19" ht="15" customHeight="1" x14ac:dyDescent="0.25">
      <c r="A29" s="195" t="s">
        <v>85</v>
      </c>
      <c r="B29" s="196">
        <v>0</v>
      </c>
      <c r="C29" s="196">
        <v>0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83">
        <v>0</v>
      </c>
      <c r="K29" s="183">
        <v>0</v>
      </c>
      <c r="L29" s="197">
        <v>0</v>
      </c>
      <c r="M29" s="198">
        <v>0</v>
      </c>
      <c r="N29" s="199">
        <f>SUM(B29:M29)</f>
        <v>0</v>
      </c>
      <c r="O29" s="188"/>
      <c r="P29" s="188"/>
      <c r="Q29" s="188"/>
      <c r="R29" s="188"/>
      <c r="S29" s="200"/>
    </row>
    <row r="30" spans="1:19" ht="28.2" customHeight="1" thickBot="1" x14ac:dyDescent="0.3">
      <c r="A30" s="163" t="s">
        <v>86</v>
      </c>
      <c r="B30" s="201">
        <f t="shared" ref="B30:H30" si="5">B12+B16+B20+B27+B29</f>
        <v>6.4690000000000003</v>
      </c>
      <c r="C30" s="201">
        <f t="shared" si="5"/>
        <v>9.99</v>
      </c>
      <c r="D30" s="201">
        <f t="shared" si="5"/>
        <v>12.686</v>
      </c>
      <c r="E30" s="201">
        <f t="shared" si="5"/>
        <v>8.9809999999999999</v>
      </c>
      <c r="F30" s="201">
        <f t="shared" si="5"/>
        <v>10.758000000000001</v>
      </c>
      <c r="G30" s="201">
        <f t="shared" si="5"/>
        <v>4.8549999999999995</v>
      </c>
      <c r="H30" s="201">
        <f t="shared" si="5"/>
        <v>9.8000000000000007</v>
      </c>
      <c r="I30" s="201">
        <f>I12+I16+I20+I27+I29</f>
        <v>0</v>
      </c>
      <c r="J30" s="201">
        <f>J12+J16+J20+J27+J29</f>
        <v>0</v>
      </c>
      <c r="K30" s="201">
        <f>K12+K16+K20+K27+K29</f>
        <v>0</v>
      </c>
      <c r="L30" s="201">
        <f>L12+L16+L20+L27+L29</f>
        <v>0</v>
      </c>
      <c r="M30" s="201">
        <f>M12+M16+M20+M27+M29</f>
        <v>0</v>
      </c>
      <c r="N30" s="202">
        <f>SUM(B30:M30)</f>
        <v>63.539000000000001</v>
      </c>
      <c r="O30" s="182"/>
    </row>
    <row r="31" spans="1:19" ht="11.4" customHeight="1" x14ac:dyDescent="0.25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</row>
    <row r="32" spans="1:19" ht="11.4" customHeight="1" x14ac:dyDescent="0.25">
      <c r="A32" s="205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</row>
    <row r="33" spans="1:14" ht="11.4" customHeight="1" x14ac:dyDescent="0.25">
      <c r="A33" s="646" t="s">
        <v>87</v>
      </c>
      <c r="B33" s="646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</row>
    <row r="34" spans="1:14" x14ac:dyDescent="0.25">
      <c r="A34" s="113"/>
    </row>
    <row r="36" spans="1:14" x14ac:dyDescent="0.25">
      <c r="H36" s="182"/>
    </row>
  </sheetData>
  <sheetProtection password="F01B" sheet="1" objects="1" scenarios="1"/>
  <mergeCells count="1">
    <mergeCell ref="A33:N33"/>
  </mergeCells>
  <printOptions horizontalCentered="1" verticalCentered="1"/>
  <pageMargins left="0.25" right="0.25" top="0.75" bottom="0.5" header="0.3" footer="0.5"/>
  <pageSetup scale="73" orientation="landscape" r:id="rId1"/>
  <headerFooter alignWithMargins="0">
    <oddHeader xml:space="preserve">&amp;C&amp;"Arial,Bold"SDGE GRC Programs
2016 
$000
&amp;"Arial,Regular"
</oddHeader>
    <oddFooter>&amp;L&amp;F&amp;R&amp;D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showGridLines="0" view="pageBreakPreview" topLeftCell="A2" zoomScale="75" zoomScaleNormal="100" zoomScaleSheetLayoutView="75" workbookViewId="0">
      <pane xSplit="1" ySplit="2" topLeftCell="B4" activePane="bottomRight" state="frozen"/>
      <selection sqref="A1:XFD1048576"/>
      <selection pane="topRight" sqref="A1:XFD1048576"/>
      <selection pane="bottomLeft" sqref="A1:XFD1048576"/>
      <selection pane="bottomRight" activeCell="A2" sqref="A2"/>
    </sheetView>
  </sheetViews>
  <sheetFormatPr defaultColWidth="9.109375" defaultRowHeight="13.2" x14ac:dyDescent="0.25"/>
  <cols>
    <col min="1" max="1" width="39.44140625" style="102" customWidth="1"/>
    <col min="2" max="2" width="11" style="102" customWidth="1"/>
    <col min="3" max="3" width="9.6640625" style="102" customWidth="1"/>
    <col min="4" max="4" width="11" style="102" customWidth="1"/>
    <col min="5" max="5" width="11.6640625" style="102" customWidth="1"/>
    <col min="6" max="8" width="11" style="102" customWidth="1"/>
    <col min="9" max="9" width="10.33203125" style="102" bestFit="1" customWidth="1"/>
    <col min="10" max="13" width="11" style="102" customWidth="1"/>
    <col min="14" max="14" width="15.6640625" style="102" bestFit="1" customWidth="1"/>
    <col min="15" max="15" width="9.6640625" style="102" bestFit="1" customWidth="1"/>
    <col min="16" max="16" width="9.109375" style="102"/>
    <col min="17" max="17" width="22.33203125" style="102" customWidth="1"/>
    <col min="18" max="16384" width="9.109375" style="102"/>
  </cols>
  <sheetData>
    <row r="2" spans="1:15" ht="13.8" thickBot="1" x14ac:dyDescent="0.3">
      <c r="A2" s="171"/>
    </row>
    <row r="3" spans="1:15" ht="31.65" customHeight="1" x14ac:dyDescent="0.25">
      <c r="A3" s="172" t="s">
        <v>17</v>
      </c>
      <c r="B3" s="173" t="s">
        <v>0</v>
      </c>
      <c r="C3" s="173" t="s">
        <v>1</v>
      </c>
      <c r="D3" s="173" t="s">
        <v>2</v>
      </c>
      <c r="E3" s="173" t="s">
        <v>3</v>
      </c>
      <c r="F3" s="173" t="s">
        <v>4</v>
      </c>
      <c r="G3" s="173" t="s">
        <v>5</v>
      </c>
      <c r="H3" s="173" t="s">
        <v>6</v>
      </c>
      <c r="I3" s="173" t="s">
        <v>7</v>
      </c>
      <c r="J3" s="173" t="s">
        <v>8</v>
      </c>
      <c r="K3" s="173" t="s">
        <v>9</v>
      </c>
      <c r="L3" s="173" t="s">
        <v>10</v>
      </c>
      <c r="M3" s="173" t="s">
        <v>11</v>
      </c>
      <c r="N3" s="174" t="s">
        <v>16</v>
      </c>
    </row>
    <row r="4" spans="1:15" ht="16.8" x14ac:dyDescent="0.3">
      <c r="A4" s="175" t="s">
        <v>72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7"/>
    </row>
    <row r="5" spans="1:15" ht="6" customHeight="1" x14ac:dyDescent="0.25">
      <c r="A5" s="178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7"/>
    </row>
    <row r="6" spans="1:15" x14ac:dyDescent="0.25">
      <c r="A6" s="178" t="s">
        <v>73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</row>
    <row r="7" spans="1:15" x14ac:dyDescent="0.25">
      <c r="A7" s="179" t="s">
        <v>232</v>
      </c>
      <c r="B7" s="180">
        <v>0</v>
      </c>
      <c r="C7" s="180">
        <v>0</v>
      </c>
      <c r="D7" s="180">
        <v>5.9290000000000003</v>
      </c>
      <c r="E7" s="180">
        <v>32.213999999999999</v>
      </c>
      <c r="F7" s="180">
        <v>17.120999999999999</v>
      </c>
      <c r="G7" s="180">
        <v>48.078000000000003</v>
      </c>
      <c r="H7" s="521">
        <v>28.6</v>
      </c>
      <c r="I7" s="521"/>
      <c r="J7" s="521"/>
      <c r="K7" s="521"/>
      <c r="L7" s="521"/>
      <c r="M7" s="521"/>
      <c r="N7" s="181">
        <f t="shared" ref="N7:N12" si="0">SUM(B7:M7)</f>
        <v>131.94200000000001</v>
      </c>
    </row>
    <row r="8" spans="1:15" ht="14.25" customHeight="1" x14ac:dyDescent="0.25">
      <c r="A8" s="179"/>
      <c r="B8" s="180"/>
      <c r="C8" s="180"/>
      <c r="D8" s="180"/>
      <c r="E8" s="180"/>
      <c r="F8" s="180"/>
      <c r="G8" s="180"/>
      <c r="H8" s="521"/>
      <c r="I8" s="521"/>
      <c r="J8" s="521"/>
      <c r="K8" s="521"/>
      <c r="L8" s="521"/>
      <c r="M8" s="521"/>
      <c r="N8" s="181">
        <f t="shared" si="0"/>
        <v>0</v>
      </c>
    </row>
    <row r="9" spans="1:15" x14ac:dyDescent="0.25">
      <c r="A9" s="179"/>
      <c r="B9" s="180"/>
      <c r="C9" s="180"/>
      <c r="D9" s="180"/>
      <c r="E9" s="180"/>
      <c r="F9" s="180"/>
      <c r="G9" s="180"/>
      <c r="H9" s="521"/>
      <c r="I9" s="521"/>
      <c r="J9" s="521"/>
      <c r="K9" s="521"/>
      <c r="L9" s="521"/>
      <c r="M9" s="521"/>
      <c r="N9" s="181">
        <f t="shared" si="0"/>
        <v>0</v>
      </c>
    </row>
    <row r="10" spans="1:15" x14ac:dyDescent="0.25">
      <c r="A10" s="179"/>
      <c r="B10" s="180"/>
      <c r="C10" s="180"/>
      <c r="D10" s="180"/>
      <c r="E10" s="180"/>
      <c r="F10" s="180"/>
      <c r="G10" s="180"/>
      <c r="H10" s="521"/>
      <c r="I10" s="521"/>
      <c r="J10" s="521"/>
      <c r="K10" s="521"/>
      <c r="L10" s="521"/>
      <c r="M10" s="521"/>
      <c r="N10" s="181">
        <f t="shared" si="0"/>
        <v>0</v>
      </c>
    </row>
    <row r="11" spans="1:15" x14ac:dyDescent="0.25">
      <c r="A11" s="179"/>
      <c r="B11" s="180"/>
      <c r="C11" s="180"/>
      <c r="D11" s="180"/>
      <c r="E11" s="180"/>
      <c r="F11" s="180"/>
      <c r="G11" s="180"/>
      <c r="H11" s="521"/>
      <c r="I11" s="521"/>
      <c r="J11" s="521"/>
      <c r="K11" s="521"/>
      <c r="L11" s="521"/>
      <c r="M11" s="521"/>
      <c r="N11" s="181">
        <f t="shared" si="0"/>
        <v>0</v>
      </c>
      <c r="O11" s="182"/>
    </row>
    <row r="12" spans="1:15" x14ac:dyDescent="0.25">
      <c r="A12" s="141" t="s">
        <v>76</v>
      </c>
      <c r="B12" s="183">
        <f t="shared" ref="B12:H12" si="1">SUM(B7:B11)</f>
        <v>0</v>
      </c>
      <c r="C12" s="183">
        <f t="shared" si="1"/>
        <v>0</v>
      </c>
      <c r="D12" s="183">
        <f t="shared" si="1"/>
        <v>5.9290000000000003</v>
      </c>
      <c r="E12" s="183">
        <f t="shared" si="1"/>
        <v>32.213999999999999</v>
      </c>
      <c r="F12" s="183">
        <f t="shared" si="1"/>
        <v>17.120999999999999</v>
      </c>
      <c r="G12" s="183">
        <f t="shared" si="1"/>
        <v>48.078000000000003</v>
      </c>
      <c r="H12" s="183">
        <f t="shared" si="1"/>
        <v>28.6</v>
      </c>
      <c r="I12" s="183">
        <f>SUM(I7:I11)</f>
        <v>0</v>
      </c>
      <c r="J12" s="183">
        <f>SUM(J7:J11)</f>
        <v>0</v>
      </c>
      <c r="K12" s="183">
        <f>SUM(K7:K11)</f>
        <v>0</v>
      </c>
      <c r="L12" s="183">
        <f>SUM(L7:L11)</f>
        <v>0</v>
      </c>
      <c r="M12" s="183">
        <f>SUM(M7:M11)</f>
        <v>0</v>
      </c>
      <c r="N12" s="184">
        <f t="shared" si="0"/>
        <v>131.94200000000001</v>
      </c>
    </row>
    <row r="13" spans="1:15" x14ac:dyDescent="0.25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1"/>
    </row>
    <row r="14" spans="1:15" x14ac:dyDescent="0.25">
      <c r="A14" s="178" t="s">
        <v>77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1"/>
    </row>
    <row r="15" spans="1:15" x14ac:dyDescent="0.25">
      <c r="A15" s="179"/>
      <c r="B15" s="180">
        <v>0</v>
      </c>
      <c r="C15" s="180">
        <v>0</v>
      </c>
      <c r="D15" s="180">
        <v>0</v>
      </c>
      <c r="E15" s="180">
        <v>0</v>
      </c>
      <c r="F15" s="180">
        <v>0</v>
      </c>
      <c r="G15" s="180">
        <v>0</v>
      </c>
      <c r="H15" s="521">
        <v>0</v>
      </c>
      <c r="I15" s="521"/>
      <c r="J15" s="521"/>
      <c r="K15" s="521"/>
      <c r="L15" s="521"/>
      <c r="M15" s="521"/>
      <c r="N15" s="181">
        <f>SUM(B15:M15)</f>
        <v>0</v>
      </c>
    </row>
    <row r="16" spans="1:15" x14ac:dyDescent="0.25">
      <c r="A16" s="141" t="s">
        <v>79</v>
      </c>
      <c r="B16" s="183">
        <f t="shared" ref="B16:H16" si="2">SUM(B15:B15)</f>
        <v>0</v>
      </c>
      <c r="C16" s="183">
        <f t="shared" si="2"/>
        <v>0</v>
      </c>
      <c r="D16" s="183">
        <f t="shared" si="2"/>
        <v>0</v>
      </c>
      <c r="E16" s="183">
        <f t="shared" si="2"/>
        <v>0</v>
      </c>
      <c r="F16" s="183">
        <f t="shared" si="2"/>
        <v>0</v>
      </c>
      <c r="G16" s="183">
        <f t="shared" si="2"/>
        <v>0</v>
      </c>
      <c r="H16" s="183">
        <f t="shared" si="2"/>
        <v>0</v>
      </c>
      <c r="I16" s="183">
        <f>SUM(I15:I15)</f>
        <v>0</v>
      </c>
      <c r="J16" s="183">
        <f>SUM(J15:J15)</f>
        <v>0</v>
      </c>
      <c r="K16" s="183">
        <f>SUM(K15:K15)</f>
        <v>0</v>
      </c>
      <c r="L16" s="183">
        <f>SUM(L15:L15)</f>
        <v>0</v>
      </c>
      <c r="M16" s="183">
        <f>SUM(M15:M15)</f>
        <v>0</v>
      </c>
      <c r="N16" s="184">
        <f>SUM(B16:M16)</f>
        <v>0</v>
      </c>
    </row>
    <row r="17" spans="1:19" x14ac:dyDescent="0.25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19" x14ac:dyDescent="0.25">
      <c r="A18" s="178" t="s">
        <v>80</v>
      </c>
      <c r="B18" s="180" t="s">
        <v>13</v>
      </c>
      <c r="C18" s="180" t="s">
        <v>13</v>
      </c>
      <c r="D18" s="180" t="s">
        <v>13</v>
      </c>
      <c r="E18" s="180"/>
      <c r="F18" s="180" t="s">
        <v>13</v>
      </c>
      <c r="G18" s="176"/>
      <c r="H18" s="521" t="s">
        <v>13</v>
      </c>
      <c r="I18" s="521" t="s">
        <v>13</v>
      </c>
      <c r="J18" s="521" t="s">
        <v>13</v>
      </c>
      <c r="K18" s="521" t="s">
        <v>13</v>
      </c>
      <c r="L18" s="521" t="s">
        <v>13</v>
      </c>
      <c r="M18" s="521" t="s">
        <v>13</v>
      </c>
      <c r="N18" s="181" t="s">
        <v>13</v>
      </c>
    </row>
    <row r="19" spans="1:19" x14ac:dyDescent="0.25">
      <c r="A19" s="179"/>
      <c r="B19" s="186">
        <v>0</v>
      </c>
      <c r="C19" s="180">
        <v>0</v>
      </c>
      <c r="D19" s="180">
        <v>0</v>
      </c>
      <c r="E19" s="180">
        <v>0</v>
      </c>
      <c r="F19" s="180">
        <v>0</v>
      </c>
      <c r="G19" s="180">
        <v>0</v>
      </c>
      <c r="H19" s="522">
        <v>0</v>
      </c>
      <c r="I19" s="523"/>
      <c r="J19" s="524"/>
      <c r="K19" s="523"/>
      <c r="L19" s="524"/>
      <c r="M19" s="523"/>
      <c r="N19" s="181">
        <f>SUM(B19:M19)</f>
        <v>0</v>
      </c>
    </row>
    <row r="20" spans="1:19" x14ac:dyDescent="0.25">
      <c r="A20" s="153" t="s">
        <v>82</v>
      </c>
      <c r="B20" s="183">
        <f t="shared" ref="B20:H20" si="3">SUM(B19:B19)</f>
        <v>0</v>
      </c>
      <c r="C20" s="183">
        <f t="shared" si="3"/>
        <v>0</v>
      </c>
      <c r="D20" s="183">
        <f t="shared" si="3"/>
        <v>0</v>
      </c>
      <c r="E20" s="183">
        <f t="shared" si="3"/>
        <v>0</v>
      </c>
      <c r="F20" s="183">
        <f t="shared" si="3"/>
        <v>0</v>
      </c>
      <c r="G20" s="183">
        <f t="shared" si="3"/>
        <v>0</v>
      </c>
      <c r="H20" s="183">
        <f t="shared" si="3"/>
        <v>0</v>
      </c>
      <c r="I20" s="183">
        <f>SUM(I19:I19)</f>
        <v>0</v>
      </c>
      <c r="J20" s="183">
        <f>SUM(J19:J19)</f>
        <v>0</v>
      </c>
      <c r="K20" s="183">
        <f>SUM(K19:K19)</f>
        <v>0</v>
      </c>
      <c r="L20" s="183">
        <f>SUM(L19:L19)</f>
        <v>0</v>
      </c>
      <c r="M20" s="183">
        <f>SUM(M19:M19)</f>
        <v>0</v>
      </c>
      <c r="N20" s="184">
        <f>SUM(B20:M20)</f>
        <v>0</v>
      </c>
    </row>
    <row r="21" spans="1:19" x14ac:dyDescent="0.25">
      <c r="A21" s="189"/>
      <c r="B21" s="186"/>
      <c r="C21" s="186"/>
      <c r="D21" s="186"/>
      <c r="E21" s="186"/>
      <c r="F21" s="186"/>
      <c r="G21" s="190"/>
      <c r="H21" s="186"/>
      <c r="I21" s="190"/>
      <c r="J21" s="186"/>
      <c r="K21" s="186"/>
      <c r="L21" s="190"/>
      <c r="M21" s="186"/>
      <c r="N21" s="187"/>
    </row>
    <row r="22" spans="1:19" x14ac:dyDescent="0.25">
      <c r="A22" s="191" t="s">
        <v>83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7"/>
    </row>
    <row r="23" spans="1:19" x14ac:dyDescent="0.25">
      <c r="A23" s="179"/>
      <c r="B23" s="188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524">
        <v>0</v>
      </c>
      <c r="I23" s="524"/>
      <c r="J23" s="524"/>
      <c r="K23" s="524"/>
      <c r="L23" s="524"/>
      <c r="M23" s="524"/>
      <c r="N23" s="187">
        <f>SUM(B23:M23)</f>
        <v>0</v>
      </c>
    </row>
    <row r="24" spans="1:19" x14ac:dyDescent="0.25">
      <c r="A24" s="179"/>
      <c r="B24" s="188"/>
      <c r="C24" s="188"/>
      <c r="D24" s="188"/>
      <c r="E24" s="188"/>
      <c r="F24" s="188"/>
      <c r="G24" s="188"/>
      <c r="H24" s="524"/>
      <c r="I24" s="524"/>
      <c r="J24" s="524"/>
      <c r="K24" s="524"/>
      <c r="L24" s="524"/>
      <c r="M24" s="524"/>
      <c r="N24" s="187">
        <f>SUM(B24:M24)</f>
        <v>0</v>
      </c>
    </row>
    <row r="25" spans="1:19" x14ac:dyDescent="0.25">
      <c r="A25" s="179"/>
      <c r="B25" s="188"/>
      <c r="C25" s="188"/>
      <c r="D25" s="188"/>
      <c r="E25" s="188"/>
      <c r="F25" s="188"/>
      <c r="G25" s="188"/>
      <c r="H25" s="524"/>
      <c r="I25" s="524"/>
      <c r="J25" s="524"/>
      <c r="K25" s="524"/>
      <c r="L25" s="524"/>
      <c r="M25" s="524"/>
      <c r="N25" s="187">
        <f>SUM(B25:M25)</f>
        <v>0</v>
      </c>
    </row>
    <row r="26" spans="1:19" x14ac:dyDescent="0.25">
      <c r="A26" s="179"/>
      <c r="B26" s="188"/>
      <c r="C26" s="188"/>
      <c r="D26" s="188"/>
      <c r="E26" s="188"/>
      <c r="F26" s="188"/>
      <c r="G26" s="188"/>
      <c r="H26" s="524"/>
      <c r="I26" s="524"/>
      <c r="J26" s="524"/>
      <c r="K26" s="524"/>
      <c r="L26" s="524"/>
      <c r="M26" s="525"/>
      <c r="N26" s="187">
        <f>SUM(B26:M26)</f>
        <v>0</v>
      </c>
    </row>
    <row r="27" spans="1:19" x14ac:dyDescent="0.25">
      <c r="A27" s="192" t="s">
        <v>84</v>
      </c>
      <c r="B27" s="183">
        <f t="shared" ref="B27:H27" si="4">SUM(B23:B26)</f>
        <v>0</v>
      </c>
      <c r="C27" s="183">
        <f t="shared" si="4"/>
        <v>0</v>
      </c>
      <c r="D27" s="183">
        <f t="shared" si="4"/>
        <v>0</v>
      </c>
      <c r="E27" s="183">
        <f t="shared" si="4"/>
        <v>0</v>
      </c>
      <c r="F27" s="183">
        <f t="shared" si="4"/>
        <v>0</v>
      </c>
      <c r="G27" s="183">
        <f t="shared" si="4"/>
        <v>0</v>
      </c>
      <c r="H27" s="183">
        <f t="shared" si="4"/>
        <v>0</v>
      </c>
      <c r="I27" s="183">
        <f>SUM(I22:I26)</f>
        <v>0</v>
      </c>
      <c r="J27" s="183">
        <f>SUM(J23:J26)</f>
        <v>0</v>
      </c>
      <c r="K27" s="183">
        <f>SUM(K23:K26)</f>
        <v>0</v>
      </c>
      <c r="L27" s="183">
        <f>SUM(L23:L26)</f>
        <v>0</v>
      </c>
      <c r="M27" s="183">
        <f>SUM(M23:M26)</f>
        <v>0</v>
      </c>
      <c r="N27" s="184">
        <f>SUM(B27:M27)</f>
        <v>0</v>
      </c>
      <c r="O27" s="182"/>
    </row>
    <row r="28" spans="1:19" ht="10.199999999999999" customHeight="1" x14ac:dyDescent="0.25">
      <c r="A28" s="193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4"/>
    </row>
    <row r="29" spans="1:19" ht="15" customHeight="1" x14ac:dyDescent="0.25">
      <c r="A29" s="195" t="s">
        <v>85</v>
      </c>
      <c r="B29" s="196">
        <v>0</v>
      </c>
      <c r="C29" s="196">
        <v>0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83">
        <v>0</v>
      </c>
      <c r="K29" s="183">
        <v>0</v>
      </c>
      <c r="L29" s="197">
        <v>0</v>
      </c>
      <c r="M29" s="198">
        <v>0</v>
      </c>
      <c r="N29" s="199">
        <f>SUM(B29:M29)</f>
        <v>0</v>
      </c>
      <c r="O29" s="188"/>
      <c r="P29" s="188"/>
      <c r="Q29" s="188"/>
      <c r="R29" s="188"/>
      <c r="S29" s="200"/>
    </row>
    <row r="30" spans="1:19" ht="28.2" customHeight="1" thickBot="1" x14ac:dyDescent="0.3">
      <c r="A30" s="163" t="s">
        <v>233</v>
      </c>
      <c r="B30" s="201">
        <f t="shared" ref="B30:H30" si="5">B12+B16+B20+B27+B29</f>
        <v>0</v>
      </c>
      <c r="C30" s="201">
        <f t="shared" si="5"/>
        <v>0</v>
      </c>
      <c r="D30" s="201">
        <f t="shared" si="5"/>
        <v>5.9290000000000003</v>
      </c>
      <c r="E30" s="201">
        <f t="shared" si="5"/>
        <v>32.213999999999999</v>
      </c>
      <c r="F30" s="201">
        <f t="shared" si="5"/>
        <v>17.120999999999999</v>
      </c>
      <c r="G30" s="201">
        <f t="shared" si="5"/>
        <v>48.078000000000003</v>
      </c>
      <c r="H30" s="201">
        <f t="shared" si="5"/>
        <v>28.6</v>
      </c>
      <c r="I30" s="201">
        <f>I12+I16+I20+I27+I29</f>
        <v>0</v>
      </c>
      <c r="J30" s="201">
        <f>J12+J16+J20+J27+J29</f>
        <v>0</v>
      </c>
      <c r="K30" s="201">
        <f>K12+K16+K20+K27+K29</f>
        <v>0</v>
      </c>
      <c r="L30" s="201">
        <f>L12+L16+L20+L27+L29</f>
        <v>0</v>
      </c>
      <c r="M30" s="201">
        <f>M12+M16+M20+M27+M29</f>
        <v>0</v>
      </c>
      <c r="N30" s="202">
        <f>SUM(B30:M30)</f>
        <v>131.94200000000001</v>
      </c>
      <c r="O30" s="182"/>
    </row>
    <row r="31" spans="1:19" ht="11.4" customHeight="1" x14ac:dyDescent="0.25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</row>
    <row r="32" spans="1:19" ht="11.4" customHeight="1" x14ac:dyDescent="0.25">
      <c r="A32" s="205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</row>
    <row r="33" spans="1:14" ht="11.4" customHeight="1" x14ac:dyDescent="0.25">
      <c r="A33" s="646"/>
      <c r="B33" s="646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</row>
    <row r="34" spans="1:14" x14ac:dyDescent="0.25">
      <c r="A34" s="113"/>
    </row>
    <row r="35" spans="1:14" ht="14.4" x14ac:dyDescent="0.3">
      <c r="E35" s="407"/>
    </row>
    <row r="36" spans="1:14" x14ac:dyDescent="0.25">
      <c r="H36" s="182"/>
    </row>
  </sheetData>
  <sheetProtection password="F01B" sheet="1" objects="1" scenarios="1"/>
  <mergeCells count="1">
    <mergeCell ref="A33:N33"/>
  </mergeCells>
  <printOptions horizontalCentered="1" verticalCentered="1"/>
  <pageMargins left="0.25" right="0.25" top="0.75" bottom="0.5" header="0.3" footer="0.5"/>
  <pageSetup scale="73" orientation="landscape" r:id="rId1"/>
  <headerFooter alignWithMargins="0">
    <oddHeader xml:space="preserve">&amp;C&amp;"Arial,Bold"SDGE Direct Participation DR Memo Account
2016 
$000
&amp;"Arial,Regular"
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31"/>
  <sheetViews>
    <sheetView view="pageBreakPreview" zoomScaleNormal="100" zoomScaleSheetLayoutView="100" workbookViewId="0">
      <selection activeCell="A19" sqref="A19"/>
    </sheetView>
  </sheetViews>
  <sheetFormatPr defaultColWidth="9.109375" defaultRowHeight="13.2" x14ac:dyDescent="0.25"/>
  <cols>
    <col min="1" max="1" width="24.5546875" style="208" bestFit="1" customWidth="1"/>
    <col min="2" max="2" width="8.33203125" style="208" customWidth="1"/>
    <col min="3" max="3" width="9.109375" style="208" customWidth="1"/>
    <col min="4" max="4" width="7.5546875" style="208" customWidth="1"/>
    <col min="5" max="9" width="10.5546875" style="208" customWidth="1"/>
    <col min="10" max="10" width="11.5546875" style="208" customWidth="1"/>
    <col min="11" max="11" width="10.5546875" style="208" customWidth="1"/>
    <col min="12" max="12" width="10.88671875" style="208" customWidth="1"/>
    <col min="13" max="13" width="10.33203125" style="208" customWidth="1"/>
    <col min="14" max="14" width="18.6640625" style="209" customWidth="1"/>
    <col min="15" max="15" width="66.88671875" style="208" customWidth="1"/>
    <col min="16" max="16" width="15" style="208" bestFit="1" customWidth="1"/>
    <col min="17" max="17" width="11.109375" style="208" customWidth="1"/>
    <col min="18" max="18" width="9.88671875" style="208" bestFit="1" customWidth="1"/>
    <col min="19" max="19" width="10.88671875" style="208" customWidth="1"/>
    <col min="20" max="20" width="12.109375" style="208" bestFit="1" customWidth="1"/>
    <col min="21" max="21" width="12.109375" style="208" customWidth="1"/>
    <col min="22" max="22" width="9.5546875" style="208" bestFit="1" customWidth="1"/>
    <col min="23" max="23" width="11.109375" style="208" customWidth="1"/>
    <col min="24" max="24" width="11.6640625" style="208" bestFit="1" customWidth="1"/>
    <col min="25" max="25" width="11.6640625" style="208" customWidth="1"/>
    <col min="26" max="16384" width="9.109375" style="208"/>
  </cols>
  <sheetData>
    <row r="1" spans="1:16" x14ac:dyDescent="0.25">
      <c r="A1" s="207"/>
    </row>
    <row r="2" spans="1:16" x14ac:dyDescent="0.25">
      <c r="E2" s="295"/>
    </row>
    <row r="4" spans="1:16" ht="13.2" customHeight="1" x14ac:dyDescent="0.25">
      <c r="A4" s="210"/>
      <c r="B4" s="625" t="s">
        <v>114</v>
      </c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6" t="s">
        <v>227</v>
      </c>
      <c r="O4" s="210"/>
    </row>
    <row r="5" spans="1:16" ht="38.25" customHeight="1" x14ac:dyDescent="0.25">
      <c r="A5" s="211" t="s">
        <v>42</v>
      </c>
      <c r="B5" s="212" t="s">
        <v>0</v>
      </c>
      <c r="C5" s="212" t="s">
        <v>1</v>
      </c>
      <c r="D5" s="212" t="s">
        <v>2</v>
      </c>
      <c r="E5" s="212" t="s">
        <v>3</v>
      </c>
      <c r="F5" s="212" t="s">
        <v>4</v>
      </c>
      <c r="G5" s="212" t="s">
        <v>5</v>
      </c>
      <c r="H5" s="212" t="s">
        <v>6</v>
      </c>
      <c r="I5" s="212" t="s">
        <v>43</v>
      </c>
      <c r="J5" s="212" t="s">
        <v>44</v>
      </c>
      <c r="K5" s="212" t="s">
        <v>9</v>
      </c>
      <c r="L5" s="212" t="s">
        <v>45</v>
      </c>
      <c r="M5" s="212" t="s">
        <v>11</v>
      </c>
      <c r="N5" s="627"/>
      <c r="O5" s="213" t="s">
        <v>115</v>
      </c>
    </row>
    <row r="6" spans="1:16" ht="42.75" customHeight="1" x14ac:dyDescent="0.25">
      <c r="A6" s="214" t="s">
        <v>61</v>
      </c>
      <c r="B6" s="215">
        <v>374.13756857142852</v>
      </c>
      <c r="C6" s="215">
        <v>383.20331142857145</v>
      </c>
      <c r="D6" s="419">
        <v>390.74074000000002</v>
      </c>
      <c r="E6" s="215">
        <v>283.31736000000001</v>
      </c>
      <c r="F6" s="215">
        <v>304.22810000000004</v>
      </c>
      <c r="G6" s="215">
        <v>309.61218000000002</v>
      </c>
      <c r="H6" s="215">
        <v>227.90180000000001</v>
      </c>
      <c r="I6" s="215">
        <v>200.75487800000002</v>
      </c>
      <c r="J6" s="215">
        <v>242.25064000000003</v>
      </c>
      <c r="K6" s="215">
        <v>278.72230000000002</v>
      </c>
      <c r="L6" s="215">
        <v>47.328916</v>
      </c>
      <c r="M6" s="215">
        <v>18.300789999999999</v>
      </c>
      <c r="N6" s="216">
        <v>5159</v>
      </c>
      <c r="O6" s="217" t="s">
        <v>67</v>
      </c>
      <c r="P6" s="218"/>
    </row>
    <row r="7" spans="1:16" ht="41.25" customHeight="1" x14ac:dyDescent="0.25">
      <c r="A7" s="214" t="s">
        <v>62</v>
      </c>
      <c r="B7" s="219">
        <v>9.92</v>
      </c>
      <c r="C7" s="219">
        <v>10.23</v>
      </c>
      <c r="D7" s="426">
        <f>(11.04*1221+0.7*6323)/7554</f>
        <v>2.3703918453799311</v>
      </c>
      <c r="E7" s="219">
        <v>1.0631762600000001</v>
      </c>
      <c r="F7" s="219">
        <v>1.1332454000000001</v>
      </c>
      <c r="G7" s="219">
        <v>1.1804126399999999</v>
      </c>
      <c r="H7" s="219">
        <v>1.3116976</v>
      </c>
      <c r="I7" s="219">
        <v>1.4820774000000001</v>
      </c>
      <c r="J7" s="219">
        <v>1.5131001999999998</v>
      </c>
      <c r="K7" s="219">
        <v>1.3510794000000002</v>
      </c>
      <c r="L7" s="219">
        <v>1.04409898</v>
      </c>
      <c r="M7" s="219">
        <v>0.73235788000000013</v>
      </c>
      <c r="N7" s="216">
        <v>24290</v>
      </c>
      <c r="O7" s="217" t="s">
        <v>68</v>
      </c>
      <c r="P7" s="218"/>
    </row>
    <row r="8" spans="1:16" ht="41.25" customHeight="1" x14ac:dyDescent="0.25">
      <c r="A8" s="214" t="s">
        <v>63</v>
      </c>
      <c r="B8" s="607">
        <v>0</v>
      </c>
      <c r="C8" s="607">
        <v>0</v>
      </c>
      <c r="D8" s="608">
        <v>0</v>
      </c>
      <c r="E8" s="607">
        <v>0</v>
      </c>
      <c r="F8" s="219">
        <v>0.25919999999999999</v>
      </c>
      <c r="G8" s="219">
        <v>0.25659999999999999</v>
      </c>
      <c r="H8" s="219">
        <v>0.35619999999999996</v>
      </c>
      <c r="I8" s="219">
        <v>0.4042</v>
      </c>
      <c r="J8" s="219">
        <v>0.42679999999999996</v>
      </c>
      <c r="K8" s="219">
        <v>0.32579999999999998</v>
      </c>
      <c r="L8" s="607">
        <v>0</v>
      </c>
      <c r="M8" s="607">
        <v>0</v>
      </c>
      <c r="N8" s="216">
        <v>564966</v>
      </c>
      <c r="O8" s="217" t="s">
        <v>70</v>
      </c>
      <c r="P8" s="220"/>
    </row>
    <row r="9" spans="1:16" ht="41.25" customHeight="1" x14ac:dyDescent="0.25">
      <c r="A9" s="214" t="s">
        <v>64</v>
      </c>
      <c r="B9" s="607">
        <v>0</v>
      </c>
      <c r="C9" s="607">
        <v>0</v>
      </c>
      <c r="D9" s="608">
        <v>0</v>
      </c>
      <c r="E9" s="607">
        <v>0</v>
      </c>
      <c r="F9" s="219">
        <v>0.25059999999999999</v>
      </c>
      <c r="G9" s="219">
        <v>0.25139999999999996</v>
      </c>
      <c r="H9" s="219">
        <v>0.26480000000000004</v>
      </c>
      <c r="I9" s="219">
        <v>0.27360000000000001</v>
      </c>
      <c r="J9" s="219">
        <v>0.27480000000000004</v>
      </c>
      <c r="K9" s="219">
        <v>0.26080000000000003</v>
      </c>
      <c r="L9" s="607">
        <v>0</v>
      </c>
      <c r="M9" s="607">
        <v>0</v>
      </c>
      <c r="N9" s="216">
        <v>134205</v>
      </c>
      <c r="O9" s="217" t="s">
        <v>71</v>
      </c>
      <c r="P9" s="220"/>
    </row>
    <row r="10" spans="1:16" ht="43.5" customHeight="1" x14ac:dyDescent="0.25">
      <c r="A10" s="214" t="s">
        <v>65</v>
      </c>
      <c r="B10" s="609">
        <v>0</v>
      </c>
      <c r="C10" s="609">
        <v>0</v>
      </c>
      <c r="D10" s="610">
        <v>0</v>
      </c>
      <c r="E10" s="607">
        <v>0</v>
      </c>
      <c r="F10" s="221">
        <v>62.874379754066467</v>
      </c>
      <c r="G10" s="221">
        <v>62.874379754066467</v>
      </c>
      <c r="H10" s="221">
        <v>62.874379754066467</v>
      </c>
      <c r="I10" s="221">
        <v>62.874379754066467</v>
      </c>
      <c r="J10" s="221">
        <v>62.874379754066467</v>
      </c>
      <c r="K10" s="221">
        <v>62.874379754066467</v>
      </c>
      <c r="L10" s="609">
        <v>0</v>
      </c>
      <c r="M10" s="609">
        <v>0</v>
      </c>
      <c r="N10" s="216">
        <v>43240</v>
      </c>
      <c r="O10" s="218" t="s">
        <v>204</v>
      </c>
    </row>
    <row r="11" spans="1:16" ht="41.25" customHeight="1" x14ac:dyDescent="0.25">
      <c r="A11" s="214" t="s">
        <v>66</v>
      </c>
      <c r="B11" s="611">
        <v>0</v>
      </c>
      <c r="C11" s="611">
        <v>0</v>
      </c>
      <c r="D11" s="612">
        <v>0</v>
      </c>
      <c r="E11" s="607">
        <v>0</v>
      </c>
      <c r="F11" s="603">
        <v>21.037036479439262</v>
      </c>
      <c r="G11" s="603">
        <v>21.037036479439262</v>
      </c>
      <c r="H11" s="603">
        <v>21.037036479439262</v>
      </c>
      <c r="I11" s="603">
        <v>21.037036479439262</v>
      </c>
      <c r="J11" s="603">
        <v>21.037036479439262</v>
      </c>
      <c r="K11" s="603">
        <v>21.037036479439262</v>
      </c>
      <c r="L11" s="611">
        <v>0</v>
      </c>
      <c r="M11" s="611">
        <v>0</v>
      </c>
      <c r="N11" s="216">
        <v>43240</v>
      </c>
      <c r="O11" s="218" t="s">
        <v>204</v>
      </c>
    </row>
    <row r="12" spans="1:16" ht="41.25" customHeight="1" x14ac:dyDescent="0.25">
      <c r="A12" s="214" t="s">
        <v>171</v>
      </c>
      <c r="B12" s="222">
        <v>0.08</v>
      </c>
      <c r="C12" s="222">
        <v>7.0000000000000007E-2</v>
      </c>
      <c r="D12" s="421">
        <v>0</v>
      </c>
      <c r="E12" s="526">
        <v>0.02</v>
      </c>
      <c r="F12" s="526">
        <v>0.02</v>
      </c>
      <c r="G12" s="526">
        <v>0.03</v>
      </c>
      <c r="H12" s="526">
        <v>0.04</v>
      </c>
      <c r="I12" s="526">
        <v>0.04</v>
      </c>
      <c r="J12" s="526">
        <v>0.05</v>
      </c>
      <c r="K12" s="526">
        <v>0.04</v>
      </c>
      <c r="L12" s="526">
        <v>0.03</v>
      </c>
      <c r="M12" s="613">
        <v>0.03</v>
      </c>
      <c r="N12" s="216">
        <v>1129932</v>
      </c>
      <c r="O12" s="217" t="s">
        <v>202</v>
      </c>
    </row>
    <row r="13" spans="1:16" ht="41.25" customHeight="1" x14ac:dyDescent="0.25">
      <c r="A13" s="223" t="s">
        <v>200</v>
      </c>
      <c r="B13" s="224">
        <v>0</v>
      </c>
      <c r="C13" s="224">
        <v>0</v>
      </c>
      <c r="D13" s="422">
        <v>0</v>
      </c>
      <c r="E13" s="224">
        <v>0.14709454885296985</v>
      </c>
      <c r="F13" s="224">
        <v>0.16244011948033119</v>
      </c>
      <c r="G13" s="224">
        <v>0.17979794645363534</v>
      </c>
      <c r="H13" s="224">
        <v>0.23610795639987744</v>
      </c>
      <c r="I13" s="224">
        <v>0.26176448007264441</v>
      </c>
      <c r="J13" s="224">
        <v>0.34406536836663537</v>
      </c>
      <c r="K13" s="224">
        <v>0.26277457228072981</v>
      </c>
      <c r="L13" s="224">
        <v>6.1344792533701675E-2</v>
      </c>
      <c r="M13" s="224">
        <v>3.4136113321294919E-3</v>
      </c>
      <c r="N13" s="216">
        <v>564966</v>
      </c>
      <c r="O13" s="225" t="s">
        <v>208</v>
      </c>
      <c r="P13" s="226"/>
    </row>
    <row r="14" spans="1:16" ht="41.25" customHeight="1" x14ac:dyDescent="0.25">
      <c r="A14" s="223" t="s">
        <v>201</v>
      </c>
      <c r="B14" s="219">
        <v>2.0833333333333332E-2</v>
      </c>
      <c r="C14" s="219">
        <v>0</v>
      </c>
      <c r="D14" s="420">
        <v>0</v>
      </c>
      <c r="E14" s="219">
        <v>0.29949187446787956</v>
      </c>
      <c r="F14" s="219">
        <v>0.4287954715440348</v>
      </c>
      <c r="G14" s="219">
        <v>0.45449573386250203</v>
      </c>
      <c r="H14" s="219">
        <v>0.68994195369827727</v>
      </c>
      <c r="I14" s="219">
        <v>0.87683357835131237</v>
      </c>
      <c r="J14" s="219">
        <v>0.89093299458058295</v>
      </c>
      <c r="K14" s="219">
        <v>0.63329484833038152</v>
      </c>
      <c r="L14" s="219">
        <v>0.21789506886813717</v>
      </c>
      <c r="M14" s="219">
        <v>0</v>
      </c>
      <c r="N14" s="216">
        <v>162465</v>
      </c>
      <c r="O14" s="227" t="s">
        <v>203</v>
      </c>
      <c r="P14" s="220"/>
    </row>
    <row r="15" spans="1:16" ht="41.25" customHeight="1" x14ac:dyDescent="0.25">
      <c r="A15" s="214" t="s">
        <v>125</v>
      </c>
      <c r="B15" s="219">
        <v>199</v>
      </c>
      <c r="C15" s="219">
        <v>363</v>
      </c>
      <c r="D15" s="420">
        <v>135</v>
      </c>
      <c r="E15" s="219">
        <v>388.28089855335372</v>
      </c>
      <c r="F15" s="219">
        <v>359.02157977775295</v>
      </c>
      <c r="G15" s="219">
        <v>235.63741754602501</v>
      </c>
      <c r="H15" s="219">
        <v>288.85313051718254</v>
      </c>
      <c r="I15" s="219">
        <v>286.13588015238446</v>
      </c>
      <c r="J15" s="219">
        <v>350.30156418129246</v>
      </c>
      <c r="K15" s="219">
        <v>378.06064994246873</v>
      </c>
      <c r="L15" s="219">
        <v>341.84816331361179</v>
      </c>
      <c r="M15" s="219">
        <v>229.16143997399891</v>
      </c>
      <c r="N15" s="216">
        <v>31</v>
      </c>
      <c r="O15" s="227" t="s">
        <v>180</v>
      </c>
      <c r="P15" s="225"/>
    </row>
    <row r="16" spans="1:16" ht="25.5" customHeight="1" x14ac:dyDescent="0.25">
      <c r="A16" s="223" t="s">
        <v>182</v>
      </c>
      <c r="B16" s="219">
        <v>0</v>
      </c>
      <c r="C16" s="219">
        <v>0</v>
      </c>
      <c r="D16" s="420">
        <v>0</v>
      </c>
      <c r="E16" s="219">
        <v>0.01</v>
      </c>
      <c r="F16" s="219">
        <v>0.01</v>
      </c>
      <c r="G16" s="219">
        <v>0.01</v>
      </c>
      <c r="H16" s="219">
        <v>0.01</v>
      </c>
      <c r="I16" s="219">
        <v>0.01</v>
      </c>
      <c r="J16" s="219">
        <v>0.01</v>
      </c>
      <c r="K16" s="219">
        <v>0.02</v>
      </c>
      <c r="L16" s="219">
        <v>0.02</v>
      </c>
      <c r="M16" s="219">
        <v>0.02</v>
      </c>
      <c r="N16" s="216">
        <v>116059</v>
      </c>
      <c r="O16" s="218" t="s">
        <v>206</v>
      </c>
    </row>
    <row r="17" spans="1:26" ht="24.75" customHeight="1" x14ac:dyDescent="0.25">
      <c r="A17" s="223" t="s">
        <v>95</v>
      </c>
      <c r="B17" s="607">
        <v>0</v>
      </c>
      <c r="C17" s="607">
        <v>0</v>
      </c>
      <c r="D17" s="608">
        <v>0</v>
      </c>
      <c r="E17" s="607">
        <v>0</v>
      </c>
      <c r="F17" s="219"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607">
        <v>0</v>
      </c>
      <c r="M17" s="607">
        <v>0</v>
      </c>
      <c r="N17" s="216">
        <v>122216</v>
      </c>
      <c r="O17" s="228" t="s">
        <v>205</v>
      </c>
    </row>
    <row r="20" spans="1:26" ht="14.4" x14ac:dyDescent="0.3">
      <c r="A20" s="589" t="s">
        <v>25</v>
      </c>
      <c r="B20" s="14"/>
      <c r="C20" s="14"/>
      <c r="D20" s="14"/>
      <c r="E20" s="14"/>
      <c r="F20" s="15"/>
      <c r="G20" s="14"/>
      <c r="H20" s="15"/>
      <c r="I20" s="14"/>
      <c r="J20" s="14"/>
      <c r="K20" s="14"/>
      <c r="L20" s="14"/>
      <c r="M20" s="14"/>
      <c r="N20" s="28"/>
      <c r="O20" s="14"/>
      <c r="P20" s="16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5">
      <c r="A21" s="628" t="s">
        <v>236</v>
      </c>
      <c r="B21" s="629"/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6"/>
    </row>
    <row r="22" spans="1:26" x14ac:dyDescent="0.25">
      <c r="A22" s="630"/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</row>
    <row r="23" spans="1:26" ht="18" customHeight="1" x14ac:dyDescent="0.25">
      <c r="A23" s="631" t="s">
        <v>250</v>
      </c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1"/>
      <c r="Z23" s="631"/>
    </row>
    <row r="29" spans="1:26" x14ac:dyDescent="0.25"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8"/>
      <c r="O29" s="217"/>
      <c r="P29" s="217"/>
    </row>
    <row r="30" spans="1:26" x14ac:dyDescent="0.25"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8"/>
      <c r="O30" s="217"/>
      <c r="P30" s="217"/>
    </row>
    <row r="31" spans="1:26" x14ac:dyDescent="0.25"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8"/>
      <c r="O31" s="217"/>
      <c r="P31" s="217"/>
    </row>
  </sheetData>
  <mergeCells count="4">
    <mergeCell ref="B4:M4"/>
    <mergeCell ref="N4:N5"/>
    <mergeCell ref="A21:O22"/>
    <mergeCell ref="A23:Z23"/>
  </mergeCells>
  <phoneticPr fontId="34" type="noConversion"/>
  <pageMargins left="0.75" right="0.75" top="1" bottom="1" header="0.5" footer="0.5"/>
  <pageSetup scale="50" orientation="landscape" r:id="rId1"/>
  <headerFooter alignWithMargins="0">
    <oddHeader xml:space="preserve">&amp;C&amp;"Arial,Bold"San Diego Gas and Electric
Average Ex-Ante Load Impact kW/Customer&amp;"Arial,Regular"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3"/>
  <sheetViews>
    <sheetView showGridLines="0" view="pageBreakPreview" zoomScaleNormal="100" zoomScaleSheetLayoutView="100" workbookViewId="0">
      <selection activeCell="A9" sqref="A9"/>
    </sheetView>
  </sheetViews>
  <sheetFormatPr defaultColWidth="9.109375" defaultRowHeight="39.9" customHeight="1" x14ac:dyDescent="0.25"/>
  <cols>
    <col min="1" max="1" width="33" style="208" customWidth="1"/>
    <col min="2" max="13" width="10.6640625" style="208" customWidth="1"/>
    <col min="14" max="14" width="14.109375" style="209" bestFit="1" customWidth="1"/>
    <col min="15" max="15" width="55.5546875" style="208" customWidth="1"/>
    <col min="16" max="16" width="15" style="208" bestFit="1" customWidth="1"/>
    <col min="17" max="17" width="10.5546875" style="208" customWidth="1"/>
    <col min="18" max="18" width="9.88671875" style="208" bestFit="1" customWidth="1"/>
    <col min="19" max="19" width="11.109375" style="208" customWidth="1"/>
    <col min="20" max="20" width="9.88671875" style="208" bestFit="1" customWidth="1"/>
    <col min="21" max="21" width="10.88671875" style="208" customWidth="1"/>
    <col min="22" max="22" width="12.109375" style="208" bestFit="1" customWidth="1"/>
    <col min="23" max="23" width="12.109375" style="208" customWidth="1"/>
    <col min="24" max="24" width="9.5546875" style="208" bestFit="1" customWidth="1"/>
    <col min="25" max="25" width="11.109375" style="208" customWidth="1"/>
    <col min="26" max="26" width="11.6640625" style="208" bestFit="1" customWidth="1"/>
    <col min="27" max="27" width="11.6640625" style="208" customWidth="1"/>
    <col min="28" max="16384" width="9.109375" style="208"/>
  </cols>
  <sheetData>
    <row r="1" spans="1:16" ht="39.9" customHeight="1" x14ac:dyDescent="0.25">
      <c r="A1" s="207"/>
    </row>
    <row r="2" spans="1:16" ht="39.9" customHeight="1" x14ac:dyDescent="0.25">
      <c r="A2" s="207"/>
      <c r="C2" s="218"/>
    </row>
    <row r="5" spans="1:16" ht="39.9" customHeight="1" x14ac:dyDescent="0.25">
      <c r="A5" s="210"/>
      <c r="B5" s="625" t="s">
        <v>116</v>
      </c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6" t="s">
        <v>226</v>
      </c>
      <c r="O5" s="210"/>
    </row>
    <row r="6" spans="1:16" ht="39.9" customHeight="1" x14ac:dyDescent="0.25">
      <c r="A6" s="211" t="s">
        <v>42</v>
      </c>
      <c r="B6" s="212" t="s">
        <v>0</v>
      </c>
      <c r="C6" s="212" t="s">
        <v>1</v>
      </c>
      <c r="D6" s="212" t="s">
        <v>2</v>
      </c>
      <c r="E6" s="212" t="s">
        <v>3</v>
      </c>
      <c r="F6" s="212" t="s">
        <v>4</v>
      </c>
      <c r="G6" s="212" t="s">
        <v>5</v>
      </c>
      <c r="H6" s="212" t="s">
        <v>6</v>
      </c>
      <c r="I6" s="212" t="s">
        <v>43</v>
      </c>
      <c r="J6" s="212" t="s">
        <v>44</v>
      </c>
      <c r="K6" s="212" t="s">
        <v>9</v>
      </c>
      <c r="L6" s="212" t="s">
        <v>45</v>
      </c>
      <c r="M6" s="212" t="s">
        <v>11</v>
      </c>
      <c r="N6" s="627"/>
      <c r="O6" s="213" t="s">
        <v>115</v>
      </c>
    </row>
    <row r="7" spans="1:16" ht="39.9" customHeight="1" x14ac:dyDescent="0.25">
      <c r="A7" s="214" t="s">
        <v>61</v>
      </c>
      <c r="B7" s="219">
        <v>298.41155357142856</v>
      </c>
      <c r="C7" s="219">
        <v>298.41155357142856</v>
      </c>
      <c r="D7" s="420">
        <v>298.41155357142856</v>
      </c>
      <c r="E7" s="604">
        <v>308.96882499999998</v>
      </c>
      <c r="F7" s="604">
        <v>308.96882499999998</v>
      </c>
      <c r="G7" s="604">
        <v>308.96882499999998</v>
      </c>
      <c r="H7" s="604">
        <v>308.96882499999998</v>
      </c>
      <c r="I7" s="604">
        <v>308.96882499999998</v>
      </c>
      <c r="J7" s="604">
        <v>308.96882499999998</v>
      </c>
      <c r="K7" s="604">
        <v>308.96882499999998</v>
      </c>
      <c r="L7" s="604">
        <v>308.96882499999998</v>
      </c>
      <c r="M7" s="604">
        <v>308.96882499999998</v>
      </c>
      <c r="N7" s="216">
        <v>5159</v>
      </c>
      <c r="O7" s="217" t="s">
        <v>67</v>
      </c>
    </row>
    <row r="8" spans="1:16" ht="39.9" customHeight="1" x14ac:dyDescent="0.25">
      <c r="A8" s="214" t="s">
        <v>62</v>
      </c>
      <c r="B8" s="219">
        <v>21.018510818481445</v>
      </c>
      <c r="C8" s="219">
        <v>21.018510818481445</v>
      </c>
      <c r="D8" s="420">
        <f>(21*1221+0*6323)/7554</f>
        <v>3.3943606036536935</v>
      </c>
      <c r="E8" s="219">
        <v>1.7879495916955019</v>
      </c>
      <c r="F8" s="219">
        <v>1.7879495916955019</v>
      </c>
      <c r="G8" s="219">
        <v>1.7879495916955019</v>
      </c>
      <c r="H8" s="219">
        <v>1.7879495916955019</v>
      </c>
      <c r="I8" s="219">
        <v>1.7879495916955019</v>
      </c>
      <c r="J8" s="219">
        <v>1.7879495916955019</v>
      </c>
      <c r="K8" s="219">
        <v>1.7879495916955019</v>
      </c>
      <c r="L8" s="219">
        <v>1.7879495916955019</v>
      </c>
      <c r="M8" s="219">
        <v>1.7879495916955019</v>
      </c>
      <c r="N8" s="216">
        <v>24290</v>
      </c>
      <c r="O8" s="220" t="s">
        <v>68</v>
      </c>
    </row>
    <row r="9" spans="1:16" ht="39.9" customHeight="1" x14ac:dyDescent="0.25">
      <c r="A9" s="214" t="s">
        <v>63</v>
      </c>
      <c r="B9" s="229">
        <v>0.41523417500000009</v>
      </c>
      <c r="C9" s="229">
        <v>0.41523417500000009</v>
      </c>
      <c r="D9" s="423">
        <v>0.41523417500000009</v>
      </c>
      <c r="E9" s="604">
        <v>0.39924999999999999</v>
      </c>
      <c r="F9" s="604">
        <v>0.39924999999999999</v>
      </c>
      <c r="G9" s="604">
        <v>0.39924999999999999</v>
      </c>
      <c r="H9" s="604">
        <v>0.39924999999999999</v>
      </c>
      <c r="I9" s="604">
        <v>0.39924999999999999</v>
      </c>
      <c r="J9" s="604">
        <v>0.39924999999999999</v>
      </c>
      <c r="K9" s="604">
        <v>0.39924999999999999</v>
      </c>
      <c r="L9" s="604">
        <v>0.39924999999999999</v>
      </c>
      <c r="M9" s="604">
        <v>0.39924999999999999</v>
      </c>
      <c r="N9" s="216">
        <v>564966</v>
      </c>
      <c r="O9" s="220" t="s">
        <v>70</v>
      </c>
    </row>
    <row r="10" spans="1:16" ht="39.9" customHeight="1" x14ac:dyDescent="0.25">
      <c r="A10" s="214" t="s">
        <v>64</v>
      </c>
      <c r="B10" s="229">
        <v>0.29046305000000006</v>
      </c>
      <c r="C10" s="229">
        <v>0.29046305000000006</v>
      </c>
      <c r="D10" s="423">
        <v>0.29046305000000006</v>
      </c>
      <c r="E10" s="604">
        <v>0.16500000000000001</v>
      </c>
      <c r="F10" s="604">
        <v>0.16500000000000001</v>
      </c>
      <c r="G10" s="604">
        <v>0.16500000000000001</v>
      </c>
      <c r="H10" s="604">
        <v>0.16500000000000001</v>
      </c>
      <c r="I10" s="604">
        <v>0.16500000000000001</v>
      </c>
      <c r="J10" s="604">
        <v>0.16500000000000001</v>
      </c>
      <c r="K10" s="604">
        <v>0.16500000000000001</v>
      </c>
      <c r="L10" s="604">
        <v>0.16500000000000001</v>
      </c>
      <c r="M10" s="604">
        <v>0.16500000000000001</v>
      </c>
      <c r="N10" s="216">
        <v>134205</v>
      </c>
      <c r="O10" s="217" t="s">
        <v>71</v>
      </c>
    </row>
    <row r="11" spans="1:16" ht="39.9" customHeight="1" x14ac:dyDescent="0.25">
      <c r="A11" s="214" t="s">
        <v>65</v>
      </c>
      <c r="B11" s="229">
        <v>79.157301902770996</v>
      </c>
      <c r="C11" s="229">
        <v>79.157301902770996</v>
      </c>
      <c r="D11" s="423">
        <v>79.157301902770996</v>
      </c>
      <c r="E11" s="221">
        <v>79.157301902770996</v>
      </c>
      <c r="F11" s="605">
        <v>66.199826697508499</v>
      </c>
      <c r="G11" s="605">
        <v>66.199826697508499</v>
      </c>
      <c r="H11" s="605">
        <v>66.199826697508499</v>
      </c>
      <c r="I11" s="605">
        <v>66.199826697508499</v>
      </c>
      <c r="J11" s="605">
        <v>66.199826697508499</v>
      </c>
      <c r="K11" s="605">
        <v>66.199826697508499</v>
      </c>
      <c r="L11" s="605">
        <v>66.199826697508499</v>
      </c>
      <c r="M11" s="605">
        <v>66.199826697508499</v>
      </c>
      <c r="N11" s="216">
        <v>43240</v>
      </c>
      <c r="O11" s="218" t="s">
        <v>204</v>
      </c>
    </row>
    <row r="12" spans="1:16" ht="39.9" customHeight="1" x14ac:dyDescent="0.25">
      <c r="A12" s="214" t="s">
        <v>66</v>
      </c>
      <c r="B12" s="230">
        <v>17.507370122654471</v>
      </c>
      <c r="C12" s="230">
        <v>17.507370122654471</v>
      </c>
      <c r="D12" s="424">
        <v>17.507370122654471</v>
      </c>
      <c r="E12" s="231">
        <v>17.507370122654471</v>
      </c>
      <c r="F12" s="606">
        <v>26.098042189952277</v>
      </c>
      <c r="G12" s="606">
        <v>26.098042189952277</v>
      </c>
      <c r="H12" s="606">
        <v>26.098042189952277</v>
      </c>
      <c r="I12" s="606">
        <v>26.098042189952277</v>
      </c>
      <c r="J12" s="606">
        <v>26.098042189952277</v>
      </c>
      <c r="K12" s="606">
        <v>26.098042189952277</v>
      </c>
      <c r="L12" s="606">
        <v>26.098042189952277</v>
      </c>
      <c r="M12" s="606">
        <v>26.098042189952277</v>
      </c>
      <c r="N12" s="216">
        <v>43240</v>
      </c>
      <c r="O12" s="218" t="s">
        <v>204</v>
      </c>
    </row>
    <row r="13" spans="1:16" ht="39.9" customHeight="1" x14ac:dyDescent="0.25">
      <c r="A13" s="214" t="s">
        <v>171</v>
      </c>
      <c r="B13" s="219">
        <v>9.9112144828571447E-2</v>
      </c>
      <c r="C13" s="219">
        <v>9.9112144828571447E-2</v>
      </c>
      <c r="D13" s="420">
        <v>9.9112144828571447E-2</v>
      </c>
      <c r="E13" s="219">
        <v>6.4135840040000058E-2</v>
      </c>
      <c r="F13" s="219">
        <v>6.4135840040000058E-2</v>
      </c>
      <c r="G13" s="219">
        <v>6.4135840040000058E-2</v>
      </c>
      <c r="H13" s="219">
        <v>6.4135840040000058E-2</v>
      </c>
      <c r="I13" s="219">
        <v>6.4135840040000058E-2</v>
      </c>
      <c r="J13" s="219">
        <v>6.4135840040000058E-2</v>
      </c>
      <c r="K13" s="219">
        <v>6.4135840040000058E-2</v>
      </c>
      <c r="L13" s="219">
        <v>6.4135840040000058E-2</v>
      </c>
      <c r="M13" s="219">
        <v>6.4135840040000058E-2</v>
      </c>
      <c r="N13" s="216">
        <v>1129932</v>
      </c>
      <c r="O13" s="232" t="s">
        <v>173</v>
      </c>
      <c r="P13" s="220"/>
    </row>
    <row r="14" spans="1:16" ht="39.9" customHeight="1" x14ac:dyDescent="0.25">
      <c r="A14" s="214" t="s">
        <v>125</v>
      </c>
      <c r="B14" s="219">
        <v>515.88586111111113</v>
      </c>
      <c r="C14" s="219">
        <v>515.88586111111113</v>
      </c>
      <c r="D14" s="420">
        <v>515.88586111111113</v>
      </c>
      <c r="E14" s="219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  <c r="N14" s="216">
        <v>564966</v>
      </c>
      <c r="O14" s="233" t="s">
        <v>180</v>
      </c>
      <c r="P14" s="220"/>
    </row>
    <row r="15" spans="1:16" s="217" customFormat="1" ht="39.9" customHeight="1" x14ac:dyDescent="0.25">
      <c r="A15" s="223" t="s">
        <v>182</v>
      </c>
      <c r="B15" s="234">
        <v>0</v>
      </c>
      <c r="C15" s="234">
        <v>0</v>
      </c>
      <c r="D15" s="425">
        <v>0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0</v>
      </c>
      <c r="N15" s="216">
        <v>162465</v>
      </c>
      <c r="O15" s="235" t="s">
        <v>206</v>
      </c>
    </row>
    <row r="16" spans="1:16" s="217" customFormat="1" ht="39.9" customHeight="1" x14ac:dyDescent="0.3">
      <c r="A16" s="223" t="s">
        <v>200</v>
      </c>
      <c r="B16" s="219">
        <v>0.5509556442121224</v>
      </c>
      <c r="C16" s="219">
        <v>0.5509556442121224</v>
      </c>
      <c r="D16" s="420">
        <v>0.5509556442121224</v>
      </c>
      <c r="E16" s="219">
        <v>0.45599999999999996</v>
      </c>
      <c r="F16" s="229">
        <v>0.45599999999999996</v>
      </c>
      <c r="G16" s="229">
        <v>0.45599999999999996</v>
      </c>
      <c r="H16" s="229">
        <v>0.45599999999999996</v>
      </c>
      <c r="I16" s="229">
        <v>0.45599999999999996</v>
      </c>
      <c r="J16" s="229">
        <v>0.45599999999999996</v>
      </c>
      <c r="K16" s="229">
        <v>0.45599999999999996</v>
      </c>
      <c r="L16" s="229">
        <v>0.45599999999999996</v>
      </c>
      <c r="M16" s="229">
        <v>0.45599999999999996</v>
      </c>
      <c r="N16" s="216">
        <v>31</v>
      </c>
      <c r="O16" s="225" t="s">
        <v>207</v>
      </c>
    </row>
    <row r="17" spans="1:26" s="217" customFormat="1" ht="39.9" customHeight="1" x14ac:dyDescent="0.25">
      <c r="A17" s="223" t="s">
        <v>201</v>
      </c>
      <c r="B17" s="219">
        <v>1.9875740323659894</v>
      </c>
      <c r="C17" s="219">
        <v>1.9875740323659894</v>
      </c>
      <c r="D17" s="420">
        <v>1.9875740323659894</v>
      </c>
      <c r="E17" s="604">
        <v>2.2708135682458539</v>
      </c>
      <c r="F17" s="604">
        <v>2.2708135682458539</v>
      </c>
      <c r="G17" s="604">
        <v>2.2708135682458539</v>
      </c>
      <c r="H17" s="604">
        <v>2.2708135682458539</v>
      </c>
      <c r="I17" s="604">
        <v>2.2708135682458539</v>
      </c>
      <c r="J17" s="604">
        <v>2.2708135682458539</v>
      </c>
      <c r="K17" s="604">
        <v>2.2708135682458539</v>
      </c>
      <c r="L17" s="604">
        <v>2.2708135682458539</v>
      </c>
      <c r="M17" s="604">
        <v>2.2708135682458539</v>
      </c>
      <c r="N17" s="216">
        <v>116059</v>
      </c>
      <c r="O17" s="225" t="s">
        <v>203</v>
      </c>
    </row>
    <row r="18" spans="1:26" s="217" customFormat="1" ht="39.9" customHeight="1" x14ac:dyDescent="0.25">
      <c r="A18" s="223" t="s">
        <v>95</v>
      </c>
      <c r="B18" s="219">
        <v>0</v>
      </c>
      <c r="C18" s="219">
        <v>0</v>
      </c>
      <c r="D18" s="420">
        <v>0</v>
      </c>
      <c r="E18" s="219">
        <v>0</v>
      </c>
      <c r="F18" s="219"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6">
        <v>122216</v>
      </c>
      <c r="O18" s="236" t="s">
        <v>205</v>
      </c>
    </row>
    <row r="19" spans="1:26" s="217" customFormat="1" ht="16.2" customHeight="1" x14ac:dyDescent="0.25">
      <c r="A19" s="225"/>
      <c r="B19" s="590"/>
      <c r="C19" s="590"/>
      <c r="D19" s="591"/>
      <c r="E19" s="590"/>
      <c r="F19" s="590"/>
      <c r="G19" s="590"/>
      <c r="H19" s="590"/>
      <c r="I19" s="590"/>
      <c r="J19" s="590"/>
      <c r="K19" s="590"/>
      <c r="L19" s="590"/>
      <c r="M19" s="590"/>
      <c r="N19" s="592"/>
      <c r="O19" s="235"/>
    </row>
    <row r="20" spans="1:26" ht="13.2" x14ac:dyDescent="0.25">
      <c r="A20" s="629" t="s">
        <v>237</v>
      </c>
      <c r="B20" s="629"/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</row>
    <row r="21" spans="1:26" ht="13.2" x14ac:dyDescent="0.25">
      <c r="A21" s="628" t="s">
        <v>238</v>
      </c>
      <c r="B21" s="629"/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</row>
    <row r="22" spans="1:26" ht="24.75" customHeight="1" x14ac:dyDescent="0.25">
      <c r="A22" s="631" t="s">
        <v>251</v>
      </c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</row>
    <row r="23" spans="1:26" ht="24" customHeight="1" x14ac:dyDescent="0.25">
      <c r="A23" s="631" t="s">
        <v>249</v>
      </c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</row>
  </sheetData>
  <mergeCells count="6">
    <mergeCell ref="A23:Z23"/>
    <mergeCell ref="B5:M5"/>
    <mergeCell ref="N5:N6"/>
    <mergeCell ref="A20:O20"/>
    <mergeCell ref="A22:Z22"/>
    <mergeCell ref="A21:O21"/>
  </mergeCells>
  <phoneticPr fontId="0" type="noConversion"/>
  <printOptions horizontalCentered="1"/>
  <pageMargins left="0.1" right="0.1" top="0.75" bottom="0.75" header="0.3" footer="0.28000000000000003"/>
  <pageSetup scale="60" orientation="landscape" cellComments="asDisplayed" r:id="rId1"/>
  <headerFooter alignWithMargins="0">
    <oddHeader>&amp;C&amp;"Arial,Bold"San Diego Gas and Electric
Average Ex-Post Load Impact kW / Customer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60"/>
  <sheetViews>
    <sheetView zoomScale="80" zoomScaleNormal="80" zoomScaleSheetLayoutView="70" workbookViewId="0">
      <selection sqref="A1:XFD1048576"/>
    </sheetView>
  </sheetViews>
  <sheetFormatPr defaultColWidth="9.109375" defaultRowHeight="13.2" x14ac:dyDescent="0.25"/>
  <cols>
    <col min="1" max="1" width="45.6640625" style="252" customWidth="1"/>
    <col min="2" max="3" width="10.88671875" style="252" customWidth="1"/>
    <col min="4" max="4" width="10.6640625" style="252" customWidth="1"/>
    <col min="5" max="5" width="12.6640625" style="252" customWidth="1"/>
    <col min="6" max="8" width="10.5546875" style="252" customWidth="1"/>
    <col min="9" max="9" width="12.6640625" style="252" customWidth="1"/>
    <col min="10" max="12" width="10.6640625" style="252" customWidth="1"/>
    <col min="13" max="13" width="12.6640625" style="252" customWidth="1"/>
    <col min="14" max="16" width="10.6640625" style="252" customWidth="1"/>
    <col min="17" max="17" width="12.6640625" style="252" customWidth="1"/>
    <col min="18" max="20" width="10.6640625" style="252" customWidth="1"/>
    <col min="21" max="21" width="12.6640625" style="252" customWidth="1"/>
    <col min="22" max="24" width="10.6640625" style="252" customWidth="1"/>
    <col min="25" max="25" width="12.6640625" style="252" customWidth="1"/>
    <col min="26" max="16384" width="9.109375" style="252"/>
  </cols>
  <sheetData>
    <row r="1" spans="1:25" x14ac:dyDescent="0.25">
      <c r="A1" s="251" t="s">
        <v>210</v>
      </c>
    </row>
    <row r="3" spans="1:25" ht="21.75" customHeight="1" x14ac:dyDescent="0.25">
      <c r="A3" s="367">
        <v>2016</v>
      </c>
      <c r="B3" s="633" t="s">
        <v>0</v>
      </c>
      <c r="C3" s="633"/>
      <c r="D3" s="633"/>
      <c r="E3" s="633"/>
      <c r="F3" s="634" t="s">
        <v>1</v>
      </c>
      <c r="G3" s="634"/>
      <c r="H3" s="634"/>
      <c r="I3" s="634"/>
      <c r="J3" s="634" t="s">
        <v>2</v>
      </c>
      <c r="K3" s="634"/>
      <c r="L3" s="634"/>
      <c r="M3" s="634"/>
      <c r="N3" s="634" t="s">
        <v>3</v>
      </c>
      <c r="O3" s="634"/>
      <c r="P3" s="634"/>
      <c r="Q3" s="634"/>
      <c r="R3" s="634" t="s">
        <v>4</v>
      </c>
      <c r="S3" s="634"/>
      <c r="T3" s="634"/>
      <c r="U3" s="634"/>
      <c r="V3" s="634" t="s">
        <v>5</v>
      </c>
      <c r="W3" s="634"/>
      <c r="X3" s="634"/>
      <c r="Y3" s="634"/>
    </row>
    <row r="4" spans="1:25" ht="79.5" customHeight="1" x14ac:dyDescent="0.25">
      <c r="A4" s="340" t="s">
        <v>41</v>
      </c>
      <c r="B4" s="265" t="s">
        <v>117</v>
      </c>
      <c r="C4" s="265" t="s">
        <v>118</v>
      </c>
      <c r="D4" s="265" t="s">
        <v>119</v>
      </c>
      <c r="E4" s="265" t="s">
        <v>120</v>
      </c>
      <c r="F4" s="265" t="s">
        <v>117</v>
      </c>
      <c r="G4" s="265" t="s">
        <v>118</v>
      </c>
      <c r="H4" s="265" t="s">
        <v>119</v>
      </c>
      <c r="I4" s="265" t="s">
        <v>120</v>
      </c>
      <c r="J4" s="265" t="s">
        <v>117</v>
      </c>
      <c r="K4" s="265" t="s">
        <v>118</v>
      </c>
      <c r="L4" s="265" t="s">
        <v>119</v>
      </c>
      <c r="M4" s="265" t="s">
        <v>120</v>
      </c>
      <c r="N4" s="265" t="s">
        <v>117</v>
      </c>
      <c r="O4" s="265" t="s">
        <v>118</v>
      </c>
      <c r="P4" s="265" t="s">
        <v>119</v>
      </c>
      <c r="Q4" s="265" t="s">
        <v>120</v>
      </c>
      <c r="R4" s="265" t="s">
        <v>117</v>
      </c>
      <c r="S4" s="265" t="s">
        <v>118</v>
      </c>
      <c r="T4" s="265" t="s">
        <v>119</v>
      </c>
      <c r="U4" s="265" t="s">
        <v>120</v>
      </c>
      <c r="V4" s="265" t="s">
        <v>117</v>
      </c>
      <c r="W4" s="265" t="s">
        <v>118</v>
      </c>
      <c r="X4" s="265" t="s">
        <v>119</v>
      </c>
      <c r="Y4" s="265" t="s">
        <v>120</v>
      </c>
    </row>
    <row r="5" spans="1:25" x14ac:dyDescent="0.25">
      <c r="A5" s="368" t="s">
        <v>62</v>
      </c>
      <c r="B5" s="267"/>
      <c r="C5" s="268">
        <v>5.8977000000000004</v>
      </c>
      <c r="D5" s="269">
        <v>2.3029999999999999</v>
      </c>
      <c r="E5" s="270">
        <f>SUM(B5:D5)</f>
        <v>8.2007000000000012</v>
      </c>
      <c r="F5" s="266"/>
      <c r="G5" s="269">
        <v>5.8977000000000004</v>
      </c>
      <c r="H5" s="269">
        <v>2.3029999999999999</v>
      </c>
      <c r="I5" s="271">
        <f>SUM(G5:H5)</f>
        <v>8.2007000000000012</v>
      </c>
      <c r="J5" s="266"/>
      <c r="K5" s="269"/>
      <c r="L5" s="269"/>
      <c r="M5" s="271">
        <f>SUM(K5:L5)</f>
        <v>0</v>
      </c>
      <c r="N5" s="266"/>
      <c r="O5" s="269"/>
      <c r="P5" s="269"/>
      <c r="Q5" s="271">
        <f>SUM(O5:P5)</f>
        <v>0</v>
      </c>
      <c r="R5" s="266"/>
      <c r="S5" s="269"/>
      <c r="T5" s="269"/>
      <c r="U5" s="271">
        <f>SUM(S5:T5)</f>
        <v>0</v>
      </c>
      <c r="V5" s="266"/>
      <c r="W5" s="269"/>
      <c r="X5" s="269"/>
      <c r="Y5" s="271">
        <f>SUM(W5:X5)</f>
        <v>0</v>
      </c>
    </row>
    <row r="6" spans="1:25" x14ac:dyDescent="0.25">
      <c r="A6" s="368" t="s">
        <v>121</v>
      </c>
      <c r="B6" s="380"/>
      <c r="C6" s="381">
        <v>12.8962</v>
      </c>
      <c r="D6" s="268">
        <v>1.4750000000000001</v>
      </c>
      <c r="E6" s="270">
        <f>SUM(B6:D6)</f>
        <v>14.3712</v>
      </c>
      <c r="F6" s="266"/>
      <c r="G6" s="269">
        <v>12.911899999999999</v>
      </c>
      <c r="H6" s="272">
        <v>1.4750000000000001</v>
      </c>
      <c r="I6" s="271">
        <f>SUM(G6:H6)</f>
        <v>14.386899999999999</v>
      </c>
      <c r="J6" s="273"/>
      <c r="K6" s="269"/>
      <c r="L6" s="272"/>
      <c r="M6" s="271">
        <f>SUM(K6:L6)</f>
        <v>0</v>
      </c>
      <c r="N6" s="273"/>
      <c r="O6" s="269"/>
      <c r="P6" s="272"/>
      <c r="Q6" s="271">
        <f>SUM(O6:P6)</f>
        <v>0</v>
      </c>
      <c r="R6" s="273"/>
      <c r="S6" s="269"/>
      <c r="T6" s="272"/>
      <c r="U6" s="271">
        <f>SUM(S6:T6)</f>
        <v>0</v>
      </c>
      <c r="V6" s="273"/>
      <c r="W6" s="269"/>
      <c r="X6" s="272"/>
      <c r="Y6" s="271">
        <f>SUM(W6:X6)</f>
        <v>0</v>
      </c>
    </row>
    <row r="7" spans="1:25" s="251" customFormat="1" x14ac:dyDescent="0.25">
      <c r="A7" s="369" t="s">
        <v>55</v>
      </c>
      <c r="B7" s="382"/>
      <c r="C7" s="383">
        <f>SUM(C5:C6)</f>
        <v>18.793900000000001</v>
      </c>
      <c r="D7" s="383">
        <f>SUM(D5:D6)</f>
        <v>3.778</v>
      </c>
      <c r="E7" s="383">
        <f>SUM(E5:E6)</f>
        <v>22.571899999999999</v>
      </c>
      <c r="F7" s="274"/>
      <c r="G7" s="271">
        <f t="shared" ref="G7:Y7" si="0">SUM(G5:G6)</f>
        <v>18.8096</v>
      </c>
      <c r="H7" s="271">
        <f t="shared" si="0"/>
        <v>3.778</v>
      </c>
      <c r="I7" s="271">
        <f t="shared" si="0"/>
        <v>22.587600000000002</v>
      </c>
      <c r="J7" s="271"/>
      <c r="K7" s="271">
        <f t="shared" si="0"/>
        <v>0</v>
      </c>
      <c r="L7" s="271">
        <f t="shared" si="0"/>
        <v>0</v>
      </c>
      <c r="M7" s="271">
        <f t="shared" si="0"/>
        <v>0</v>
      </c>
      <c r="N7" s="271"/>
      <c r="O7" s="271">
        <f t="shared" si="0"/>
        <v>0</v>
      </c>
      <c r="P7" s="271">
        <f t="shared" si="0"/>
        <v>0</v>
      </c>
      <c r="Q7" s="271">
        <f t="shared" si="0"/>
        <v>0</v>
      </c>
      <c r="R7" s="271"/>
      <c r="S7" s="271">
        <f t="shared" si="0"/>
        <v>0</v>
      </c>
      <c r="T7" s="271">
        <f t="shared" si="0"/>
        <v>0</v>
      </c>
      <c r="U7" s="271">
        <f t="shared" si="0"/>
        <v>0</v>
      </c>
      <c r="V7" s="271"/>
      <c r="W7" s="271">
        <f t="shared" si="0"/>
        <v>0</v>
      </c>
      <c r="X7" s="271">
        <f t="shared" si="0"/>
        <v>0</v>
      </c>
      <c r="Y7" s="271">
        <f t="shared" si="0"/>
        <v>0</v>
      </c>
    </row>
    <row r="8" spans="1:25" ht="3.9" customHeight="1" x14ac:dyDescent="0.25">
      <c r="A8" s="369"/>
      <c r="B8" s="274"/>
      <c r="C8" s="384"/>
      <c r="D8" s="384"/>
      <c r="E8" s="385"/>
      <c r="F8" s="274"/>
      <c r="G8" s="273"/>
      <c r="H8" s="273"/>
      <c r="I8" s="271"/>
      <c r="J8" s="275"/>
      <c r="K8" s="273"/>
      <c r="L8" s="276"/>
      <c r="M8" s="271"/>
      <c r="N8" s="275"/>
      <c r="O8" s="273"/>
      <c r="P8" s="276"/>
      <c r="Q8" s="271"/>
      <c r="R8" s="275"/>
      <c r="S8" s="273"/>
      <c r="T8" s="276"/>
      <c r="U8" s="271"/>
      <c r="V8" s="275"/>
      <c r="W8" s="273"/>
      <c r="X8" s="276"/>
      <c r="Y8" s="271"/>
    </row>
    <row r="9" spans="1:25" x14ac:dyDescent="0.25">
      <c r="A9" s="370" t="s">
        <v>22</v>
      </c>
      <c r="B9" s="277"/>
      <c r="C9" s="265"/>
      <c r="D9" s="265"/>
      <c r="E9" s="401"/>
      <c r="F9" s="277"/>
      <c r="G9" s="278"/>
      <c r="H9" s="279"/>
      <c r="I9" s="279"/>
      <c r="J9" s="280"/>
      <c r="K9" s="278"/>
      <c r="L9" s="279"/>
      <c r="M9" s="271"/>
      <c r="N9" s="280"/>
      <c r="O9" s="278"/>
      <c r="P9" s="279"/>
      <c r="Q9" s="271"/>
      <c r="R9" s="280"/>
      <c r="S9" s="278"/>
      <c r="T9" s="279"/>
      <c r="U9" s="271"/>
      <c r="V9" s="280"/>
      <c r="W9" s="278"/>
      <c r="X9" s="279"/>
      <c r="Y9" s="271">
        <f>SUM(W9:X9)</f>
        <v>0</v>
      </c>
    </row>
    <row r="10" spans="1:25" x14ac:dyDescent="0.25">
      <c r="A10" s="368" t="s">
        <v>12</v>
      </c>
      <c r="B10" s="380"/>
      <c r="C10" s="380"/>
      <c r="D10" s="268"/>
      <c r="E10" s="270"/>
      <c r="F10" s="266"/>
      <c r="G10" s="269"/>
      <c r="H10" s="268"/>
      <c r="I10" s="270"/>
      <c r="J10" s="273"/>
      <c r="K10" s="268" t="s">
        <v>13</v>
      </c>
      <c r="L10" s="268"/>
      <c r="M10" s="271"/>
      <c r="N10" s="273"/>
      <c r="O10" s="268" t="s">
        <v>13</v>
      </c>
      <c r="P10" s="268"/>
      <c r="Q10" s="271"/>
      <c r="R10" s="273"/>
      <c r="S10" s="268" t="s">
        <v>13</v>
      </c>
      <c r="T10" s="268"/>
      <c r="U10" s="271"/>
      <c r="V10" s="273"/>
      <c r="W10" s="268" t="s">
        <v>13</v>
      </c>
      <c r="X10" s="268"/>
      <c r="Y10" s="271">
        <f>SUM(W10:X10)</f>
        <v>0</v>
      </c>
    </row>
    <row r="11" spans="1:25" x14ac:dyDescent="0.25">
      <c r="A11" s="368" t="s">
        <v>28</v>
      </c>
      <c r="B11" s="380"/>
      <c r="C11" s="380"/>
      <c r="D11" s="268"/>
      <c r="E11" s="270"/>
      <c r="F11" s="266"/>
      <c r="G11" s="269"/>
      <c r="H11" s="269"/>
      <c r="I11" s="273"/>
      <c r="J11" s="273"/>
      <c r="K11" s="269"/>
      <c r="L11" s="269"/>
      <c r="M11" s="271"/>
      <c r="N11" s="273"/>
      <c r="O11" s="269"/>
      <c r="P11" s="269"/>
      <c r="Q11" s="271"/>
      <c r="R11" s="273"/>
      <c r="S11" s="269"/>
      <c r="T11" s="269"/>
      <c r="U11" s="271"/>
      <c r="V11" s="273"/>
      <c r="W11" s="269"/>
      <c r="X11" s="269"/>
      <c r="Y11" s="271">
        <f>SUM(W11:X11)</f>
        <v>0</v>
      </c>
    </row>
    <row r="12" spans="1:25" x14ac:dyDescent="0.25">
      <c r="A12" s="368"/>
      <c r="B12" s="267"/>
      <c r="C12" s="268"/>
      <c r="D12" s="268"/>
      <c r="E12" s="386"/>
      <c r="F12" s="266"/>
      <c r="G12" s="269"/>
      <c r="H12" s="269"/>
      <c r="I12" s="273"/>
      <c r="J12" s="273"/>
      <c r="K12" s="269"/>
      <c r="L12" s="269"/>
      <c r="M12" s="271" t="s">
        <v>13</v>
      </c>
      <c r="N12" s="273"/>
      <c r="O12" s="269"/>
      <c r="P12" s="269"/>
      <c r="Q12" s="271" t="s">
        <v>13</v>
      </c>
      <c r="R12" s="273"/>
      <c r="S12" s="269"/>
      <c r="T12" s="269"/>
      <c r="U12" s="271" t="s">
        <v>13</v>
      </c>
      <c r="V12" s="273"/>
      <c r="W12" s="269"/>
      <c r="X12" s="269"/>
      <c r="Y12" s="271" t="s">
        <v>13</v>
      </c>
    </row>
    <row r="13" spans="1:25" s="251" customFormat="1" x14ac:dyDescent="0.25">
      <c r="A13" s="369" t="s">
        <v>55</v>
      </c>
      <c r="B13" s="382"/>
      <c r="C13" s="383">
        <v>0</v>
      </c>
      <c r="D13" s="383">
        <f>SUM(D10:D12)</f>
        <v>0</v>
      </c>
      <c r="E13" s="383">
        <f>SUM(E10:E12)</f>
        <v>0</v>
      </c>
      <c r="F13" s="274"/>
      <c r="G13" s="281">
        <f>SUM(G9:G12)</f>
        <v>0</v>
      </c>
      <c r="H13" s="281">
        <f>SUM(H9:H12)</f>
        <v>0</v>
      </c>
      <c r="I13" s="271">
        <f>SUM(I9:I12)</f>
        <v>0</v>
      </c>
      <c r="J13" s="275"/>
      <c r="K13" s="281">
        <f>SUM(K9:K12)</f>
        <v>0</v>
      </c>
      <c r="L13" s="281">
        <f>SUM(L9:L12)</f>
        <v>0</v>
      </c>
      <c r="M13" s="271">
        <f>SUM(M9:M12)</f>
        <v>0</v>
      </c>
      <c r="N13" s="275"/>
      <c r="O13" s="281">
        <f>SUM(O9:O12)</f>
        <v>0</v>
      </c>
      <c r="P13" s="281">
        <f>SUM(P9:P12)</f>
        <v>0</v>
      </c>
      <c r="Q13" s="271">
        <f>SUM(Q9:Q12)</f>
        <v>0</v>
      </c>
      <c r="R13" s="275"/>
      <c r="S13" s="281">
        <f>SUM(S9:S12)</f>
        <v>0</v>
      </c>
      <c r="T13" s="281">
        <f>SUM(T9:T12)</f>
        <v>0</v>
      </c>
      <c r="U13" s="271">
        <f>SUM(U9:U12)</f>
        <v>0</v>
      </c>
      <c r="V13" s="275"/>
      <c r="W13" s="281">
        <f>SUM(W9:W12)</f>
        <v>0</v>
      </c>
      <c r="X13" s="281">
        <f>SUM(X9:X12)</f>
        <v>0</v>
      </c>
      <c r="Y13" s="271">
        <f>SUM(Y9:Y12)</f>
        <v>0</v>
      </c>
    </row>
    <row r="14" spans="1:25" ht="3.9" customHeight="1" x14ac:dyDescent="0.25">
      <c r="A14" s="369"/>
      <c r="B14" s="274"/>
      <c r="C14" s="384"/>
      <c r="D14" s="384"/>
      <c r="E14" s="385"/>
      <c r="F14" s="274"/>
      <c r="G14" s="273"/>
      <c r="H14" s="276"/>
      <c r="I14" s="271"/>
      <c r="J14" s="275"/>
      <c r="K14" s="273"/>
      <c r="L14" s="276"/>
      <c r="M14" s="271">
        <f>SUM(M9:M12)</f>
        <v>0</v>
      </c>
      <c r="N14" s="275"/>
      <c r="O14" s="273"/>
      <c r="P14" s="276"/>
      <c r="Q14" s="271">
        <f>SUM(Q9:Q12)</f>
        <v>0</v>
      </c>
      <c r="R14" s="275"/>
      <c r="S14" s="273"/>
      <c r="T14" s="276"/>
      <c r="U14" s="271">
        <f>SUM(U9:U12)</f>
        <v>0</v>
      </c>
      <c r="V14" s="275"/>
      <c r="W14" s="273"/>
      <c r="X14" s="276"/>
      <c r="Y14" s="271"/>
    </row>
    <row r="15" spans="1:25" s="251" customFormat="1" ht="17.25" customHeight="1" x14ac:dyDescent="0.25">
      <c r="A15" s="369" t="s">
        <v>120</v>
      </c>
      <c r="B15" s="274"/>
      <c r="C15" s="383">
        <f>C7+C13</f>
        <v>18.793900000000001</v>
      </c>
      <c r="D15" s="383">
        <f>D7+D13</f>
        <v>3.778</v>
      </c>
      <c r="E15" s="383">
        <f>E7+E13</f>
        <v>22.571899999999999</v>
      </c>
      <c r="F15" s="274"/>
      <c r="G15" s="271">
        <f>G7+G13</f>
        <v>18.8096</v>
      </c>
      <c r="H15" s="281">
        <f>H7+H13</f>
        <v>3.778</v>
      </c>
      <c r="I15" s="271">
        <f>I7+I13</f>
        <v>22.587600000000002</v>
      </c>
      <c r="J15" s="275"/>
      <c r="K15" s="271">
        <f>K7+K13</f>
        <v>0</v>
      </c>
      <c r="L15" s="281">
        <f>L7+L13</f>
        <v>0</v>
      </c>
      <c r="M15" s="271">
        <f>M7+M13</f>
        <v>0</v>
      </c>
      <c r="N15" s="275"/>
      <c r="O15" s="271">
        <f>O7+O13</f>
        <v>0</v>
      </c>
      <c r="P15" s="281">
        <f>P7+P13</f>
        <v>0</v>
      </c>
      <c r="Q15" s="271">
        <f>Q7+Q13</f>
        <v>0</v>
      </c>
      <c r="R15" s="275"/>
      <c r="S15" s="271">
        <f>S7+S13</f>
        <v>0</v>
      </c>
      <c r="T15" s="281">
        <f>T7+T13</f>
        <v>0</v>
      </c>
      <c r="U15" s="271">
        <f>U7+U13</f>
        <v>0</v>
      </c>
      <c r="V15" s="275"/>
      <c r="W15" s="271">
        <f>W7+W13</f>
        <v>0</v>
      </c>
      <c r="X15" s="281">
        <f>X7+X13</f>
        <v>0</v>
      </c>
      <c r="Y15" s="271">
        <f>Y7+Y13</f>
        <v>0</v>
      </c>
    </row>
    <row r="16" spans="1:25" ht="17.25" customHeight="1" x14ac:dyDescent="0.25">
      <c r="A16" s="371"/>
      <c r="B16" s="296"/>
      <c r="C16" s="387"/>
      <c r="D16" s="387"/>
      <c r="E16" s="388"/>
      <c r="F16" s="296"/>
      <c r="G16" s="282"/>
      <c r="H16" s="283"/>
      <c r="I16" s="284"/>
      <c r="J16" s="284"/>
      <c r="K16" s="282"/>
      <c r="L16" s="283"/>
      <c r="M16" s="284"/>
      <c r="N16" s="284"/>
      <c r="O16" s="282"/>
      <c r="P16" s="283"/>
      <c r="Q16" s="284"/>
      <c r="R16" s="284"/>
      <c r="S16" s="282"/>
      <c r="T16" s="283"/>
      <c r="U16" s="284"/>
      <c r="V16" s="284"/>
      <c r="W16" s="282"/>
      <c r="X16" s="283"/>
      <c r="Y16" s="284"/>
    </row>
    <row r="17" spans="1:25" x14ac:dyDescent="0.25">
      <c r="A17" s="340" t="s">
        <v>60</v>
      </c>
      <c r="B17" s="389"/>
      <c r="C17" s="390"/>
      <c r="D17" s="390"/>
      <c r="E17" s="391"/>
      <c r="F17" s="400"/>
      <c r="G17" s="285"/>
      <c r="H17" s="285"/>
      <c r="I17" s="286"/>
      <c r="J17" s="286"/>
      <c r="K17" s="285"/>
      <c r="L17" s="285"/>
      <c r="M17" s="286"/>
      <c r="N17" s="286"/>
      <c r="O17" s="285"/>
      <c r="P17" s="285"/>
      <c r="Q17" s="286"/>
      <c r="R17" s="286"/>
      <c r="S17" s="285"/>
      <c r="T17" s="285"/>
      <c r="U17" s="286"/>
      <c r="V17" s="286"/>
      <c r="W17" s="285"/>
      <c r="X17" s="285"/>
      <c r="Y17" s="287"/>
    </row>
    <row r="18" spans="1:25" x14ac:dyDescent="0.25">
      <c r="A18" s="372" t="s">
        <v>122</v>
      </c>
      <c r="B18" s="267"/>
      <c r="C18" s="380"/>
      <c r="D18" s="380"/>
      <c r="E18" s="386"/>
      <c r="F18" s="267"/>
      <c r="G18" s="269"/>
      <c r="H18" s="269"/>
      <c r="I18" s="273"/>
      <c r="J18" s="267"/>
      <c r="K18" s="269"/>
      <c r="L18" s="269"/>
      <c r="M18" s="273"/>
      <c r="N18" s="267"/>
      <c r="O18" s="269"/>
      <c r="P18" s="269"/>
      <c r="Q18" s="273"/>
      <c r="R18" s="267"/>
      <c r="S18" s="269"/>
      <c r="T18" s="269"/>
      <c r="U18" s="273"/>
      <c r="V18" s="267"/>
      <c r="W18" s="269"/>
      <c r="X18" s="269"/>
      <c r="Y18" s="273"/>
    </row>
    <row r="19" spans="1:25" x14ac:dyDescent="0.25">
      <c r="A19" s="368"/>
      <c r="B19" s="266"/>
      <c r="C19" s="392"/>
      <c r="D19" s="392"/>
      <c r="E19" s="393">
        <v>59.3</v>
      </c>
      <c r="F19" s="266"/>
      <c r="G19" s="269"/>
      <c r="H19" s="269"/>
      <c r="I19" s="393">
        <v>59.3</v>
      </c>
      <c r="J19" s="273"/>
      <c r="K19" s="269"/>
      <c r="L19" s="269"/>
      <c r="M19" s="273"/>
      <c r="N19" s="273"/>
      <c r="O19" s="269"/>
      <c r="P19" s="269"/>
      <c r="Q19" s="273"/>
      <c r="R19" s="273"/>
      <c r="S19" s="269"/>
      <c r="T19" s="269"/>
      <c r="U19" s="273"/>
      <c r="V19" s="273"/>
      <c r="W19" s="269"/>
      <c r="X19" s="269"/>
      <c r="Y19" s="273"/>
    </row>
    <row r="20" spans="1:25" s="251" customFormat="1" x14ac:dyDescent="0.25">
      <c r="A20" s="373" t="s">
        <v>55</v>
      </c>
      <c r="B20" s="383">
        <f>SUM(B18:B19)</f>
        <v>0</v>
      </c>
      <c r="C20" s="383"/>
      <c r="D20" s="383"/>
      <c r="E20" s="383">
        <v>59.3</v>
      </c>
      <c r="F20" s="288">
        <f>SUM(F18:F19)</f>
        <v>0</v>
      </c>
      <c r="G20" s="289"/>
      <c r="H20" s="289"/>
      <c r="I20" s="383">
        <v>59.3</v>
      </c>
      <c r="J20" s="271">
        <f>SUM(J18:J19)</f>
        <v>0</v>
      </c>
      <c r="K20" s="289"/>
      <c r="L20" s="289"/>
      <c r="M20" s="271"/>
      <c r="N20" s="271">
        <f>SUM(N18:N19)</f>
        <v>0</v>
      </c>
      <c r="O20" s="289"/>
      <c r="P20" s="289"/>
      <c r="Q20" s="271"/>
      <c r="R20" s="271">
        <f>SUM(R18:R19)</f>
        <v>0</v>
      </c>
      <c r="S20" s="289"/>
      <c r="T20" s="289"/>
      <c r="U20" s="271"/>
      <c r="V20" s="271">
        <f>SUM(V18:V19)</f>
        <v>0</v>
      </c>
      <c r="W20" s="289"/>
      <c r="X20" s="289"/>
      <c r="Y20" s="271"/>
    </row>
    <row r="21" spans="1:25" ht="3.9" customHeight="1" x14ac:dyDescent="0.25">
      <c r="A21" s="369"/>
      <c r="B21" s="384"/>
      <c r="C21" s="384"/>
      <c r="D21" s="384"/>
      <c r="E21" s="385"/>
      <c r="F21" s="274"/>
      <c r="G21" s="273"/>
      <c r="H21" s="276"/>
      <c r="I21" s="385"/>
      <c r="J21" s="275"/>
      <c r="K21" s="273"/>
      <c r="L21" s="276"/>
      <c r="M21" s="271"/>
      <c r="N21" s="275"/>
      <c r="O21" s="273"/>
      <c r="P21" s="276"/>
      <c r="Q21" s="271"/>
      <c r="R21" s="275"/>
      <c r="S21" s="273"/>
      <c r="T21" s="276"/>
      <c r="U21" s="271"/>
      <c r="V21" s="275"/>
      <c r="W21" s="273"/>
      <c r="X21" s="276"/>
      <c r="Y21" s="271"/>
    </row>
    <row r="22" spans="1:25" s="251" customFormat="1" x14ac:dyDescent="0.25">
      <c r="A22" s="369" t="s">
        <v>123</v>
      </c>
      <c r="B22" s="290">
        <f>B20</f>
        <v>0</v>
      </c>
      <c r="C22" s="290"/>
      <c r="D22" s="290"/>
      <c r="E22" s="291">
        <v>59.3</v>
      </c>
      <c r="F22" s="288">
        <f>F20</f>
        <v>0</v>
      </c>
      <c r="G22" s="290"/>
      <c r="H22" s="290"/>
      <c r="I22" s="291">
        <v>59.3</v>
      </c>
      <c r="J22" s="275">
        <f>J20</f>
        <v>0</v>
      </c>
      <c r="K22" s="290"/>
      <c r="L22" s="290"/>
      <c r="M22" s="291"/>
      <c r="N22" s="275">
        <f>N20</f>
        <v>0</v>
      </c>
      <c r="O22" s="290"/>
      <c r="P22" s="290"/>
      <c r="Q22" s="291"/>
      <c r="R22" s="275">
        <f>R20</f>
        <v>0</v>
      </c>
      <c r="S22" s="290"/>
      <c r="T22" s="290"/>
      <c r="U22" s="291"/>
      <c r="V22" s="275">
        <f>V20</f>
        <v>0</v>
      </c>
      <c r="W22" s="290"/>
      <c r="X22" s="290"/>
      <c r="Y22" s="291"/>
    </row>
    <row r="23" spans="1:25" x14ac:dyDescent="0.25">
      <c r="A23" s="253"/>
      <c r="B23" s="332"/>
      <c r="C23" s="333"/>
      <c r="D23" s="333"/>
      <c r="E23" s="334"/>
      <c r="F23" s="332"/>
      <c r="G23" s="333"/>
      <c r="H23" s="334"/>
      <c r="I23" s="332"/>
      <c r="J23" s="332"/>
      <c r="K23" s="333"/>
      <c r="L23" s="334"/>
      <c r="M23" s="332"/>
      <c r="N23" s="332"/>
      <c r="O23" s="333"/>
      <c r="P23" s="334"/>
      <c r="Q23" s="332"/>
      <c r="R23" s="332"/>
      <c r="S23" s="333"/>
      <c r="T23" s="334"/>
      <c r="U23" s="332"/>
      <c r="V23" s="332"/>
      <c r="W23" s="333"/>
      <c r="X23" s="334"/>
      <c r="Y23" s="332"/>
    </row>
    <row r="24" spans="1:25" x14ac:dyDescent="0.25"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</row>
    <row r="25" spans="1:25" x14ac:dyDescent="0.25">
      <c r="A25" s="374"/>
      <c r="B25" s="634" t="s">
        <v>6</v>
      </c>
      <c r="C25" s="634"/>
      <c r="D25" s="634"/>
      <c r="E25" s="634"/>
      <c r="F25" s="634" t="s">
        <v>7</v>
      </c>
      <c r="G25" s="634"/>
      <c r="H25" s="634"/>
      <c r="I25" s="634" t="s">
        <v>6</v>
      </c>
      <c r="J25" s="634" t="s">
        <v>8</v>
      </c>
      <c r="K25" s="634"/>
      <c r="L25" s="634"/>
      <c r="M25" s="634" t="s">
        <v>6</v>
      </c>
      <c r="N25" s="634" t="s">
        <v>9</v>
      </c>
      <c r="O25" s="634"/>
      <c r="P25" s="634"/>
      <c r="Q25" s="634" t="s">
        <v>6</v>
      </c>
      <c r="R25" s="634" t="s">
        <v>10</v>
      </c>
      <c r="S25" s="634"/>
      <c r="T25" s="634"/>
      <c r="U25" s="634" t="s">
        <v>6</v>
      </c>
      <c r="V25" s="634" t="s">
        <v>11</v>
      </c>
      <c r="W25" s="634"/>
      <c r="X25" s="634"/>
      <c r="Y25" s="634" t="s">
        <v>6</v>
      </c>
    </row>
    <row r="26" spans="1:25" ht="39.6" x14ac:dyDescent="0.25">
      <c r="A26" s="340" t="s">
        <v>41</v>
      </c>
      <c r="B26" s="265" t="s">
        <v>117</v>
      </c>
      <c r="C26" s="265" t="s">
        <v>118</v>
      </c>
      <c r="D26" s="265" t="s">
        <v>119</v>
      </c>
      <c r="E26" s="265" t="s">
        <v>120</v>
      </c>
      <c r="F26" s="265" t="s">
        <v>117</v>
      </c>
      <c r="G26" s="265" t="s">
        <v>118</v>
      </c>
      <c r="H26" s="265" t="s">
        <v>119</v>
      </c>
      <c r="I26" s="265" t="s">
        <v>120</v>
      </c>
      <c r="J26" s="265" t="s">
        <v>117</v>
      </c>
      <c r="K26" s="265" t="s">
        <v>118</v>
      </c>
      <c r="L26" s="265" t="s">
        <v>119</v>
      </c>
      <c r="M26" s="265" t="s">
        <v>120</v>
      </c>
      <c r="N26" s="265" t="s">
        <v>117</v>
      </c>
      <c r="O26" s="265" t="s">
        <v>118</v>
      </c>
      <c r="P26" s="265" t="s">
        <v>119</v>
      </c>
      <c r="Q26" s="265" t="s">
        <v>120</v>
      </c>
      <c r="R26" s="265" t="s">
        <v>117</v>
      </c>
      <c r="S26" s="265" t="s">
        <v>118</v>
      </c>
      <c r="T26" s="265" t="s">
        <v>119</v>
      </c>
      <c r="U26" s="265" t="s">
        <v>120</v>
      </c>
      <c r="V26" s="265" t="s">
        <v>117</v>
      </c>
      <c r="W26" s="265" t="s">
        <v>118</v>
      </c>
      <c r="X26" s="265" t="s">
        <v>119</v>
      </c>
      <c r="Y26" s="265" t="s">
        <v>120</v>
      </c>
    </row>
    <row r="27" spans="1:25" x14ac:dyDescent="0.25">
      <c r="A27" s="368" t="s">
        <v>124</v>
      </c>
      <c r="B27" s="292"/>
      <c r="C27" s="292"/>
      <c r="D27" s="269"/>
      <c r="E27" s="394"/>
      <c r="F27" s="273"/>
      <c r="G27" s="269"/>
      <c r="H27" s="272"/>
      <c r="I27" s="271"/>
      <c r="J27" s="273"/>
      <c r="K27" s="269"/>
      <c r="L27" s="272"/>
      <c r="M27" s="271"/>
      <c r="N27" s="273"/>
      <c r="O27" s="269"/>
      <c r="P27" s="272"/>
      <c r="Q27" s="271"/>
      <c r="R27" s="273"/>
      <c r="S27" s="269"/>
      <c r="T27" s="272"/>
      <c r="U27" s="271"/>
      <c r="V27" s="273"/>
      <c r="W27" s="269"/>
      <c r="X27" s="272"/>
      <c r="Y27" s="271"/>
    </row>
    <row r="28" spans="1:25" x14ac:dyDescent="0.25">
      <c r="A28" s="368" t="s">
        <v>121</v>
      </c>
      <c r="B28" s="292"/>
      <c r="C28" s="395"/>
      <c r="D28" s="269"/>
      <c r="E28" s="394">
        <f>SUM(B28:D28)</f>
        <v>0</v>
      </c>
      <c r="F28" s="273"/>
      <c r="G28" s="269"/>
      <c r="H28" s="272"/>
      <c r="I28" s="271">
        <f t="shared" ref="I28:I32" si="1">SUM(G28:H28)</f>
        <v>0</v>
      </c>
      <c r="J28" s="273"/>
      <c r="K28" s="269"/>
      <c r="L28" s="272"/>
      <c r="M28" s="271">
        <f>SUM(K28:L28)</f>
        <v>0</v>
      </c>
      <c r="N28" s="273"/>
      <c r="O28" s="269"/>
      <c r="P28" s="272"/>
      <c r="Q28" s="271">
        <f>SUM(O28:P28)</f>
        <v>0</v>
      </c>
      <c r="R28" s="273"/>
      <c r="S28" s="269"/>
      <c r="T28" s="272"/>
      <c r="U28" s="271">
        <f>SUM(S28:T28)</f>
        <v>0</v>
      </c>
      <c r="V28" s="273"/>
      <c r="W28" s="269"/>
      <c r="X28" s="272"/>
      <c r="Y28" s="271">
        <f>SUM(W28:X28)</f>
        <v>0</v>
      </c>
    </row>
    <row r="29" spans="1:25" x14ac:dyDescent="0.25">
      <c r="A29" s="368" t="s">
        <v>125</v>
      </c>
      <c r="B29" s="292"/>
      <c r="C29" s="269"/>
      <c r="D29" s="269"/>
      <c r="E29" s="394"/>
      <c r="F29" s="273"/>
      <c r="G29" s="269"/>
      <c r="H29" s="272"/>
      <c r="I29" s="271">
        <f t="shared" si="1"/>
        <v>0</v>
      </c>
      <c r="J29" s="273"/>
      <c r="K29" s="269"/>
      <c r="L29" s="272"/>
      <c r="M29" s="271">
        <f t="shared" ref="M29:M40" si="2">SUM(K29:L29)</f>
        <v>0</v>
      </c>
      <c r="N29" s="273"/>
      <c r="O29" s="269"/>
      <c r="P29" s="272"/>
      <c r="Q29" s="271">
        <f t="shared" ref="Q29:Q33" si="3">SUM(O29:P29)</f>
        <v>0</v>
      </c>
      <c r="R29" s="273"/>
      <c r="S29" s="269"/>
      <c r="T29" s="272"/>
      <c r="U29" s="271"/>
      <c r="V29" s="273"/>
      <c r="W29" s="269"/>
      <c r="X29" s="272"/>
      <c r="Y29" s="271"/>
    </row>
    <row r="30" spans="1:25" x14ac:dyDescent="0.25">
      <c r="A30" s="368" t="s">
        <v>126</v>
      </c>
      <c r="B30" s="292"/>
      <c r="C30" s="269"/>
      <c r="D30" s="269"/>
      <c r="E30" s="394"/>
      <c r="F30" s="273"/>
      <c r="G30" s="293"/>
      <c r="H30" s="293"/>
      <c r="I30" s="271">
        <f t="shared" si="1"/>
        <v>0</v>
      </c>
      <c r="J30" s="273"/>
      <c r="K30" s="293"/>
      <c r="L30" s="293"/>
      <c r="M30" s="271">
        <f t="shared" si="2"/>
        <v>0</v>
      </c>
      <c r="N30" s="273"/>
      <c r="O30" s="293"/>
      <c r="P30" s="293"/>
      <c r="Q30" s="271">
        <f t="shared" si="3"/>
        <v>0</v>
      </c>
      <c r="R30" s="273"/>
      <c r="S30" s="293"/>
      <c r="T30" s="293"/>
      <c r="U30" s="271"/>
      <c r="V30" s="273"/>
      <c r="W30" s="293"/>
      <c r="X30" s="293"/>
      <c r="Y30" s="271"/>
    </row>
    <row r="31" spans="1:25" x14ac:dyDescent="0.25">
      <c r="A31" s="368" t="s">
        <v>127</v>
      </c>
      <c r="B31" s="292"/>
      <c r="C31" s="269"/>
      <c r="D31" s="269"/>
      <c r="E31" s="394"/>
      <c r="F31" s="273"/>
      <c r="G31" s="293"/>
      <c r="H31" s="293"/>
      <c r="I31" s="271">
        <f t="shared" si="1"/>
        <v>0</v>
      </c>
      <c r="J31" s="273"/>
      <c r="K31" s="293"/>
      <c r="L31" s="293"/>
      <c r="M31" s="271">
        <f t="shared" si="2"/>
        <v>0</v>
      </c>
      <c r="N31" s="273"/>
      <c r="O31" s="293"/>
      <c r="P31" s="293"/>
      <c r="Q31" s="271">
        <f t="shared" si="3"/>
        <v>0</v>
      </c>
      <c r="R31" s="273"/>
      <c r="S31" s="293"/>
      <c r="T31" s="293"/>
      <c r="U31" s="271"/>
      <c r="V31" s="273"/>
      <c r="W31" s="293"/>
      <c r="X31" s="293"/>
      <c r="Y31" s="271"/>
    </row>
    <row r="32" spans="1:25" x14ac:dyDescent="0.25">
      <c r="A32" s="368" t="s">
        <v>211</v>
      </c>
      <c r="B32" s="273"/>
      <c r="C32" s="269"/>
      <c r="D32" s="269"/>
      <c r="E32" s="394">
        <f t="shared" ref="E32" si="4">SUM(B32:D32)</f>
        <v>0</v>
      </c>
      <c r="F32" s="273"/>
      <c r="G32" s="269"/>
      <c r="H32" s="269"/>
      <c r="I32" s="271">
        <f t="shared" si="1"/>
        <v>0</v>
      </c>
      <c r="J32" s="273"/>
      <c r="K32" s="269"/>
      <c r="L32" s="269"/>
      <c r="M32" s="271">
        <f t="shared" si="2"/>
        <v>0</v>
      </c>
      <c r="N32" s="273"/>
      <c r="O32" s="269"/>
      <c r="P32" s="269"/>
      <c r="Q32" s="271">
        <f t="shared" si="3"/>
        <v>0</v>
      </c>
      <c r="R32" s="273"/>
      <c r="S32" s="269"/>
      <c r="T32" s="269"/>
      <c r="U32" s="271">
        <f t="shared" ref="U32:U33" si="5">SUM(S32:T32)</f>
        <v>0</v>
      </c>
      <c r="V32" s="273"/>
      <c r="W32" s="269"/>
      <c r="X32" s="269"/>
      <c r="Y32" s="271">
        <f t="shared" ref="Y32:Y33" si="6">SUM(W32:X32)</f>
        <v>0</v>
      </c>
    </row>
    <row r="33" spans="1:25" s="251" customFormat="1" x14ac:dyDescent="0.25">
      <c r="A33" s="369" t="s">
        <v>55</v>
      </c>
      <c r="B33" s="396"/>
      <c r="C33" s="275">
        <f>SUM(C27:C32)</f>
        <v>0</v>
      </c>
      <c r="D33" s="275">
        <f>SUM(D27:D32)</f>
        <v>0</v>
      </c>
      <c r="E33" s="275">
        <f>SUM(E27:E32)</f>
        <v>0</v>
      </c>
      <c r="F33" s="275"/>
      <c r="G33" s="271">
        <f>SUM(G27:G32)</f>
        <v>0</v>
      </c>
      <c r="H33" s="271">
        <f>SUM(H27:H32)</f>
        <v>0</v>
      </c>
      <c r="I33" s="271">
        <f>SUM(I27:I32)</f>
        <v>0</v>
      </c>
      <c r="J33" s="275"/>
      <c r="K33" s="271">
        <f>SUM(K28:K32)</f>
        <v>0</v>
      </c>
      <c r="L33" s="271">
        <f>SUM(L28:L32)</f>
        <v>0</v>
      </c>
      <c r="M33" s="271">
        <f t="shared" si="2"/>
        <v>0</v>
      </c>
      <c r="N33" s="275"/>
      <c r="O33" s="271">
        <f>SUM(O28:O32)</f>
        <v>0</v>
      </c>
      <c r="P33" s="271">
        <f>SUM(P28:P32)</f>
        <v>0</v>
      </c>
      <c r="Q33" s="271">
        <f t="shared" si="3"/>
        <v>0</v>
      </c>
      <c r="R33" s="275"/>
      <c r="S33" s="271">
        <f>SUM(S28:S32)</f>
        <v>0</v>
      </c>
      <c r="T33" s="271">
        <f>SUM(T28:T32)</f>
        <v>0</v>
      </c>
      <c r="U33" s="271">
        <f t="shared" si="5"/>
        <v>0</v>
      </c>
      <c r="V33" s="275"/>
      <c r="W33" s="271">
        <f>SUM(W28:W32)</f>
        <v>0</v>
      </c>
      <c r="X33" s="271">
        <f>SUM(X28:X32)</f>
        <v>0</v>
      </c>
      <c r="Y33" s="271">
        <f t="shared" si="6"/>
        <v>0</v>
      </c>
    </row>
    <row r="34" spans="1:25" ht="3.9" customHeight="1" x14ac:dyDescent="0.25">
      <c r="A34" s="369"/>
      <c r="B34" s="275"/>
      <c r="C34" s="273"/>
      <c r="D34" s="273"/>
      <c r="E34" s="281"/>
      <c r="F34" s="275"/>
      <c r="G34" s="273"/>
      <c r="H34" s="276"/>
      <c r="I34" s="271"/>
      <c r="J34" s="275"/>
      <c r="K34" s="273"/>
      <c r="L34" s="276"/>
      <c r="M34" s="271"/>
      <c r="N34" s="275"/>
      <c r="O34" s="273"/>
      <c r="P34" s="276"/>
      <c r="Q34" s="271"/>
      <c r="R34" s="275"/>
      <c r="S34" s="273"/>
      <c r="T34" s="276"/>
      <c r="U34" s="271"/>
      <c r="V34" s="275"/>
      <c r="W34" s="273"/>
      <c r="X34" s="276"/>
      <c r="Y34" s="271"/>
    </row>
    <row r="35" spans="1:25" x14ac:dyDescent="0.25">
      <c r="A35" s="370" t="s">
        <v>22</v>
      </c>
      <c r="B35" s="280"/>
      <c r="C35" s="278"/>
      <c r="D35" s="278"/>
      <c r="E35" s="279"/>
      <c r="F35" s="280"/>
      <c r="G35" s="278"/>
      <c r="H35" s="279"/>
      <c r="I35" s="271">
        <f>SUM(G35:H35)</f>
        <v>0</v>
      </c>
      <c r="J35" s="280"/>
      <c r="K35" s="278"/>
      <c r="L35" s="279"/>
      <c r="M35" s="271">
        <f t="shared" si="2"/>
        <v>0</v>
      </c>
      <c r="N35" s="280"/>
      <c r="O35" s="271"/>
      <c r="P35" s="279"/>
      <c r="Q35" s="271">
        <f t="shared" ref="Q35:Q40" si="7">SUM(O35:P35)</f>
        <v>0</v>
      </c>
      <c r="R35" s="280"/>
      <c r="S35" s="278"/>
      <c r="T35" s="279"/>
      <c r="U35" s="271">
        <f>SUM(S35:T35)</f>
        <v>0</v>
      </c>
      <c r="V35" s="280"/>
      <c r="W35" s="278"/>
      <c r="X35" s="279"/>
      <c r="Y35" s="271">
        <f>SUM(W35:X35)</f>
        <v>0</v>
      </c>
    </row>
    <row r="36" spans="1:25" x14ac:dyDescent="0.25">
      <c r="A36" s="368" t="s">
        <v>12</v>
      </c>
      <c r="B36" s="292"/>
      <c r="C36" s="292"/>
      <c r="D36" s="269"/>
      <c r="E36" s="394"/>
      <c r="F36" s="273"/>
      <c r="G36" s="269"/>
      <c r="H36" s="269"/>
      <c r="I36" s="271">
        <f>SUM(G36:H36)</f>
        <v>0</v>
      </c>
      <c r="J36" s="273"/>
      <c r="K36" s="269"/>
      <c r="L36" s="269"/>
      <c r="M36" s="271">
        <f t="shared" si="2"/>
        <v>0</v>
      </c>
      <c r="N36" s="273"/>
      <c r="O36" s="271"/>
      <c r="P36" s="269"/>
      <c r="Q36" s="271">
        <f t="shared" si="7"/>
        <v>0</v>
      </c>
      <c r="R36" s="273"/>
      <c r="S36" s="269"/>
      <c r="T36" s="269"/>
      <c r="U36" s="271">
        <f t="shared" ref="U36:U40" si="8">SUM(S36:T36)</f>
        <v>0</v>
      </c>
      <c r="V36" s="273"/>
      <c r="W36" s="269"/>
      <c r="X36" s="269"/>
      <c r="Y36" s="271">
        <f t="shared" ref="Y36:Y40" si="9">SUM(W36:X36)</f>
        <v>0</v>
      </c>
    </row>
    <row r="37" spans="1:25" x14ac:dyDescent="0.25">
      <c r="A37" s="368" t="s">
        <v>14</v>
      </c>
      <c r="B37" s="292"/>
      <c r="C37" s="292"/>
      <c r="D37" s="269"/>
      <c r="E37" s="394"/>
      <c r="F37" s="273"/>
      <c r="G37" s="269"/>
      <c r="H37" s="269"/>
      <c r="I37" s="271">
        <f>SUM(G37:H37)</f>
        <v>0</v>
      </c>
      <c r="J37" s="273"/>
      <c r="K37" s="269"/>
      <c r="L37" s="269"/>
      <c r="M37" s="271">
        <f t="shared" si="2"/>
        <v>0</v>
      </c>
      <c r="N37" s="273"/>
      <c r="O37" s="271"/>
      <c r="P37" s="269"/>
      <c r="Q37" s="271">
        <f t="shared" si="7"/>
        <v>0</v>
      </c>
      <c r="R37" s="273"/>
      <c r="S37" s="269"/>
      <c r="T37" s="269"/>
      <c r="U37" s="271">
        <f t="shared" si="8"/>
        <v>0</v>
      </c>
      <c r="V37" s="273"/>
      <c r="W37" s="269"/>
      <c r="X37" s="269"/>
      <c r="Y37" s="271">
        <f t="shared" si="9"/>
        <v>0</v>
      </c>
    </row>
    <row r="38" spans="1:25" x14ac:dyDescent="0.25">
      <c r="A38" s="368" t="s">
        <v>28</v>
      </c>
      <c r="B38" s="292"/>
      <c r="C38" s="292"/>
      <c r="D38" s="269"/>
      <c r="E38" s="394"/>
      <c r="F38" s="273"/>
      <c r="G38" s="269"/>
      <c r="H38" s="269"/>
      <c r="I38" s="271">
        <f>SUM(G38:H38)</f>
        <v>0</v>
      </c>
      <c r="J38" s="273"/>
      <c r="K38" s="269"/>
      <c r="L38" s="269"/>
      <c r="M38" s="271">
        <f t="shared" si="2"/>
        <v>0</v>
      </c>
      <c r="N38" s="273"/>
      <c r="O38" s="271"/>
      <c r="P38" s="269"/>
      <c r="Q38" s="271">
        <f t="shared" si="7"/>
        <v>0</v>
      </c>
      <c r="R38" s="273"/>
      <c r="S38" s="269"/>
      <c r="T38" s="269"/>
      <c r="U38" s="271">
        <f t="shared" si="8"/>
        <v>0</v>
      </c>
      <c r="V38" s="273"/>
      <c r="W38" s="269"/>
      <c r="X38" s="269"/>
      <c r="Y38" s="271">
        <f t="shared" si="9"/>
        <v>0</v>
      </c>
    </row>
    <row r="39" spans="1:25" x14ac:dyDescent="0.25">
      <c r="A39" s="368"/>
      <c r="B39" s="273"/>
      <c r="C39" s="269"/>
      <c r="D39" s="269"/>
      <c r="E39" s="289"/>
      <c r="F39" s="273"/>
      <c r="G39" s="269"/>
      <c r="H39" s="269"/>
      <c r="I39" s="271">
        <f>SUM(G39:H39)</f>
        <v>0</v>
      </c>
      <c r="J39" s="273"/>
      <c r="K39" s="269"/>
      <c r="L39" s="269"/>
      <c r="M39" s="271">
        <f t="shared" si="2"/>
        <v>0</v>
      </c>
      <c r="N39" s="273"/>
      <c r="O39" s="271"/>
      <c r="P39" s="269"/>
      <c r="Q39" s="271">
        <f t="shared" si="7"/>
        <v>0</v>
      </c>
      <c r="R39" s="273"/>
      <c r="S39" s="269"/>
      <c r="T39" s="269"/>
      <c r="U39" s="271">
        <f t="shared" si="8"/>
        <v>0</v>
      </c>
      <c r="V39" s="273"/>
      <c r="W39" s="269"/>
      <c r="X39" s="269"/>
      <c r="Y39" s="271">
        <f t="shared" si="9"/>
        <v>0</v>
      </c>
    </row>
    <row r="40" spans="1:25" s="251" customFormat="1" x14ac:dyDescent="0.25">
      <c r="A40" s="369" t="s">
        <v>55</v>
      </c>
      <c r="B40" s="396"/>
      <c r="C40" s="275">
        <f>SUM(C35:C39)</f>
        <v>0</v>
      </c>
      <c r="D40" s="275">
        <f>SUM(D36:D39)</f>
        <v>0</v>
      </c>
      <c r="E40" s="275">
        <f>SUM(E36:E39)</f>
        <v>0</v>
      </c>
      <c r="F40" s="275"/>
      <c r="G40" s="281">
        <f>SUM(G35:G39)</f>
        <v>0</v>
      </c>
      <c r="H40" s="281">
        <f>SUM(H35:H39)</f>
        <v>0</v>
      </c>
      <c r="I40" s="271">
        <f>SUM(I35:I39)</f>
        <v>0</v>
      </c>
      <c r="J40" s="275"/>
      <c r="K40" s="281">
        <f>(K35+K39)</f>
        <v>0</v>
      </c>
      <c r="L40" s="281">
        <f>(L35+L39)</f>
        <v>0</v>
      </c>
      <c r="M40" s="271">
        <f t="shared" si="2"/>
        <v>0</v>
      </c>
      <c r="N40" s="275"/>
      <c r="O40" s="271"/>
      <c r="P40" s="281"/>
      <c r="Q40" s="271">
        <f t="shared" si="7"/>
        <v>0</v>
      </c>
      <c r="R40" s="275"/>
      <c r="S40" s="281"/>
      <c r="T40" s="281"/>
      <c r="U40" s="271">
        <f t="shared" si="8"/>
        <v>0</v>
      </c>
      <c r="V40" s="275"/>
      <c r="W40" s="281"/>
      <c r="X40" s="281"/>
      <c r="Y40" s="271">
        <f t="shared" si="9"/>
        <v>0</v>
      </c>
    </row>
    <row r="41" spans="1:25" ht="3.9" customHeight="1" x14ac:dyDescent="0.25">
      <c r="A41" s="369"/>
      <c r="B41" s="275"/>
      <c r="C41" s="273"/>
      <c r="D41" s="273"/>
      <c r="E41" s="281"/>
      <c r="F41" s="275"/>
      <c r="G41" s="273"/>
      <c r="H41" s="276"/>
      <c r="I41" s="271"/>
      <c r="J41" s="275"/>
      <c r="K41" s="273"/>
      <c r="L41" s="276"/>
      <c r="M41" s="271"/>
      <c r="N41" s="275"/>
      <c r="O41" s="273"/>
      <c r="P41" s="276"/>
      <c r="Q41" s="271"/>
      <c r="R41" s="275"/>
      <c r="S41" s="273"/>
      <c r="T41" s="276"/>
      <c r="U41" s="271"/>
      <c r="V41" s="275"/>
      <c r="W41" s="273"/>
      <c r="X41" s="276"/>
      <c r="Y41" s="271"/>
    </row>
    <row r="42" spans="1:25" ht="17.25" customHeight="1" x14ac:dyDescent="0.25">
      <c r="A42" s="369" t="s">
        <v>120</v>
      </c>
      <c r="B42" s="275"/>
      <c r="C42" s="275">
        <f>C33+C40</f>
        <v>0</v>
      </c>
      <c r="D42" s="275">
        <f>D33+D40</f>
        <v>0</v>
      </c>
      <c r="E42" s="275">
        <f>E33+E40</f>
        <v>0</v>
      </c>
      <c r="F42" s="275"/>
      <c r="G42" s="271">
        <f>G33+G40</f>
        <v>0</v>
      </c>
      <c r="H42" s="281">
        <f>H33+H40</f>
        <v>0</v>
      </c>
      <c r="I42" s="271">
        <f>I33+I40</f>
        <v>0</v>
      </c>
      <c r="J42" s="275"/>
      <c r="K42" s="271">
        <f>(K33+K40)</f>
        <v>0</v>
      </c>
      <c r="L42" s="281">
        <f>(L33+L40)</f>
        <v>0</v>
      </c>
      <c r="M42" s="271">
        <f>(M33+M40)</f>
        <v>0</v>
      </c>
      <c r="N42" s="281">
        <f>N33+N40</f>
        <v>0</v>
      </c>
      <c r="O42" s="271">
        <f>O33+O40</f>
        <v>0</v>
      </c>
      <c r="P42" s="281">
        <f>(P33+P40)</f>
        <v>0</v>
      </c>
      <c r="Q42" s="271">
        <f>(Q33+Q40)</f>
        <v>0</v>
      </c>
      <c r="R42" s="271">
        <f t="shared" ref="R42:V42" si="10">SUM(R33:R40)</f>
        <v>0</v>
      </c>
      <c r="S42" s="271">
        <f t="shared" si="10"/>
        <v>0</v>
      </c>
      <c r="T42" s="271">
        <f t="shared" si="10"/>
        <v>0</v>
      </c>
      <c r="U42" s="271">
        <f>SUM(U33:U40)</f>
        <v>0</v>
      </c>
      <c r="V42" s="271">
        <f t="shared" si="10"/>
        <v>0</v>
      </c>
      <c r="W42" s="271">
        <f t="shared" ref="W42:X42" si="11">SUM(W33:W40)</f>
        <v>0</v>
      </c>
      <c r="X42" s="271">
        <f t="shared" si="11"/>
        <v>0</v>
      </c>
      <c r="Y42" s="271">
        <f>SUM(Y33:Y40)</f>
        <v>0</v>
      </c>
    </row>
    <row r="43" spans="1:25" ht="17.25" customHeight="1" x14ac:dyDescent="0.25">
      <c r="A43" s="371"/>
      <c r="B43" s="284"/>
      <c r="C43" s="282"/>
      <c r="D43" s="282"/>
      <c r="E43" s="397"/>
      <c r="F43" s="284"/>
      <c r="G43" s="282"/>
      <c r="H43" s="283"/>
      <c r="I43" s="284"/>
      <c r="J43" s="284"/>
      <c r="K43" s="282"/>
      <c r="L43" s="283"/>
      <c r="M43" s="284"/>
      <c r="N43" s="284"/>
      <c r="O43" s="282"/>
      <c r="P43" s="283"/>
      <c r="Q43" s="284"/>
      <c r="R43" s="284"/>
      <c r="S43" s="282"/>
      <c r="T43" s="283"/>
      <c r="U43" s="284"/>
      <c r="V43" s="284"/>
      <c r="W43" s="282"/>
      <c r="X43" s="283"/>
      <c r="Y43" s="284"/>
    </row>
    <row r="44" spans="1:25" x14ac:dyDescent="0.25">
      <c r="A44" s="340" t="s">
        <v>60</v>
      </c>
      <c r="B44" s="398"/>
      <c r="C44" s="285"/>
      <c r="D44" s="285"/>
      <c r="E44" s="399"/>
      <c r="F44" s="286"/>
      <c r="G44" s="285"/>
      <c r="H44" s="285"/>
      <c r="I44" s="286"/>
      <c r="J44" s="286"/>
      <c r="K44" s="285"/>
      <c r="L44" s="285"/>
      <c r="M44" s="286"/>
      <c r="N44" s="286"/>
      <c r="O44" s="285"/>
      <c r="P44" s="285"/>
      <c r="Q44" s="286"/>
      <c r="R44" s="286"/>
      <c r="S44" s="285"/>
      <c r="T44" s="285"/>
      <c r="U44" s="286"/>
      <c r="V44" s="286"/>
      <c r="W44" s="285"/>
      <c r="X44" s="285"/>
      <c r="Y44" s="287"/>
    </row>
    <row r="45" spans="1:25" x14ac:dyDescent="0.25">
      <c r="A45" s="372" t="s">
        <v>122</v>
      </c>
      <c r="B45" s="273"/>
      <c r="C45" s="292"/>
      <c r="D45" s="292"/>
      <c r="E45" s="289"/>
      <c r="F45" s="267"/>
      <c r="G45" s="292"/>
      <c r="H45" s="292"/>
      <c r="I45" s="289"/>
      <c r="J45" s="267"/>
      <c r="K45" s="292"/>
      <c r="L45" s="292"/>
      <c r="M45" s="289"/>
      <c r="N45" s="267"/>
      <c r="O45" s="292"/>
      <c r="P45" s="292"/>
      <c r="Q45" s="289"/>
      <c r="R45" s="267"/>
      <c r="S45" s="292"/>
      <c r="T45" s="292"/>
      <c r="U45" s="289"/>
      <c r="V45" s="267"/>
      <c r="W45" s="292"/>
      <c r="X45" s="292"/>
      <c r="Y45" s="289"/>
    </row>
    <row r="46" spans="1:25" x14ac:dyDescent="0.25">
      <c r="A46" s="368"/>
      <c r="B46" s="273"/>
      <c r="C46" s="269"/>
      <c r="D46" s="269"/>
      <c r="E46" s="289"/>
      <c r="F46" s="273"/>
      <c r="G46" s="269"/>
      <c r="H46" s="269"/>
      <c r="I46" s="289"/>
      <c r="J46" s="273"/>
      <c r="K46" s="269"/>
      <c r="L46" s="269"/>
      <c r="M46" s="289"/>
      <c r="N46" s="273"/>
      <c r="O46" s="269"/>
      <c r="P46" s="269"/>
      <c r="Q46" s="289"/>
      <c r="R46" s="273"/>
      <c r="S46" s="269"/>
      <c r="T46" s="269"/>
      <c r="U46" s="289"/>
      <c r="V46" s="273"/>
      <c r="W46" s="269"/>
      <c r="X46" s="269"/>
      <c r="Y46" s="289"/>
    </row>
    <row r="47" spans="1:25" s="251" customFormat="1" x14ac:dyDescent="0.25">
      <c r="A47" s="373" t="s">
        <v>55</v>
      </c>
      <c r="B47" s="275">
        <f>SUM(B45:B46)</f>
        <v>0</v>
      </c>
      <c r="C47" s="275"/>
      <c r="D47" s="275"/>
      <c r="E47" s="275"/>
      <c r="F47" s="275">
        <f>SUM(F45:F46)</f>
        <v>0</v>
      </c>
      <c r="G47" s="275"/>
      <c r="H47" s="275"/>
      <c r="I47" s="275">
        <f>SUM(I45:I46)</f>
        <v>0</v>
      </c>
      <c r="J47" s="275"/>
      <c r="K47" s="275"/>
      <c r="L47" s="275"/>
      <c r="M47" s="275">
        <f>SUM(M45:M46)</f>
        <v>0</v>
      </c>
      <c r="N47" s="275"/>
      <c r="O47" s="275"/>
      <c r="P47" s="275"/>
      <c r="Q47" s="275">
        <f>SUM(Q45:Q46)</f>
        <v>0</v>
      </c>
      <c r="R47" s="275"/>
      <c r="S47" s="275"/>
      <c r="T47" s="275"/>
      <c r="U47" s="275">
        <f>SUM(U45:U46)</f>
        <v>0</v>
      </c>
      <c r="V47" s="275"/>
      <c r="W47" s="275"/>
      <c r="X47" s="275"/>
      <c r="Y47" s="275"/>
    </row>
    <row r="48" spans="1:25" ht="3.9" customHeight="1" x14ac:dyDescent="0.25">
      <c r="A48" s="369"/>
      <c r="B48" s="273"/>
      <c r="C48" s="273"/>
      <c r="D48" s="273"/>
      <c r="E48" s="281"/>
      <c r="F48" s="273"/>
      <c r="G48" s="273"/>
      <c r="H48" s="273"/>
      <c r="I48" s="281"/>
      <c r="J48" s="273"/>
      <c r="K48" s="273"/>
      <c r="L48" s="273"/>
      <c r="M48" s="281"/>
      <c r="N48" s="273"/>
      <c r="O48" s="273"/>
      <c r="P48" s="273"/>
      <c r="Q48" s="281"/>
      <c r="R48" s="273"/>
      <c r="S48" s="273"/>
      <c r="T48" s="273"/>
      <c r="U48" s="281"/>
      <c r="V48" s="273"/>
      <c r="W48" s="273"/>
      <c r="X48" s="273"/>
      <c r="Y48" s="281"/>
    </row>
    <row r="49" spans="1:25" s="255" customFormat="1" x14ac:dyDescent="0.25">
      <c r="A49" s="369" t="s">
        <v>123</v>
      </c>
      <c r="B49" s="294">
        <f>B47</f>
        <v>0</v>
      </c>
      <c r="C49" s="294"/>
      <c r="D49" s="294"/>
      <c r="E49" s="294"/>
      <c r="F49" s="294">
        <f>F47</f>
        <v>0</v>
      </c>
      <c r="G49" s="294"/>
      <c r="H49" s="294"/>
      <c r="I49" s="294">
        <f>I47</f>
        <v>0</v>
      </c>
      <c r="J49" s="294"/>
      <c r="K49" s="294"/>
      <c r="L49" s="294"/>
      <c r="M49" s="294">
        <f>M47</f>
        <v>0</v>
      </c>
      <c r="N49" s="294"/>
      <c r="O49" s="294"/>
      <c r="P49" s="294"/>
      <c r="Q49" s="294">
        <f>Q47</f>
        <v>0</v>
      </c>
      <c r="R49" s="294"/>
      <c r="S49" s="294"/>
      <c r="T49" s="294"/>
      <c r="U49" s="294">
        <f>U47</f>
        <v>0</v>
      </c>
      <c r="V49" s="294"/>
      <c r="W49" s="294"/>
      <c r="X49" s="294"/>
      <c r="Y49" s="294"/>
    </row>
    <row r="50" spans="1:25" s="261" customFormat="1" x14ac:dyDescent="0.25">
      <c r="A50" s="253"/>
      <c r="B50" s="256"/>
      <c r="C50" s="256"/>
      <c r="D50" s="256"/>
      <c r="E50" s="257"/>
      <c r="F50" s="258"/>
      <c r="G50" s="259"/>
      <c r="H50" s="260"/>
      <c r="I50" s="258"/>
      <c r="J50" s="258"/>
      <c r="K50" s="259"/>
      <c r="L50" s="260"/>
      <c r="M50" s="258"/>
      <c r="N50" s="258"/>
      <c r="O50" s="259"/>
      <c r="P50" s="260"/>
      <c r="Q50" s="258"/>
      <c r="R50" s="258"/>
      <c r="S50" s="259"/>
      <c r="T50" s="260"/>
      <c r="U50" s="258"/>
      <c r="V50" s="258"/>
      <c r="W50" s="259"/>
      <c r="X50" s="260"/>
      <c r="Y50" s="258"/>
    </row>
    <row r="51" spans="1:25" x14ac:dyDescent="0.25">
      <c r="A51" s="253" t="s">
        <v>25</v>
      </c>
      <c r="B51" s="253"/>
      <c r="C51" s="254" t="s">
        <v>221</v>
      </c>
      <c r="D51" s="254"/>
      <c r="E51" s="254"/>
      <c r="F51" s="253"/>
      <c r="G51" s="254"/>
      <c r="H51" s="254"/>
      <c r="I51" s="253"/>
      <c r="J51" s="253"/>
      <c r="K51" s="254"/>
      <c r="L51" s="254"/>
      <c r="M51" s="253"/>
      <c r="N51" s="253"/>
      <c r="O51" s="254"/>
      <c r="P51" s="254"/>
      <c r="Q51" s="253"/>
      <c r="R51" s="253"/>
      <c r="S51" s="254"/>
      <c r="T51" s="254"/>
      <c r="V51" s="253"/>
      <c r="W51" s="254"/>
      <c r="X51" s="254"/>
      <c r="Y51" s="253"/>
    </row>
    <row r="52" spans="1:25" x14ac:dyDescent="0.25">
      <c r="U52" s="262"/>
      <c r="V52" s="262"/>
      <c r="W52" s="254"/>
      <c r="X52" s="254"/>
      <c r="Y52" s="262"/>
    </row>
    <row r="53" spans="1:25" x14ac:dyDescent="0.25">
      <c r="A53" s="253" t="s">
        <v>212</v>
      </c>
      <c r="B53" s="253" t="s">
        <v>213</v>
      </c>
      <c r="D53" s="254"/>
      <c r="G53" s="254"/>
      <c r="I53" s="253"/>
      <c r="K53" s="254"/>
      <c r="M53" s="253"/>
      <c r="N53" s="262"/>
      <c r="O53" s="254"/>
      <c r="P53" s="254"/>
      <c r="Q53" s="262"/>
      <c r="R53" s="262"/>
      <c r="S53" s="254"/>
      <c r="T53" s="254"/>
      <c r="U53" s="262"/>
      <c r="V53" s="262"/>
      <c r="W53" s="254"/>
      <c r="X53" s="254"/>
      <c r="Y53" s="262"/>
    </row>
    <row r="54" spans="1:25" x14ac:dyDescent="0.25">
      <c r="A54" s="253" t="s">
        <v>214</v>
      </c>
      <c r="B54" s="253" t="s">
        <v>215</v>
      </c>
      <c r="D54" s="254"/>
      <c r="G54" s="254"/>
      <c r="I54" s="253"/>
      <c r="K54" s="254"/>
      <c r="M54" s="253"/>
      <c r="N54" s="262"/>
      <c r="O54" s="254"/>
      <c r="P54" s="254"/>
      <c r="Q54" s="262"/>
      <c r="R54" s="262"/>
      <c r="S54" s="254"/>
      <c r="T54" s="254"/>
    </row>
    <row r="55" spans="1:25" x14ac:dyDescent="0.25">
      <c r="A55" s="253" t="s">
        <v>216</v>
      </c>
      <c r="B55" s="253" t="s">
        <v>217</v>
      </c>
      <c r="D55" s="254"/>
      <c r="G55" s="254"/>
      <c r="I55" s="253"/>
      <c r="K55" s="254"/>
      <c r="M55" s="253"/>
      <c r="U55" s="263"/>
      <c r="V55" s="263"/>
      <c r="Y55" s="263"/>
    </row>
    <row r="56" spans="1:25" x14ac:dyDescent="0.25">
      <c r="A56" s="253" t="s">
        <v>218</v>
      </c>
      <c r="B56" s="253" t="s">
        <v>219</v>
      </c>
      <c r="D56" s="254"/>
      <c r="F56" s="263"/>
      <c r="I56" s="263"/>
      <c r="J56" s="263"/>
      <c r="M56" s="263"/>
      <c r="N56" s="263"/>
      <c r="Q56" s="263"/>
      <c r="R56" s="263"/>
      <c r="U56" s="262"/>
      <c r="V56" s="262"/>
      <c r="W56" s="254"/>
      <c r="X56" s="254"/>
      <c r="Y56" s="262"/>
    </row>
    <row r="57" spans="1:25" x14ac:dyDescent="0.25">
      <c r="A57" s="253"/>
      <c r="B57" s="253"/>
      <c r="D57" s="254"/>
      <c r="G57" s="254"/>
      <c r="I57" s="253"/>
      <c r="K57" s="254"/>
      <c r="M57" s="253"/>
      <c r="N57" s="262"/>
      <c r="O57" s="254"/>
      <c r="P57" s="254"/>
      <c r="Q57" s="262"/>
      <c r="R57" s="262"/>
      <c r="S57" s="254"/>
      <c r="T57" s="254"/>
      <c r="U57" s="263"/>
      <c r="V57" s="263"/>
      <c r="Y57" s="263"/>
    </row>
    <row r="58" spans="1:25" x14ac:dyDescent="0.25">
      <c r="A58" s="263"/>
      <c r="B58" s="263"/>
      <c r="F58" s="263"/>
      <c r="I58" s="263"/>
      <c r="J58" s="263"/>
      <c r="M58" s="263"/>
      <c r="N58" s="263"/>
      <c r="Q58" s="263"/>
      <c r="R58" s="263"/>
      <c r="U58" s="263"/>
      <c r="V58" s="263"/>
      <c r="Y58" s="263"/>
    </row>
    <row r="59" spans="1:25" x14ac:dyDescent="0.25">
      <c r="A59" s="263"/>
      <c r="B59" s="263"/>
      <c r="F59" s="263"/>
      <c r="I59" s="263"/>
      <c r="J59" s="263"/>
      <c r="M59" s="263"/>
      <c r="N59" s="263"/>
      <c r="Q59" s="263"/>
      <c r="R59" s="263"/>
      <c r="U59" s="263"/>
      <c r="V59" s="263"/>
      <c r="Y59" s="263"/>
    </row>
    <row r="60" spans="1:25" x14ac:dyDescent="0.25">
      <c r="A60" s="263"/>
      <c r="B60" s="263"/>
      <c r="F60" s="263"/>
      <c r="I60" s="263"/>
      <c r="J60" s="263"/>
      <c r="M60" s="263"/>
      <c r="N60" s="263"/>
      <c r="Q60" s="263"/>
      <c r="R60" s="263"/>
      <c r="U60" s="263"/>
      <c r="V60" s="263"/>
      <c r="Y60" s="263"/>
    </row>
  </sheetData>
  <sheetProtection password="F485" sheet="1" objects="1" scenarios="1"/>
  <mergeCells count="12">
    <mergeCell ref="B3:E3"/>
    <mergeCell ref="F3:I3"/>
    <mergeCell ref="B25:E25"/>
    <mergeCell ref="F25:I25"/>
    <mergeCell ref="V3:Y3"/>
    <mergeCell ref="R25:U25"/>
    <mergeCell ref="V25:Y25"/>
    <mergeCell ref="N25:Q25"/>
    <mergeCell ref="J25:M25"/>
    <mergeCell ref="J3:M3"/>
    <mergeCell ref="N3:Q3"/>
    <mergeCell ref="R3:U3"/>
  </mergeCells>
  <phoneticPr fontId="0" type="noConversion"/>
  <printOptions horizontalCentered="1" verticalCentered="1"/>
  <pageMargins left="0" right="0" top="1" bottom="1" header="0.5" footer="0.5"/>
  <pageSetup scale="44" orientation="landscape" cellComments="asDisplayed" r:id="rId1"/>
  <headerFooter alignWithMargins="0">
    <oddHeader xml:space="preserve">&amp;C&amp;"Arial,Bold"San Diego Gas and Electric
Program Subscription Statistics
MARCH 2016
</oddHeader>
    <oddFooter>&amp;L&amp;F</oddFooter>
  </headerFooter>
  <ignoredErrors>
    <ignoredError sqref="M28:M33 M35:M4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opLeftCell="D1" zoomScale="80" zoomScaleNormal="80" workbookViewId="0">
      <selection activeCell="C32" sqref="C32"/>
    </sheetView>
  </sheetViews>
  <sheetFormatPr defaultColWidth="9.109375" defaultRowHeight="13.2" x14ac:dyDescent="0.25"/>
  <cols>
    <col min="1" max="1" width="45.6640625" style="252" customWidth="1"/>
    <col min="2" max="3" width="10.88671875" style="252" customWidth="1"/>
    <col min="4" max="4" width="10.6640625" style="252" customWidth="1"/>
    <col min="5" max="5" width="12.6640625" style="252" customWidth="1"/>
    <col min="6" max="8" width="10.5546875" style="252" customWidth="1"/>
    <col min="9" max="9" width="12.6640625" style="252" customWidth="1"/>
    <col min="10" max="12" width="10.6640625" style="252" customWidth="1"/>
    <col min="13" max="13" width="12.6640625" style="252" customWidth="1"/>
    <col min="14" max="16" width="10.6640625" style="252" customWidth="1"/>
    <col min="17" max="17" width="12.6640625" style="252" customWidth="1"/>
    <col min="18" max="20" width="10.6640625" style="252" customWidth="1"/>
    <col min="21" max="21" width="12.6640625" style="252" customWidth="1"/>
    <col min="22" max="24" width="10.6640625" style="252" customWidth="1"/>
    <col min="25" max="25" width="12.6640625" style="252" customWidth="1"/>
    <col min="26" max="16384" width="9.109375" style="252"/>
  </cols>
  <sheetData>
    <row r="1" spans="1:25" x14ac:dyDescent="0.25">
      <c r="A1" s="251" t="s">
        <v>210</v>
      </c>
    </row>
    <row r="3" spans="1:25" ht="21.75" customHeight="1" x14ac:dyDescent="0.25">
      <c r="A3" s="367">
        <v>2016</v>
      </c>
      <c r="B3" s="633" t="s">
        <v>0</v>
      </c>
      <c r="C3" s="633"/>
      <c r="D3" s="633"/>
      <c r="E3" s="633"/>
      <c r="F3" s="633" t="s">
        <v>1</v>
      </c>
      <c r="G3" s="633"/>
      <c r="H3" s="633"/>
      <c r="I3" s="633"/>
      <c r="J3" s="633" t="s">
        <v>2</v>
      </c>
      <c r="K3" s="633"/>
      <c r="L3" s="633"/>
      <c r="M3" s="633"/>
      <c r="N3" s="633" t="s">
        <v>3</v>
      </c>
      <c r="O3" s="633"/>
      <c r="P3" s="633"/>
      <c r="Q3" s="633"/>
      <c r="R3" s="633" t="s">
        <v>4</v>
      </c>
      <c r="S3" s="633"/>
      <c r="T3" s="633"/>
      <c r="U3" s="633"/>
      <c r="V3" s="633" t="s">
        <v>5</v>
      </c>
      <c r="W3" s="633"/>
      <c r="X3" s="633"/>
      <c r="Y3" s="633"/>
    </row>
    <row r="4" spans="1:25" ht="79.5" customHeight="1" x14ac:dyDescent="0.25">
      <c r="A4" s="427" t="s">
        <v>41</v>
      </c>
      <c r="B4" s="434" t="s">
        <v>117</v>
      </c>
      <c r="C4" s="434" t="s">
        <v>118</v>
      </c>
      <c r="D4" s="434" t="s">
        <v>119</v>
      </c>
      <c r="E4" s="434" t="s">
        <v>120</v>
      </c>
      <c r="F4" s="434" t="s">
        <v>117</v>
      </c>
      <c r="G4" s="434" t="s">
        <v>118</v>
      </c>
      <c r="H4" s="434" t="s">
        <v>119</v>
      </c>
      <c r="I4" s="434" t="s">
        <v>120</v>
      </c>
      <c r="J4" s="434" t="s">
        <v>117</v>
      </c>
      <c r="K4" s="434" t="s">
        <v>118</v>
      </c>
      <c r="L4" s="434" t="s">
        <v>119</v>
      </c>
      <c r="M4" s="434" t="s">
        <v>120</v>
      </c>
      <c r="N4" s="434" t="s">
        <v>117</v>
      </c>
      <c r="O4" s="434" t="s">
        <v>118</v>
      </c>
      <c r="P4" s="434" t="s">
        <v>119</v>
      </c>
      <c r="Q4" s="434" t="s">
        <v>120</v>
      </c>
      <c r="R4" s="434" t="s">
        <v>117</v>
      </c>
      <c r="S4" s="434" t="s">
        <v>118</v>
      </c>
      <c r="T4" s="434" t="s">
        <v>119</v>
      </c>
      <c r="U4" s="434" t="s">
        <v>120</v>
      </c>
      <c r="V4" s="434" t="s">
        <v>117</v>
      </c>
      <c r="W4" s="434" t="s">
        <v>118</v>
      </c>
      <c r="X4" s="434" t="s">
        <v>119</v>
      </c>
      <c r="Y4" s="434" t="s">
        <v>120</v>
      </c>
    </row>
    <row r="5" spans="1:25" x14ac:dyDescent="0.25">
      <c r="A5" s="368" t="s">
        <v>62</v>
      </c>
      <c r="B5" s="267"/>
      <c r="C5" s="268">
        <v>5.8977000000000004</v>
      </c>
      <c r="D5" s="269">
        <v>2.3029999999999999</v>
      </c>
      <c r="E5" s="270">
        <f>SUM(B5:D5)</f>
        <v>8.2007000000000012</v>
      </c>
      <c r="F5" s="266"/>
      <c r="G5" s="269">
        <v>5.8977000000000004</v>
      </c>
      <c r="H5" s="269">
        <v>2.3029999999999999</v>
      </c>
      <c r="I5" s="271">
        <f>SUM(G5:H5)</f>
        <v>8.2007000000000012</v>
      </c>
      <c r="J5" s="266"/>
      <c r="K5" s="269">
        <v>5.8977000000000004</v>
      </c>
      <c r="L5" s="269">
        <v>2.3029999999999999</v>
      </c>
      <c r="M5" s="271">
        <f>SUM(K5:L5)</f>
        <v>8.2007000000000012</v>
      </c>
      <c r="N5" s="266"/>
      <c r="O5" s="269">
        <v>5.8977000000000004</v>
      </c>
      <c r="P5" s="269">
        <v>2.3029999999999999</v>
      </c>
      <c r="Q5" s="271">
        <f>SUM(O5:P5)</f>
        <v>8.2007000000000012</v>
      </c>
      <c r="R5" s="266"/>
      <c r="S5" s="269">
        <v>5.8977000000000004</v>
      </c>
      <c r="T5" s="269">
        <v>2.3029999999999999</v>
      </c>
      <c r="U5" s="271">
        <f>SUM(S5:T5)</f>
        <v>8.2007000000000012</v>
      </c>
      <c r="V5" s="368"/>
      <c r="W5" s="412">
        <v>5.8977000000000004</v>
      </c>
      <c r="X5" s="412">
        <v>2.3029999999999999</v>
      </c>
      <c r="Y5" s="417">
        <f>SUM(W5:X5)</f>
        <v>8.2007000000000012</v>
      </c>
    </row>
    <row r="6" spans="1:25" x14ac:dyDescent="0.25">
      <c r="A6" s="368" t="s">
        <v>121</v>
      </c>
      <c r="B6" s="380"/>
      <c r="C6" s="381">
        <v>12.8962</v>
      </c>
      <c r="D6" s="268">
        <v>1.4750000000000001</v>
      </c>
      <c r="E6" s="270">
        <f>SUM(B6:D6)</f>
        <v>14.3712</v>
      </c>
      <c r="F6" s="266"/>
      <c r="G6" s="269">
        <v>12.911899999999999</v>
      </c>
      <c r="H6" s="272">
        <v>1.4750000000000001</v>
      </c>
      <c r="I6" s="271">
        <f>SUM(G6:H6)</f>
        <v>14.386899999999999</v>
      </c>
      <c r="J6" s="273"/>
      <c r="K6" s="269">
        <v>12.6189</v>
      </c>
      <c r="L6" s="272">
        <v>1.4750000000000001</v>
      </c>
      <c r="M6" s="271">
        <f>SUM(K6:L6)</f>
        <v>14.0939</v>
      </c>
      <c r="N6" s="273"/>
      <c r="O6" s="269">
        <v>12.6189</v>
      </c>
      <c r="P6" s="272">
        <v>1.4750000000000001</v>
      </c>
      <c r="Q6" s="271">
        <f>SUM(O6:P6)</f>
        <v>14.0939</v>
      </c>
      <c r="R6" s="273"/>
      <c r="S6" s="269">
        <v>12.6189</v>
      </c>
      <c r="T6" s="272">
        <v>1.4750000000000001</v>
      </c>
      <c r="U6" s="271">
        <f>SUM(S6:T6)</f>
        <v>14.0939</v>
      </c>
      <c r="V6" s="411"/>
      <c r="W6" s="412">
        <v>12.6189</v>
      </c>
      <c r="X6" s="413">
        <v>1.4750000000000001</v>
      </c>
      <c r="Y6" s="417">
        <f>SUM(W6:X6)</f>
        <v>14.0939</v>
      </c>
    </row>
    <row r="7" spans="1:25" s="251" customFormat="1" x14ac:dyDescent="0.25">
      <c r="A7" s="369" t="s">
        <v>55</v>
      </c>
      <c r="B7" s="382"/>
      <c r="C7" s="383">
        <f>SUM(C5:C6)</f>
        <v>18.793900000000001</v>
      </c>
      <c r="D7" s="383">
        <f>SUM(D5:D6)</f>
        <v>3.778</v>
      </c>
      <c r="E7" s="383">
        <f>SUM(E5:E6)</f>
        <v>22.571899999999999</v>
      </c>
      <c r="F7" s="274"/>
      <c r="G7" s="271">
        <f t="shared" ref="G7:Y7" si="0">SUM(G5:G6)</f>
        <v>18.8096</v>
      </c>
      <c r="H7" s="271">
        <f t="shared" si="0"/>
        <v>3.778</v>
      </c>
      <c r="I7" s="271">
        <f t="shared" si="0"/>
        <v>22.587600000000002</v>
      </c>
      <c r="J7" s="271"/>
      <c r="K7" s="271">
        <f t="shared" si="0"/>
        <v>18.5166</v>
      </c>
      <c r="L7" s="271">
        <f t="shared" si="0"/>
        <v>3.778</v>
      </c>
      <c r="M7" s="271">
        <f t="shared" si="0"/>
        <v>22.294600000000003</v>
      </c>
      <c r="N7" s="271"/>
      <c r="O7" s="271">
        <f t="shared" ref="O7" si="1">SUM(O5:O6)</f>
        <v>18.5166</v>
      </c>
      <c r="P7" s="271">
        <f t="shared" ref="P7" si="2">SUM(P5:P6)</f>
        <v>3.778</v>
      </c>
      <c r="Q7" s="271">
        <f t="shared" si="0"/>
        <v>22.294600000000003</v>
      </c>
      <c r="R7" s="271"/>
      <c r="S7" s="271">
        <f t="shared" si="0"/>
        <v>18.5166</v>
      </c>
      <c r="T7" s="271">
        <f t="shared" si="0"/>
        <v>3.778</v>
      </c>
      <c r="U7" s="271">
        <f t="shared" si="0"/>
        <v>22.294600000000003</v>
      </c>
      <c r="V7" s="417"/>
      <c r="W7" s="417">
        <f t="shared" si="0"/>
        <v>18.5166</v>
      </c>
      <c r="X7" s="417">
        <f t="shared" si="0"/>
        <v>3.778</v>
      </c>
      <c r="Y7" s="417">
        <f t="shared" si="0"/>
        <v>22.294600000000003</v>
      </c>
    </row>
    <row r="8" spans="1:25" ht="3.9" customHeight="1" x14ac:dyDescent="0.25">
      <c r="A8" s="369"/>
      <c r="B8" s="274"/>
      <c r="C8" s="384"/>
      <c r="D8" s="384"/>
      <c r="E8" s="385"/>
      <c r="F8" s="274"/>
      <c r="G8" s="273"/>
      <c r="H8" s="273"/>
      <c r="I8" s="271"/>
      <c r="J8" s="275"/>
      <c r="K8" s="273"/>
      <c r="L8" s="276"/>
      <c r="M8" s="271"/>
      <c r="N8" s="275"/>
      <c r="O8" s="273"/>
      <c r="P8" s="276"/>
      <c r="Q8" s="271"/>
      <c r="R8" s="275"/>
      <c r="S8" s="273"/>
      <c r="T8" s="276"/>
      <c r="U8" s="271"/>
      <c r="V8" s="435"/>
      <c r="W8" s="411"/>
      <c r="X8" s="436"/>
      <c r="Y8" s="417"/>
    </row>
    <row r="9" spans="1:25" x14ac:dyDescent="0.25">
      <c r="A9" s="370" t="s">
        <v>22</v>
      </c>
      <c r="B9" s="277"/>
      <c r="C9" s="265"/>
      <c r="D9" s="265"/>
      <c r="E9" s="599"/>
      <c r="F9" s="277"/>
      <c r="G9" s="278"/>
      <c r="H9" s="279"/>
      <c r="I9" s="279"/>
      <c r="J9" s="280"/>
      <c r="K9" s="278"/>
      <c r="L9" s="279"/>
      <c r="M9" s="271"/>
      <c r="N9" s="280"/>
      <c r="O9" s="278"/>
      <c r="P9" s="279"/>
      <c r="Q9" s="271"/>
      <c r="R9" s="280"/>
      <c r="S9" s="278"/>
      <c r="T9" s="279"/>
      <c r="U9" s="271"/>
      <c r="V9" s="439"/>
      <c r="W9" s="437"/>
      <c r="X9" s="438"/>
      <c r="Y9" s="417">
        <f>SUM(W9:X9)</f>
        <v>0</v>
      </c>
    </row>
    <row r="10" spans="1:25" x14ac:dyDescent="0.25">
      <c r="A10" s="368" t="s">
        <v>12</v>
      </c>
      <c r="B10" s="380"/>
      <c r="C10" s="380"/>
      <c r="D10" s="268"/>
      <c r="E10" s="270"/>
      <c r="F10" s="266"/>
      <c r="G10" s="269"/>
      <c r="H10" s="268"/>
      <c r="I10" s="270"/>
      <c r="J10" s="273"/>
      <c r="K10" s="268" t="s">
        <v>13</v>
      </c>
      <c r="L10" s="268"/>
      <c r="M10" s="271"/>
      <c r="N10" s="273"/>
      <c r="O10" s="268" t="s">
        <v>13</v>
      </c>
      <c r="P10" s="268"/>
      <c r="Q10" s="271"/>
      <c r="R10" s="273"/>
      <c r="S10" s="268" t="s">
        <v>13</v>
      </c>
      <c r="T10" s="268"/>
      <c r="U10" s="271"/>
      <c r="V10" s="411"/>
      <c r="W10" s="414" t="s">
        <v>13</v>
      </c>
      <c r="X10" s="414"/>
      <c r="Y10" s="417">
        <f>SUM(W10:X10)</f>
        <v>0</v>
      </c>
    </row>
    <row r="11" spans="1:25" x14ac:dyDescent="0.25">
      <c r="A11" s="368" t="s">
        <v>28</v>
      </c>
      <c r="B11" s="380"/>
      <c r="C11" s="380"/>
      <c r="D11" s="268"/>
      <c r="E11" s="270"/>
      <c r="F11" s="266"/>
      <c r="G11" s="269"/>
      <c r="H11" s="269"/>
      <c r="I11" s="273"/>
      <c r="J11" s="273"/>
      <c r="K11" s="269"/>
      <c r="L11" s="269"/>
      <c r="M11" s="271"/>
      <c r="N11" s="273"/>
      <c r="O11" s="269"/>
      <c r="P11" s="269"/>
      <c r="Q11" s="271"/>
      <c r="R11" s="273"/>
      <c r="S11" s="269"/>
      <c r="T11" s="269"/>
      <c r="U11" s="271"/>
      <c r="V11" s="411"/>
      <c r="W11" s="412"/>
      <c r="X11" s="412"/>
      <c r="Y11" s="417">
        <f>SUM(W11:X11)</f>
        <v>0</v>
      </c>
    </row>
    <row r="12" spans="1:25" x14ac:dyDescent="0.25">
      <c r="A12" s="368"/>
      <c r="B12" s="267"/>
      <c r="C12" s="268"/>
      <c r="D12" s="268"/>
      <c r="E12" s="386"/>
      <c r="F12" s="266"/>
      <c r="G12" s="269"/>
      <c r="H12" s="269"/>
      <c r="I12" s="273"/>
      <c r="J12" s="273"/>
      <c r="K12" s="269"/>
      <c r="L12" s="269"/>
      <c r="M12" s="271" t="s">
        <v>13</v>
      </c>
      <c r="N12" s="273"/>
      <c r="O12" s="269"/>
      <c r="P12" s="269"/>
      <c r="Q12" s="271" t="s">
        <v>13</v>
      </c>
      <c r="R12" s="273"/>
      <c r="S12" s="269"/>
      <c r="T12" s="269"/>
      <c r="U12" s="271" t="s">
        <v>13</v>
      </c>
      <c r="V12" s="411"/>
      <c r="W12" s="412"/>
      <c r="X12" s="412"/>
      <c r="Y12" s="417" t="s">
        <v>13</v>
      </c>
    </row>
    <row r="13" spans="1:25" s="251" customFormat="1" x14ac:dyDescent="0.25">
      <c r="A13" s="369" t="s">
        <v>55</v>
      </c>
      <c r="B13" s="382"/>
      <c r="C13" s="383">
        <v>0</v>
      </c>
      <c r="D13" s="383">
        <f>SUM(D10:D12)</f>
        <v>0</v>
      </c>
      <c r="E13" s="383">
        <f>SUM(E10:E12)</f>
        <v>0</v>
      </c>
      <c r="F13" s="274"/>
      <c r="G13" s="281">
        <f>SUM(G9:G12)</f>
        <v>0</v>
      </c>
      <c r="H13" s="281">
        <f>SUM(H9:H12)</f>
        <v>0</v>
      </c>
      <c r="I13" s="271">
        <f>SUM(I9:I12)</f>
        <v>0</v>
      </c>
      <c r="J13" s="275"/>
      <c r="K13" s="281">
        <f>SUM(K9:K12)</f>
        <v>0</v>
      </c>
      <c r="L13" s="281">
        <f>SUM(L9:L12)</f>
        <v>0</v>
      </c>
      <c r="M13" s="271">
        <f>SUM(M9:M12)</f>
        <v>0</v>
      </c>
      <c r="N13" s="275"/>
      <c r="O13" s="281">
        <f>SUM(O9:O12)</f>
        <v>0</v>
      </c>
      <c r="P13" s="281">
        <f>SUM(P9:P12)</f>
        <v>0</v>
      </c>
      <c r="Q13" s="271">
        <f>SUM(Q9:Q12)</f>
        <v>0</v>
      </c>
      <c r="R13" s="275"/>
      <c r="S13" s="281">
        <f>SUM(S9:S12)</f>
        <v>0</v>
      </c>
      <c r="T13" s="281">
        <f>SUM(T9:T12)</f>
        <v>0</v>
      </c>
      <c r="U13" s="271">
        <f>SUM(U9:U12)</f>
        <v>0</v>
      </c>
      <c r="V13" s="435"/>
      <c r="W13" s="440">
        <f>SUM(W9:W12)</f>
        <v>0</v>
      </c>
      <c r="X13" s="440">
        <f>SUM(X9:X12)</f>
        <v>0</v>
      </c>
      <c r="Y13" s="417">
        <f>SUM(Y9:Y12)</f>
        <v>0</v>
      </c>
    </row>
    <row r="14" spans="1:25" ht="3.9" customHeight="1" x14ac:dyDescent="0.25">
      <c r="A14" s="369"/>
      <c r="B14" s="274"/>
      <c r="C14" s="384"/>
      <c r="D14" s="384"/>
      <c r="E14" s="385"/>
      <c r="F14" s="274"/>
      <c r="G14" s="273"/>
      <c r="H14" s="276"/>
      <c r="I14" s="271"/>
      <c r="J14" s="275"/>
      <c r="K14" s="273"/>
      <c r="L14" s="276"/>
      <c r="M14" s="271">
        <f>SUM(M9:M12)</f>
        <v>0</v>
      </c>
      <c r="N14" s="275"/>
      <c r="O14" s="273"/>
      <c r="P14" s="276"/>
      <c r="Q14" s="271"/>
      <c r="R14" s="275"/>
      <c r="S14" s="273"/>
      <c r="T14" s="276"/>
      <c r="U14" s="271">
        <f>SUM(U9:U12)</f>
        <v>0</v>
      </c>
      <c r="V14" s="435"/>
      <c r="W14" s="411"/>
      <c r="X14" s="436"/>
      <c r="Y14" s="417"/>
    </row>
    <row r="15" spans="1:25" s="251" customFormat="1" ht="17.25" customHeight="1" x14ac:dyDescent="0.25">
      <c r="A15" s="369" t="s">
        <v>120</v>
      </c>
      <c r="B15" s="274"/>
      <c r="C15" s="383">
        <f>C7+C13</f>
        <v>18.793900000000001</v>
      </c>
      <c r="D15" s="383">
        <f>D7+D13</f>
        <v>3.778</v>
      </c>
      <c r="E15" s="383">
        <f>E7+E13</f>
        <v>22.571899999999999</v>
      </c>
      <c r="F15" s="274"/>
      <c r="G15" s="271">
        <f>G7+G13</f>
        <v>18.8096</v>
      </c>
      <c r="H15" s="281">
        <f>H7+H13</f>
        <v>3.778</v>
      </c>
      <c r="I15" s="271">
        <f>I7+I13</f>
        <v>22.587600000000002</v>
      </c>
      <c r="J15" s="275"/>
      <c r="K15" s="271">
        <f>K7+K13</f>
        <v>18.5166</v>
      </c>
      <c r="L15" s="281">
        <f>L7+L13</f>
        <v>3.778</v>
      </c>
      <c r="M15" s="271">
        <f>M7+M13</f>
        <v>22.294600000000003</v>
      </c>
      <c r="N15" s="275"/>
      <c r="O15" s="271">
        <f>O7+O13</f>
        <v>18.5166</v>
      </c>
      <c r="P15" s="281">
        <f>P7+P13</f>
        <v>3.778</v>
      </c>
      <c r="Q15" s="271">
        <f>Q7+Q13</f>
        <v>22.294600000000003</v>
      </c>
      <c r="R15" s="275"/>
      <c r="S15" s="271">
        <f>S7+S13</f>
        <v>18.5166</v>
      </c>
      <c r="T15" s="281">
        <f>T7+T13</f>
        <v>3.778</v>
      </c>
      <c r="U15" s="271">
        <f>U7+U13</f>
        <v>22.294600000000003</v>
      </c>
      <c r="V15" s="435"/>
      <c r="W15" s="417">
        <f>W7+W13</f>
        <v>18.5166</v>
      </c>
      <c r="X15" s="440">
        <f>X7+X13</f>
        <v>3.778</v>
      </c>
      <c r="Y15" s="417">
        <f>Y7+Y13</f>
        <v>22.294600000000003</v>
      </c>
    </row>
    <row r="16" spans="1:25" ht="17.25" customHeight="1" x14ac:dyDescent="0.25">
      <c r="A16" s="371"/>
      <c r="B16" s="296"/>
      <c r="C16" s="387"/>
      <c r="D16" s="387"/>
      <c r="E16" s="388"/>
      <c r="F16" s="296"/>
      <c r="G16" s="282"/>
      <c r="H16" s="283"/>
      <c r="I16" s="284"/>
      <c r="J16" s="284"/>
      <c r="K16" s="282"/>
      <c r="L16" s="283"/>
      <c r="M16" s="284"/>
      <c r="N16" s="284"/>
      <c r="O16" s="282"/>
      <c r="P16" s="283"/>
      <c r="Q16" s="284"/>
      <c r="R16" s="284"/>
      <c r="S16" s="282"/>
      <c r="T16" s="283"/>
      <c r="U16" s="284"/>
      <c r="V16" s="443"/>
      <c r="W16" s="441"/>
      <c r="X16" s="442"/>
      <c r="Y16" s="443"/>
    </row>
    <row r="17" spans="1:25" x14ac:dyDescent="0.25">
      <c r="A17" s="427" t="s">
        <v>60</v>
      </c>
      <c r="B17" s="389"/>
      <c r="C17" s="390"/>
      <c r="D17" s="390"/>
      <c r="E17" s="391"/>
      <c r="F17" s="400"/>
      <c r="G17" s="285"/>
      <c r="H17" s="285"/>
      <c r="I17" s="286"/>
      <c r="J17" s="286"/>
      <c r="K17" s="285"/>
      <c r="L17" s="285"/>
      <c r="M17" s="286"/>
      <c r="N17" s="286"/>
      <c r="O17" s="285"/>
      <c r="P17" s="285"/>
      <c r="Q17" s="286"/>
      <c r="R17" s="286"/>
      <c r="S17" s="285"/>
      <c r="T17" s="285"/>
      <c r="U17" s="286"/>
      <c r="V17" s="445"/>
      <c r="W17" s="444"/>
      <c r="X17" s="444"/>
      <c r="Y17" s="446"/>
    </row>
    <row r="18" spans="1:25" x14ac:dyDescent="0.25">
      <c r="A18" s="372" t="s">
        <v>122</v>
      </c>
      <c r="B18" s="267"/>
      <c r="C18" s="380"/>
      <c r="D18" s="380"/>
      <c r="E18" s="386"/>
      <c r="F18" s="267"/>
      <c r="G18" s="269"/>
      <c r="H18" s="269"/>
      <c r="I18" s="273"/>
      <c r="J18" s="267"/>
      <c r="K18" s="269"/>
      <c r="L18" s="269"/>
      <c r="M18" s="273"/>
      <c r="N18" s="267"/>
      <c r="O18" s="269"/>
      <c r="P18" s="269"/>
      <c r="Q18" s="273"/>
      <c r="R18" s="267"/>
      <c r="S18" s="269"/>
      <c r="T18" s="269"/>
      <c r="U18" s="273"/>
      <c r="V18" s="415"/>
      <c r="W18" s="412"/>
      <c r="X18" s="412"/>
      <c r="Y18" s="411"/>
    </row>
    <row r="19" spans="1:25" x14ac:dyDescent="0.25">
      <c r="A19" s="368"/>
      <c r="B19" s="266"/>
      <c r="C19" s="392"/>
      <c r="D19" s="392"/>
      <c r="E19" s="393">
        <v>59.3</v>
      </c>
      <c r="F19" s="266"/>
      <c r="G19" s="269"/>
      <c r="H19" s="269"/>
      <c r="I19" s="393">
        <v>59.3</v>
      </c>
      <c r="J19" s="273"/>
      <c r="K19" s="269"/>
      <c r="L19" s="269"/>
      <c r="M19" s="273">
        <v>59.3</v>
      </c>
      <c r="N19" s="273"/>
      <c r="O19" s="269"/>
      <c r="P19" s="269"/>
      <c r="Q19" s="273">
        <v>59.3</v>
      </c>
      <c r="R19" s="273"/>
      <c r="S19" s="269"/>
      <c r="T19" s="269"/>
      <c r="U19" s="273"/>
      <c r="V19" s="411"/>
      <c r="W19" s="412"/>
      <c r="X19" s="412"/>
      <c r="Y19" s="411"/>
    </row>
    <row r="20" spans="1:25" s="251" customFormat="1" x14ac:dyDescent="0.25">
      <c r="A20" s="373" t="s">
        <v>55</v>
      </c>
      <c r="B20" s="383">
        <f>SUM(B18:B19)</f>
        <v>0</v>
      </c>
      <c r="C20" s="383"/>
      <c r="D20" s="383"/>
      <c r="E20" s="383">
        <v>59.3</v>
      </c>
      <c r="F20" s="288">
        <f>SUM(F18:F19)</f>
        <v>0</v>
      </c>
      <c r="G20" s="289"/>
      <c r="H20" s="289"/>
      <c r="I20" s="383">
        <v>59.3</v>
      </c>
      <c r="J20" s="271">
        <f>SUM(J18:J19)</f>
        <v>0</v>
      </c>
      <c r="K20" s="289"/>
      <c r="L20" s="289"/>
      <c r="M20" s="271">
        <v>59.3</v>
      </c>
      <c r="N20" s="271">
        <f>SUM(N18:N19)</f>
        <v>0</v>
      </c>
      <c r="O20" s="289"/>
      <c r="P20" s="289"/>
      <c r="Q20" s="271">
        <v>59.3</v>
      </c>
      <c r="R20" s="271">
        <f>SUM(R18:R19)</f>
        <v>0</v>
      </c>
      <c r="S20" s="289"/>
      <c r="T20" s="289"/>
      <c r="U20" s="271"/>
      <c r="V20" s="417">
        <f>SUM(V18:V19)</f>
        <v>0</v>
      </c>
      <c r="W20" s="447"/>
      <c r="X20" s="447"/>
      <c r="Y20" s="417"/>
    </row>
    <row r="21" spans="1:25" ht="3.9" customHeight="1" x14ac:dyDescent="0.25">
      <c r="A21" s="369"/>
      <c r="B21" s="384"/>
      <c r="C21" s="384"/>
      <c r="D21" s="384"/>
      <c r="E21" s="385"/>
      <c r="F21" s="274"/>
      <c r="G21" s="273"/>
      <c r="H21" s="276"/>
      <c r="I21" s="385"/>
      <c r="J21" s="275"/>
      <c r="K21" s="273"/>
      <c r="L21" s="276"/>
      <c r="M21" s="271"/>
      <c r="N21" s="275"/>
      <c r="O21" s="273"/>
      <c r="P21" s="276"/>
      <c r="Q21" s="271"/>
      <c r="R21" s="275"/>
      <c r="S21" s="273"/>
      <c r="T21" s="276"/>
      <c r="U21" s="271"/>
      <c r="V21" s="435"/>
      <c r="W21" s="411"/>
      <c r="X21" s="436"/>
      <c r="Y21" s="417"/>
    </row>
    <row r="22" spans="1:25" s="251" customFormat="1" x14ac:dyDescent="0.25">
      <c r="A22" s="369" t="s">
        <v>123</v>
      </c>
      <c r="B22" s="290">
        <f>B20</f>
        <v>0</v>
      </c>
      <c r="C22" s="290"/>
      <c r="D22" s="290"/>
      <c r="E22" s="291">
        <v>59.3</v>
      </c>
      <c r="F22" s="288">
        <f>F20</f>
        <v>0</v>
      </c>
      <c r="G22" s="290"/>
      <c r="H22" s="290"/>
      <c r="I22" s="291">
        <v>59.3</v>
      </c>
      <c r="J22" s="275">
        <f>J20</f>
        <v>0</v>
      </c>
      <c r="K22" s="290"/>
      <c r="L22" s="290"/>
      <c r="M22" s="291">
        <v>59.3</v>
      </c>
      <c r="N22" s="275">
        <f>N20</f>
        <v>0</v>
      </c>
      <c r="O22" s="290"/>
      <c r="P22" s="290"/>
      <c r="Q22" s="291"/>
      <c r="R22" s="275">
        <f>R20</f>
        <v>0</v>
      </c>
      <c r="S22" s="290"/>
      <c r="T22" s="290"/>
      <c r="U22" s="291"/>
      <c r="V22" s="435">
        <f>V20</f>
        <v>0</v>
      </c>
      <c r="W22" s="448"/>
      <c r="X22" s="448"/>
      <c r="Y22" s="418"/>
    </row>
    <row r="23" spans="1:25" x14ac:dyDescent="0.25">
      <c r="A23" s="253"/>
      <c r="B23" s="253"/>
      <c r="C23" s="449"/>
      <c r="D23" s="449"/>
      <c r="E23" s="254"/>
      <c r="F23" s="253"/>
      <c r="G23" s="449"/>
      <c r="H23" s="254"/>
      <c r="I23" s="253"/>
      <c r="J23" s="253"/>
      <c r="K23" s="449"/>
      <c r="L23" s="254"/>
      <c r="M23" s="253"/>
      <c r="N23" s="253"/>
      <c r="O23" s="449"/>
      <c r="P23" s="254"/>
      <c r="Q23" s="253"/>
      <c r="R23" s="253"/>
      <c r="S23" s="449"/>
      <c r="T23" s="254"/>
      <c r="U23" s="253"/>
      <c r="V23" s="253"/>
      <c r="W23" s="449"/>
      <c r="X23" s="254"/>
      <c r="Y23" s="253"/>
    </row>
    <row r="25" spans="1:25" x14ac:dyDescent="0.25">
      <c r="A25" s="374"/>
      <c r="B25" s="633" t="s">
        <v>6</v>
      </c>
      <c r="C25" s="633"/>
      <c r="D25" s="633"/>
      <c r="E25" s="633"/>
      <c r="F25" s="633" t="s">
        <v>7</v>
      </c>
      <c r="G25" s="633"/>
      <c r="H25" s="633"/>
      <c r="I25" s="633" t="s">
        <v>6</v>
      </c>
      <c r="J25" s="633" t="s">
        <v>8</v>
      </c>
      <c r="K25" s="633"/>
      <c r="L25" s="633"/>
      <c r="M25" s="633" t="s">
        <v>6</v>
      </c>
      <c r="N25" s="633" t="s">
        <v>9</v>
      </c>
      <c r="O25" s="633"/>
      <c r="P25" s="633"/>
      <c r="Q25" s="633" t="s">
        <v>6</v>
      </c>
      <c r="R25" s="633" t="s">
        <v>10</v>
      </c>
      <c r="S25" s="633"/>
      <c r="T25" s="633"/>
      <c r="U25" s="633" t="s">
        <v>6</v>
      </c>
      <c r="V25" s="633" t="s">
        <v>11</v>
      </c>
      <c r="W25" s="633"/>
      <c r="X25" s="633"/>
      <c r="Y25" s="633" t="s">
        <v>6</v>
      </c>
    </row>
    <row r="26" spans="1:25" ht="39.6" x14ac:dyDescent="0.25">
      <c r="A26" s="427" t="s">
        <v>41</v>
      </c>
      <c r="B26" s="434" t="s">
        <v>117</v>
      </c>
      <c r="C26" s="434" t="s">
        <v>118</v>
      </c>
      <c r="D26" s="434" t="s">
        <v>119</v>
      </c>
      <c r="E26" s="434" t="s">
        <v>120</v>
      </c>
      <c r="F26" s="434" t="s">
        <v>117</v>
      </c>
      <c r="G26" s="434" t="s">
        <v>118</v>
      </c>
      <c r="H26" s="434" t="s">
        <v>119</v>
      </c>
      <c r="I26" s="434" t="s">
        <v>120</v>
      </c>
      <c r="J26" s="434" t="s">
        <v>117</v>
      </c>
      <c r="K26" s="434" t="s">
        <v>118</v>
      </c>
      <c r="L26" s="434" t="s">
        <v>119</v>
      </c>
      <c r="M26" s="434" t="s">
        <v>120</v>
      </c>
      <c r="N26" s="434" t="s">
        <v>117</v>
      </c>
      <c r="O26" s="434" t="s">
        <v>118</v>
      </c>
      <c r="P26" s="434" t="s">
        <v>119</v>
      </c>
      <c r="Q26" s="434" t="s">
        <v>120</v>
      </c>
      <c r="R26" s="434" t="s">
        <v>117</v>
      </c>
      <c r="S26" s="434" t="s">
        <v>118</v>
      </c>
      <c r="T26" s="434" t="s">
        <v>119</v>
      </c>
      <c r="U26" s="434" t="s">
        <v>120</v>
      </c>
      <c r="V26" s="434" t="s">
        <v>117</v>
      </c>
      <c r="W26" s="434" t="s">
        <v>118</v>
      </c>
      <c r="X26" s="434" t="s">
        <v>119</v>
      </c>
      <c r="Y26" s="434" t="s">
        <v>120</v>
      </c>
    </row>
    <row r="27" spans="1:25" x14ac:dyDescent="0.25">
      <c r="A27" s="368" t="s">
        <v>124</v>
      </c>
      <c r="B27" s="450"/>
      <c r="C27" s="450"/>
      <c r="D27" s="412"/>
      <c r="E27" s="451"/>
      <c r="F27" s="411"/>
      <c r="G27" s="412"/>
      <c r="H27" s="413"/>
      <c r="I27" s="417"/>
      <c r="J27" s="411"/>
      <c r="K27" s="412"/>
      <c r="L27" s="413"/>
      <c r="M27" s="417"/>
      <c r="N27" s="411"/>
      <c r="O27" s="412"/>
      <c r="P27" s="413"/>
      <c r="Q27" s="417"/>
      <c r="R27" s="411"/>
      <c r="S27" s="412"/>
      <c r="T27" s="413"/>
      <c r="U27" s="417"/>
      <c r="V27" s="411"/>
      <c r="W27" s="412"/>
      <c r="X27" s="413"/>
      <c r="Y27" s="417"/>
    </row>
    <row r="28" spans="1:25" x14ac:dyDescent="0.25">
      <c r="A28" s="368" t="s">
        <v>121</v>
      </c>
      <c r="B28" s="450"/>
      <c r="C28" s="622">
        <v>12.6428189</v>
      </c>
      <c r="D28" s="414">
        <v>1.4750000000000001</v>
      </c>
      <c r="E28" s="451">
        <f>SUM(B28:D28)</f>
        <v>14.1178189</v>
      </c>
      <c r="F28" s="411"/>
      <c r="G28" s="412"/>
      <c r="H28" s="413"/>
      <c r="I28" s="417">
        <f t="shared" ref="I28:I32" si="3">SUM(G28:H28)</f>
        <v>0</v>
      </c>
      <c r="J28" s="411"/>
      <c r="K28" s="412"/>
      <c r="L28" s="413"/>
      <c r="M28" s="417">
        <f>SUM(K28:L28)</f>
        <v>0</v>
      </c>
      <c r="N28" s="411"/>
      <c r="O28" s="412"/>
      <c r="P28" s="413"/>
      <c r="Q28" s="417">
        <f>SUM(O28:P28)</f>
        <v>0</v>
      </c>
      <c r="R28" s="411"/>
      <c r="S28" s="412"/>
      <c r="T28" s="413"/>
      <c r="U28" s="417">
        <f>SUM(S28:T28)</f>
        <v>0</v>
      </c>
      <c r="V28" s="411"/>
      <c r="W28" s="412"/>
      <c r="X28" s="413"/>
      <c r="Y28" s="417">
        <f>SUM(W28:X28)</f>
        <v>0</v>
      </c>
    </row>
    <row r="29" spans="1:25" x14ac:dyDescent="0.25">
      <c r="A29" s="368" t="s">
        <v>125</v>
      </c>
      <c r="B29" s="450"/>
      <c r="C29" s="412"/>
      <c r="D29" s="412"/>
      <c r="E29" s="451"/>
      <c r="F29" s="411"/>
      <c r="G29" s="412"/>
      <c r="H29" s="413"/>
      <c r="I29" s="417">
        <f t="shared" si="3"/>
        <v>0</v>
      </c>
      <c r="J29" s="411"/>
      <c r="K29" s="412"/>
      <c r="L29" s="413"/>
      <c r="M29" s="417">
        <f t="shared" ref="M29:M40" si="4">SUM(K29:L29)</f>
        <v>0</v>
      </c>
      <c r="N29" s="411"/>
      <c r="O29" s="412"/>
      <c r="P29" s="413"/>
      <c r="Q29" s="417">
        <f t="shared" ref="Q29:Q33" si="5">SUM(O29:P29)</f>
        <v>0</v>
      </c>
      <c r="R29" s="411"/>
      <c r="S29" s="412"/>
      <c r="T29" s="413"/>
      <c r="U29" s="417"/>
      <c r="V29" s="411"/>
      <c r="W29" s="412"/>
      <c r="X29" s="413"/>
      <c r="Y29" s="417"/>
    </row>
    <row r="30" spans="1:25" x14ac:dyDescent="0.25">
      <c r="A30" s="368" t="s">
        <v>126</v>
      </c>
      <c r="B30" s="450"/>
      <c r="C30" s="412"/>
      <c r="D30" s="412"/>
      <c r="E30" s="451"/>
      <c r="F30" s="411"/>
      <c r="G30" s="416"/>
      <c r="H30" s="416"/>
      <c r="I30" s="417">
        <f t="shared" si="3"/>
        <v>0</v>
      </c>
      <c r="J30" s="411"/>
      <c r="K30" s="416"/>
      <c r="L30" s="416"/>
      <c r="M30" s="417">
        <f t="shared" si="4"/>
        <v>0</v>
      </c>
      <c r="N30" s="411"/>
      <c r="O30" s="416"/>
      <c r="P30" s="416"/>
      <c r="Q30" s="417">
        <f t="shared" si="5"/>
        <v>0</v>
      </c>
      <c r="R30" s="411"/>
      <c r="S30" s="416"/>
      <c r="T30" s="416"/>
      <c r="U30" s="417"/>
      <c r="V30" s="411"/>
      <c r="W30" s="416"/>
      <c r="X30" s="416"/>
      <c r="Y30" s="417"/>
    </row>
    <row r="31" spans="1:25" x14ac:dyDescent="0.25">
      <c r="A31" s="368" t="s">
        <v>127</v>
      </c>
      <c r="B31" s="450"/>
      <c r="C31" s="412"/>
      <c r="D31" s="412"/>
      <c r="E31" s="451"/>
      <c r="F31" s="411"/>
      <c r="G31" s="416"/>
      <c r="H31" s="416"/>
      <c r="I31" s="417">
        <f t="shared" si="3"/>
        <v>0</v>
      </c>
      <c r="J31" s="411"/>
      <c r="K31" s="416"/>
      <c r="L31" s="416"/>
      <c r="M31" s="417">
        <f t="shared" si="4"/>
        <v>0</v>
      </c>
      <c r="N31" s="411"/>
      <c r="O31" s="416"/>
      <c r="P31" s="416"/>
      <c r="Q31" s="417">
        <f t="shared" si="5"/>
        <v>0</v>
      </c>
      <c r="R31" s="411"/>
      <c r="S31" s="416"/>
      <c r="T31" s="416"/>
      <c r="U31" s="417"/>
      <c r="V31" s="411"/>
      <c r="W31" s="416"/>
      <c r="X31" s="416"/>
      <c r="Y31" s="417"/>
    </row>
    <row r="32" spans="1:25" x14ac:dyDescent="0.25">
      <c r="A32" s="368" t="s">
        <v>211</v>
      </c>
      <c r="B32" s="411"/>
      <c r="C32" s="412">
        <v>5.8977000000000004</v>
      </c>
      <c r="D32" s="412">
        <v>2.3029999999999999</v>
      </c>
      <c r="E32" s="451">
        <f t="shared" ref="E32" si="6">SUM(B32:D32)</f>
        <v>8.2007000000000012</v>
      </c>
      <c r="F32" s="411"/>
      <c r="G32" s="412"/>
      <c r="H32" s="412"/>
      <c r="I32" s="417">
        <f t="shared" si="3"/>
        <v>0</v>
      </c>
      <c r="J32" s="411"/>
      <c r="K32" s="412"/>
      <c r="L32" s="412"/>
      <c r="M32" s="417">
        <f t="shared" si="4"/>
        <v>0</v>
      </c>
      <c r="N32" s="411"/>
      <c r="O32" s="412"/>
      <c r="P32" s="412"/>
      <c r="Q32" s="417">
        <f t="shared" si="5"/>
        <v>0</v>
      </c>
      <c r="R32" s="411"/>
      <c r="S32" s="412"/>
      <c r="T32" s="412"/>
      <c r="U32" s="417">
        <f t="shared" ref="U32:U33" si="7">SUM(S32:T32)</f>
        <v>0</v>
      </c>
      <c r="V32" s="411"/>
      <c r="W32" s="412"/>
      <c r="X32" s="412"/>
      <c r="Y32" s="417">
        <f t="shared" ref="Y32:Y33" si="8">SUM(W32:X32)</f>
        <v>0</v>
      </c>
    </row>
    <row r="33" spans="1:25" s="251" customFormat="1" x14ac:dyDescent="0.25">
      <c r="A33" s="369" t="s">
        <v>55</v>
      </c>
      <c r="B33" s="452"/>
      <c r="C33" s="435">
        <f>SUM(C27:C32)</f>
        <v>18.540518900000002</v>
      </c>
      <c r="D33" s="435">
        <f>SUM(D27:D32)</f>
        <v>3.778</v>
      </c>
      <c r="E33" s="435">
        <f>SUM(E27:E32)</f>
        <v>22.318518900000001</v>
      </c>
      <c r="F33" s="435"/>
      <c r="G33" s="417">
        <f>SUM(G27:G32)</f>
        <v>0</v>
      </c>
      <c r="H33" s="417">
        <f>SUM(H27:H32)</f>
        <v>0</v>
      </c>
      <c r="I33" s="417">
        <f>SUM(I27:I32)</f>
        <v>0</v>
      </c>
      <c r="J33" s="435"/>
      <c r="K33" s="417">
        <f>SUM(K28:K32)</f>
        <v>0</v>
      </c>
      <c r="L33" s="417">
        <f>SUM(L28:L32)</f>
        <v>0</v>
      </c>
      <c r="M33" s="417">
        <f t="shared" si="4"/>
        <v>0</v>
      </c>
      <c r="N33" s="435"/>
      <c r="O33" s="417">
        <f>SUM(O28:O32)</f>
        <v>0</v>
      </c>
      <c r="P33" s="417">
        <f>SUM(P28:P32)</f>
        <v>0</v>
      </c>
      <c r="Q33" s="417">
        <f t="shared" si="5"/>
        <v>0</v>
      </c>
      <c r="R33" s="435"/>
      <c r="S33" s="417">
        <f>SUM(S28:S32)</f>
        <v>0</v>
      </c>
      <c r="T33" s="417">
        <f>SUM(T28:T32)</f>
        <v>0</v>
      </c>
      <c r="U33" s="417">
        <f t="shared" si="7"/>
        <v>0</v>
      </c>
      <c r="V33" s="435"/>
      <c r="W33" s="417">
        <f>SUM(W28:W32)</f>
        <v>0</v>
      </c>
      <c r="X33" s="417">
        <f>SUM(X28:X32)</f>
        <v>0</v>
      </c>
      <c r="Y33" s="417">
        <f t="shared" si="8"/>
        <v>0</v>
      </c>
    </row>
    <row r="34" spans="1:25" ht="3.9" customHeight="1" x14ac:dyDescent="0.25">
      <c r="A34" s="369"/>
      <c r="B34" s="435"/>
      <c r="C34" s="411"/>
      <c r="D34" s="411"/>
      <c r="E34" s="440"/>
      <c r="F34" s="435"/>
      <c r="G34" s="411"/>
      <c r="H34" s="436"/>
      <c r="I34" s="417"/>
      <c r="J34" s="435"/>
      <c r="K34" s="411"/>
      <c r="L34" s="436"/>
      <c r="M34" s="417"/>
      <c r="N34" s="435"/>
      <c r="O34" s="411"/>
      <c r="P34" s="436"/>
      <c r="Q34" s="417"/>
      <c r="R34" s="435"/>
      <c r="S34" s="411"/>
      <c r="T34" s="436"/>
      <c r="U34" s="417"/>
      <c r="V34" s="435"/>
      <c r="W34" s="411"/>
      <c r="X34" s="436"/>
      <c r="Y34" s="417"/>
    </row>
    <row r="35" spans="1:25" x14ac:dyDescent="0.25">
      <c r="A35" s="370" t="s">
        <v>22</v>
      </c>
      <c r="B35" s="439"/>
      <c r="C35" s="437"/>
      <c r="D35" s="437"/>
      <c r="E35" s="438"/>
      <c r="F35" s="439"/>
      <c r="G35" s="437"/>
      <c r="H35" s="438"/>
      <c r="I35" s="417">
        <f>SUM(G35:H35)</f>
        <v>0</v>
      </c>
      <c r="J35" s="439"/>
      <c r="K35" s="437"/>
      <c r="L35" s="438"/>
      <c r="M35" s="417">
        <f t="shared" si="4"/>
        <v>0</v>
      </c>
      <c r="N35" s="439"/>
      <c r="O35" s="417"/>
      <c r="P35" s="438"/>
      <c r="Q35" s="417">
        <f t="shared" ref="Q35:Q40" si="9">SUM(O35:P35)</f>
        <v>0</v>
      </c>
      <c r="R35" s="439"/>
      <c r="S35" s="437"/>
      <c r="T35" s="438"/>
      <c r="U35" s="417">
        <f>SUM(S35:T35)</f>
        <v>0</v>
      </c>
      <c r="V35" s="439"/>
      <c r="W35" s="437"/>
      <c r="X35" s="438"/>
      <c r="Y35" s="417">
        <f>SUM(W35:X35)</f>
        <v>0</v>
      </c>
    </row>
    <row r="36" spans="1:25" x14ac:dyDescent="0.25">
      <c r="A36" s="368" t="s">
        <v>12</v>
      </c>
      <c r="B36" s="450"/>
      <c r="C36" s="450"/>
      <c r="D36" s="412"/>
      <c r="E36" s="451"/>
      <c r="F36" s="411"/>
      <c r="G36" s="412"/>
      <c r="H36" s="412"/>
      <c r="I36" s="417">
        <f>SUM(G36:H36)</f>
        <v>0</v>
      </c>
      <c r="J36" s="411"/>
      <c r="K36" s="412"/>
      <c r="L36" s="412"/>
      <c r="M36" s="417">
        <f t="shared" si="4"/>
        <v>0</v>
      </c>
      <c r="N36" s="411"/>
      <c r="O36" s="417"/>
      <c r="P36" s="412"/>
      <c r="Q36" s="417">
        <f t="shared" si="9"/>
        <v>0</v>
      </c>
      <c r="R36" s="411"/>
      <c r="S36" s="412"/>
      <c r="T36" s="412"/>
      <c r="U36" s="417">
        <f t="shared" ref="U36:U40" si="10">SUM(S36:T36)</f>
        <v>0</v>
      </c>
      <c r="V36" s="411"/>
      <c r="W36" s="412"/>
      <c r="X36" s="412"/>
      <c r="Y36" s="417">
        <f t="shared" ref="Y36:Y40" si="11">SUM(W36:X36)</f>
        <v>0</v>
      </c>
    </row>
    <row r="37" spans="1:25" x14ac:dyDescent="0.25">
      <c r="A37" s="368" t="s">
        <v>14</v>
      </c>
      <c r="B37" s="450"/>
      <c r="C37" s="450"/>
      <c r="D37" s="412"/>
      <c r="E37" s="451"/>
      <c r="F37" s="411"/>
      <c r="G37" s="412"/>
      <c r="H37" s="412"/>
      <c r="I37" s="417">
        <f>SUM(G37:H37)</f>
        <v>0</v>
      </c>
      <c r="J37" s="411"/>
      <c r="K37" s="412"/>
      <c r="L37" s="412"/>
      <c r="M37" s="417">
        <f t="shared" si="4"/>
        <v>0</v>
      </c>
      <c r="N37" s="411"/>
      <c r="O37" s="417"/>
      <c r="P37" s="412"/>
      <c r="Q37" s="417">
        <f t="shared" si="9"/>
        <v>0</v>
      </c>
      <c r="R37" s="411"/>
      <c r="S37" s="412"/>
      <c r="T37" s="412"/>
      <c r="U37" s="417">
        <f t="shared" si="10"/>
        <v>0</v>
      </c>
      <c r="V37" s="411"/>
      <c r="W37" s="412"/>
      <c r="X37" s="412"/>
      <c r="Y37" s="417">
        <f t="shared" si="11"/>
        <v>0</v>
      </c>
    </row>
    <row r="38" spans="1:25" x14ac:dyDescent="0.25">
      <c r="A38" s="368" t="s">
        <v>28</v>
      </c>
      <c r="B38" s="450"/>
      <c r="C38" s="450"/>
      <c r="D38" s="412"/>
      <c r="E38" s="451"/>
      <c r="F38" s="411"/>
      <c r="G38" s="412"/>
      <c r="H38" s="412"/>
      <c r="I38" s="417">
        <f>SUM(G38:H38)</f>
        <v>0</v>
      </c>
      <c r="J38" s="411"/>
      <c r="K38" s="412"/>
      <c r="L38" s="412"/>
      <c r="M38" s="417">
        <f t="shared" si="4"/>
        <v>0</v>
      </c>
      <c r="N38" s="411"/>
      <c r="O38" s="417"/>
      <c r="P38" s="412"/>
      <c r="Q38" s="417">
        <f t="shared" si="9"/>
        <v>0</v>
      </c>
      <c r="R38" s="411"/>
      <c r="S38" s="412"/>
      <c r="T38" s="412"/>
      <c r="U38" s="417">
        <f t="shared" si="10"/>
        <v>0</v>
      </c>
      <c r="V38" s="411"/>
      <c r="W38" s="412"/>
      <c r="X38" s="412"/>
      <c r="Y38" s="417">
        <f t="shared" si="11"/>
        <v>0</v>
      </c>
    </row>
    <row r="39" spans="1:25" x14ac:dyDescent="0.25">
      <c r="A39" s="368"/>
      <c r="B39" s="411"/>
      <c r="C39" s="412"/>
      <c r="D39" s="412"/>
      <c r="E39" s="447"/>
      <c r="F39" s="411"/>
      <c r="G39" s="412"/>
      <c r="H39" s="412"/>
      <c r="I39" s="417">
        <f>SUM(G39:H39)</f>
        <v>0</v>
      </c>
      <c r="J39" s="411"/>
      <c r="K39" s="412"/>
      <c r="L39" s="412"/>
      <c r="M39" s="417">
        <f t="shared" si="4"/>
        <v>0</v>
      </c>
      <c r="N39" s="411"/>
      <c r="O39" s="417"/>
      <c r="P39" s="412"/>
      <c r="Q39" s="417">
        <f t="shared" si="9"/>
        <v>0</v>
      </c>
      <c r="R39" s="411"/>
      <c r="S39" s="412"/>
      <c r="T39" s="412"/>
      <c r="U39" s="417">
        <f t="shared" si="10"/>
        <v>0</v>
      </c>
      <c r="V39" s="411"/>
      <c r="W39" s="412"/>
      <c r="X39" s="412"/>
      <c r="Y39" s="417">
        <f t="shared" si="11"/>
        <v>0</v>
      </c>
    </row>
    <row r="40" spans="1:25" s="251" customFormat="1" x14ac:dyDescent="0.25">
      <c r="A40" s="369" t="s">
        <v>55</v>
      </c>
      <c r="B40" s="452"/>
      <c r="C40" s="435">
        <f>SUM(C35:C39)</f>
        <v>0</v>
      </c>
      <c r="D40" s="435">
        <f>SUM(D36:D39)</f>
        <v>0</v>
      </c>
      <c r="E40" s="435">
        <f>SUM(E36:E39)</f>
        <v>0</v>
      </c>
      <c r="F40" s="435"/>
      <c r="G40" s="440">
        <f>SUM(G35:G39)</f>
        <v>0</v>
      </c>
      <c r="H40" s="440">
        <f>SUM(H35:H39)</f>
        <v>0</v>
      </c>
      <c r="I40" s="417">
        <f>SUM(I35:I39)</f>
        <v>0</v>
      </c>
      <c r="J40" s="435"/>
      <c r="K40" s="440">
        <f>(K35+K39)</f>
        <v>0</v>
      </c>
      <c r="L40" s="440">
        <f>(L35+L39)</f>
        <v>0</v>
      </c>
      <c r="M40" s="417">
        <f t="shared" si="4"/>
        <v>0</v>
      </c>
      <c r="N40" s="435"/>
      <c r="O40" s="417"/>
      <c r="P40" s="440"/>
      <c r="Q40" s="417">
        <f t="shared" si="9"/>
        <v>0</v>
      </c>
      <c r="R40" s="435"/>
      <c r="S40" s="440"/>
      <c r="T40" s="440"/>
      <c r="U40" s="417">
        <f t="shared" si="10"/>
        <v>0</v>
      </c>
      <c r="V40" s="435"/>
      <c r="W40" s="440"/>
      <c r="X40" s="440"/>
      <c r="Y40" s="417">
        <f t="shared" si="11"/>
        <v>0</v>
      </c>
    </row>
    <row r="41" spans="1:25" ht="3.9" customHeight="1" x14ac:dyDescent="0.25">
      <c r="A41" s="369"/>
      <c r="B41" s="435"/>
      <c r="C41" s="411"/>
      <c r="D41" s="411"/>
      <c r="E41" s="440"/>
      <c r="F41" s="435"/>
      <c r="G41" s="411"/>
      <c r="H41" s="436"/>
      <c r="I41" s="417"/>
      <c r="J41" s="435"/>
      <c r="K41" s="411"/>
      <c r="L41" s="436"/>
      <c r="M41" s="417"/>
      <c r="N41" s="435"/>
      <c r="O41" s="411"/>
      <c r="P41" s="436"/>
      <c r="Q41" s="417"/>
      <c r="R41" s="435"/>
      <c r="S41" s="411"/>
      <c r="T41" s="436"/>
      <c r="U41" s="417"/>
      <c r="V41" s="435"/>
      <c r="W41" s="411"/>
      <c r="X41" s="436"/>
      <c r="Y41" s="417"/>
    </row>
    <row r="42" spans="1:25" ht="17.25" customHeight="1" x14ac:dyDescent="0.25">
      <c r="A42" s="369" t="s">
        <v>120</v>
      </c>
      <c r="B42" s="435"/>
      <c r="C42" s="435">
        <f>C33+C40</f>
        <v>18.540518900000002</v>
      </c>
      <c r="D42" s="435">
        <f>D33+D40</f>
        <v>3.778</v>
      </c>
      <c r="E42" s="435">
        <f>E33+E40</f>
        <v>22.318518900000001</v>
      </c>
      <c r="F42" s="435"/>
      <c r="G42" s="417">
        <f>G33+G40</f>
        <v>0</v>
      </c>
      <c r="H42" s="440">
        <f>H33+H40</f>
        <v>0</v>
      </c>
      <c r="I42" s="417">
        <f>I33+I40</f>
        <v>0</v>
      </c>
      <c r="J42" s="435"/>
      <c r="K42" s="417">
        <f>(K33+K40)</f>
        <v>0</v>
      </c>
      <c r="L42" s="440">
        <f>(L33+L40)</f>
        <v>0</v>
      </c>
      <c r="M42" s="417">
        <f>(M33+M40)</f>
        <v>0</v>
      </c>
      <c r="N42" s="440">
        <f>N33+N40</f>
        <v>0</v>
      </c>
      <c r="O42" s="417">
        <f>O33+O40</f>
        <v>0</v>
      </c>
      <c r="P42" s="440">
        <f>(P33+P40)</f>
        <v>0</v>
      </c>
      <c r="Q42" s="417">
        <f>(Q33+Q40)</f>
        <v>0</v>
      </c>
      <c r="R42" s="417">
        <f t="shared" ref="R42:X42" si="12">SUM(R33:R40)</f>
        <v>0</v>
      </c>
      <c r="S42" s="417">
        <f t="shared" si="12"/>
        <v>0</v>
      </c>
      <c r="T42" s="417">
        <f t="shared" si="12"/>
        <v>0</v>
      </c>
      <c r="U42" s="417">
        <f>SUM(U33:U40)</f>
        <v>0</v>
      </c>
      <c r="V42" s="417">
        <f t="shared" si="12"/>
        <v>0</v>
      </c>
      <c r="W42" s="417">
        <f t="shared" si="12"/>
        <v>0</v>
      </c>
      <c r="X42" s="417">
        <f t="shared" si="12"/>
        <v>0</v>
      </c>
      <c r="Y42" s="417">
        <f>SUM(Y33:Y40)</f>
        <v>0</v>
      </c>
    </row>
    <row r="43" spans="1:25" ht="17.25" customHeight="1" x14ac:dyDescent="0.25">
      <c r="A43" s="371"/>
      <c r="B43" s="443"/>
      <c r="C43" s="441"/>
      <c r="D43" s="441"/>
      <c r="E43" s="453"/>
      <c r="F43" s="443"/>
      <c r="G43" s="441"/>
      <c r="H43" s="442"/>
      <c r="I43" s="443"/>
      <c r="J43" s="443"/>
      <c r="K43" s="441"/>
      <c r="L43" s="442"/>
      <c r="M43" s="443"/>
      <c r="N43" s="443"/>
      <c r="O43" s="441"/>
      <c r="P43" s="442"/>
      <c r="Q43" s="443"/>
      <c r="R43" s="443"/>
      <c r="S43" s="441"/>
      <c r="T43" s="442"/>
      <c r="U43" s="443"/>
      <c r="V43" s="443"/>
      <c r="W43" s="441"/>
      <c r="X43" s="442"/>
      <c r="Y43" s="443"/>
    </row>
    <row r="44" spans="1:25" x14ac:dyDescent="0.25">
      <c r="A44" s="427" t="s">
        <v>60</v>
      </c>
      <c r="B44" s="454"/>
      <c r="C44" s="444"/>
      <c r="D44" s="444"/>
      <c r="E44" s="455"/>
      <c r="F44" s="445"/>
      <c r="G44" s="444"/>
      <c r="H44" s="444"/>
      <c r="I44" s="445"/>
      <c r="J44" s="445"/>
      <c r="K44" s="444"/>
      <c r="L44" s="444"/>
      <c r="M44" s="445"/>
      <c r="N44" s="445"/>
      <c r="O44" s="444"/>
      <c r="P44" s="444"/>
      <c r="Q44" s="445"/>
      <c r="R44" s="445"/>
      <c r="S44" s="444"/>
      <c r="T44" s="444"/>
      <c r="U44" s="445"/>
      <c r="V44" s="445"/>
      <c r="W44" s="444"/>
      <c r="X44" s="444"/>
      <c r="Y44" s="446"/>
    </row>
    <row r="45" spans="1:25" x14ac:dyDescent="0.25">
      <c r="A45" s="372" t="s">
        <v>122</v>
      </c>
      <c r="B45" s="411"/>
      <c r="C45" s="450"/>
      <c r="D45" s="450"/>
      <c r="E45" s="447"/>
      <c r="F45" s="415"/>
      <c r="G45" s="450"/>
      <c r="H45" s="450"/>
      <c r="I45" s="447"/>
      <c r="J45" s="415"/>
      <c r="K45" s="450"/>
      <c r="L45" s="450"/>
      <c r="M45" s="447"/>
      <c r="N45" s="415"/>
      <c r="O45" s="450"/>
      <c r="P45" s="450"/>
      <c r="Q45" s="447"/>
      <c r="R45" s="415"/>
      <c r="S45" s="450"/>
      <c r="T45" s="450"/>
      <c r="U45" s="447"/>
      <c r="V45" s="415"/>
      <c r="W45" s="450"/>
      <c r="X45" s="450"/>
      <c r="Y45" s="447"/>
    </row>
    <row r="46" spans="1:25" x14ac:dyDescent="0.25">
      <c r="A46" s="368"/>
      <c r="B46" s="411"/>
      <c r="C46" s="412"/>
      <c r="D46" s="412"/>
      <c r="E46" s="447"/>
      <c r="F46" s="411"/>
      <c r="G46" s="412"/>
      <c r="H46" s="412"/>
      <c r="I46" s="447"/>
      <c r="J46" s="411"/>
      <c r="K46" s="412"/>
      <c r="L46" s="412"/>
      <c r="M46" s="447"/>
      <c r="N46" s="411"/>
      <c r="O46" s="412"/>
      <c r="P46" s="412"/>
      <c r="Q46" s="447"/>
      <c r="R46" s="411"/>
      <c r="S46" s="412"/>
      <c r="T46" s="412"/>
      <c r="U46" s="447"/>
      <c r="V46" s="411"/>
      <c r="W46" s="412"/>
      <c r="X46" s="412"/>
      <c r="Y46" s="447"/>
    </row>
    <row r="47" spans="1:25" s="251" customFormat="1" x14ac:dyDescent="0.25">
      <c r="A47" s="373" t="s">
        <v>55</v>
      </c>
      <c r="B47" s="435">
        <f>SUM(B45:B46)</f>
        <v>0</v>
      </c>
      <c r="C47" s="435"/>
      <c r="D47" s="435"/>
      <c r="E47" s="435"/>
      <c r="F47" s="435">
        <f>SUM(F45:F46)</f>
        <v>0</v>
      </c>
      <c r="G47" s="435"/>
      <c r="H47" s="435"/>
      <c r="I47" s="435">
        <f>SUM(I45:I46)</f>
        <v>0</v>
      </c>
      <c r="J47" s="435"/>
      <c r="K47" s="435"/>
      <c r="L47" s="435"/>
      <c r="M47" s="435">
        <f>SUM(M45:M46)</f>
        <v>0</v>
      </c>
      <c r="N47" s="435"/>
      <c r="O47" s="435"/>
      <c r="P47" s="435"/>
      <c r="Q47" s="435">
        <f>SUM(Q45:Q46)</f>
        <v>0</v>
      </c>
      <c r="R47" s="435"/>
      <c r="S47" s="435"/>
      <c r="T47" s="435"/>
      <c r="U47" s="435">
        <f>SUM(U45:U46)</f>
        <v>0</v>
      </c>
      <c r="V47" s="435"/>
      <c r="W47" s="435"/>
      <c r="X47" s="435"/>
      <c r="Y47" s="435"/>
    </row>
    <row r="48" spans="1:25" ht="3.9" customHeight="1" x14ac:dyDescent="0.25">
      <c r="A48" s="369"/>
      <c r="B48" s="411"/>
      <c r="C48" s="411"/>
      <c r="D48" s="411"/>
      <c r="E48" s="440"/>
      <c r="F48" s="411"/>
      <c r="G48" s="411"/>
      <c r="H48" s="411"/>
      <c r="I48" s="440"/>
      <c r="J48" s="411"/>
      <c r="K48" s="411"/>
      <c r="L48" s="411"/>
      <c r="M48" s="440"/>
      <c r="N48" s="411"/>
      <c r="O48" s="411"/>
      <c r="P48" s="411"/>
      <c r="Q48" s="440"/>
      <c r="R48" s="411"/>
      <c r="S48" s="411"/>
      <c r="T48" s="411"/>
      <c r="U48" s="440"/>
      <c r="V48" s="411"/>
      <c r="W48" s="411"/>
      <c r="X48" s="411"/>
      <c r="Y48" s="440"/>
    </row>
    <row r="49" spans="1:25" s="255" customFormat="1" x14ac:dyDescent="0.25">
      <c r="A49" s="369" t="s">
        <v>123</v>
      </c>
      <c r="B49" s="456">
        <f>B47</f>
        <v>0</v>
      </c>
      <c r="C49" s="456"/>
      <c r="D49" s="456"/>
      <c r="E49" s="456"/>
      <c r="F49" s="456">
        <f>F47</f>
        <v>0</v>
      </c>
      <c r="G49" s="456"/>
      <c r="H49" s="456"/>
      <c r="I49" s="456">
        <f>I47</f>
        <v>0</v>
      </c>
      <c r="J49" s="456"/>
      <c r="K49" s="456"/>
      <c r="L49" s="456"/>
      <c r="M49" s="456">
        <f>M47</f>
        <v>0</v>
      </c>
      <c r="N49" s="456"/>
      <c r="O49" s="456"/>
      <c r="P49" s="456"/>
      <c r="Q49" s="456">
        <f>Q47</f>
        <v>0</v>
      </c>
      <c r="R49" s="456"/>
      <c r="S49" s="456"/>
      <c r="T49" s="456"/>
      <c r="U49" s="456">
        <f>U47</f>
        <v>0</v>
      </c>
      <c r="V49" s="456"/>
      <c r="W49" s="456"/>
      <c r="X49" s="456"/>
      <c r="Y49" s="456"/>
    </row>
    <row r="50" spans="1:25" s="261" customFormat="1" x14ac:dyDescent="0.25">
      <c r="A50" s="253"/>
      <c r="B50" s="256"/>
      <c r="C50" s="256"/>
      <c r="D50" s="256"/>
      <c r="E50" s="257"/>
      <c r="F50" s="258"/>
      <c r="G50" s="259"/>
      <c r="H50" s="260"/>
      <c r="I50" s="258"/>
      <c r="J50" s="258"/>
      <c r="K50" s="259"/>
      <c r="L50" s="260"/>
      <c r="M50" s="258"/>
      <c r="N50" s="258"/>
      <c r="O50" s="259"/>
      <c r="P50" s="260"/>
      <c r="Q50" s="258"/>
      <c r="R50" s="258"/>
      <c r="S50" s="259"/>
      <c r="T50" s="260"/>
      <c r="U50" s="258"/>
      <c r="V50" s="258"/>
      <c r="W50" s="259"/>
      <c r="X50" s="260"/>
      <c r="Y50" s="258"/>
    </row>
    <row r="51" spans="1:25" x14ac:dyDescent="0.25">
      <c r="A51" s="597" t="s">
        <v>25</v>
      </c>
      <c r="B51" s="253"/>
      <c r="C51" s="254"/>
      <c r="D51" s="254"/>
      <c r="E51" s="254"/>
      <c r="F51" s="253"/>
      <c r="G51" s="254"/>
      <c r="H51" s="254"/>
      <c r="I51" s="253"/>
      <c r="J51" s="253"/>
      <c r="K51" s="254"/>
      <c r="L51" s="254"/>
      <c r="M51" s="253"/>
      <c r="N51" s="253"/>
      <c r="O51" s="254"/>
      <c r="P51" s="254"/>
      <c r="Q51" s="253"/>
      <c r="R51" s="253"/>
      <c r="S51" s="254"/>
      <c r="T51" s="254"/>
      <c r="V51" s="253"/>
      <c r="W51" s="254"/>
      <c r="X51" s="254"/>
      <c r="Y51" s="253"/>
    </row>
    <row r="52" spans="1:25" x14ac:dyDescent="0.25">
      <c r="U52" s="262"/>
      <c r="V52" s="262"/>
      <c r="W52" s="254"/>
      <c r="X52" s="254"/>
      <c r="Y52" s="262"/>
    </row>
    <row r="53" spans="1:25" x14ac:dyDescent="0.25">
      <c r="A53" s="598" t="s">
        <v>253</v>
      </c>
      <c r="B53" s="253" t="s">
        <v>213</v>
      </c>
      <c r="D53" s="254"/>
      <c r="G53" s="254"/>
      <c r="I53" s="253"/>
      <c r="K53" s="254"/>
      <c r="M53" s="253"/>
      <c r="N53" s="262"/>
      <c r="O53" s="254"/>
      <c r="P53" s="254"/>
      <c r="Q53" s="262"/>
      <c r="R53" s="262"/>
      <c r="S53" s="254"/>
      <c r="T53" s="254"/>
      <c r="U53" s="262"/>
      <c r="V53" s="262"/>
      <c r="W53" s="254"/>
      <c r="X53" s="254"/>
      <c r="Y53" s="262"/>
    </row>
    <row r="54" spans="1:25" x14ac:dyDescent="0.25">
      <c r="A54" s="598" t="s">
        <v>253</v>
      </c>
      <c r="B54" s="583" t="s">
        <v>234</v>
      </c>
      <c r="D54" s="254"/>
      <c r="G54" s="254"/>
      <c r="I54" s="253"/>
      <c r="K54" s="254"/>
      <c r="M54" s="253"/>
      <c r="N54" s="262"/>
      <c r="O54" s="254"/>
      <c r="P54" s="254"/>
      <c r="Q54" s="262"/>
      <c r="R54" s="262"/>
      <c r="S54" s="254"/>
      <c r="T54" s="254"/>
      <c r="U54" s="262"/>
      <c r="V54" s="262"/>
      <c r="W54" s="254"/>
      <c r="X54" s="254"/>
      <c r="Y54" s="262"/>
    </row>
    <row r="55" spans="1:25" x14ac:dyDescent="0.25">
      <c r="A55" s="598" t="s">
        <v>254</v>
      </c>
      <c r="B55" s="253" t="s">
        <v>217</v>
      </c>
      <c r="D55" s="254"/>
      <c r="G55" s="254"/>
      <c r="I55" s="253"/>
      <c r="K55" s="254"/>
      <c r="M55" s="253"/>
      <c r="U55" s="263"/>
      <c r="V55" s="263"/>
      <c r="Y55" s="263"/>
    </row>
    <row r="56" spans="1:25" x14ac:dyDescent="0.25">
      <c r="A56" s="598" t="s">
        <v>254</v>
      </c>
      <c r="B56" s="584" t="s">
        <v>239</v>
      </c>
      <c r="D56" s="254"/>
      <c r="G56" s="254"/>
      <c r="I56" s="253"/>
      <c r="K56" s="254"/>
      <c r="M56" s="253"/>
      <c r="N56" s="262"/>
      <c r="O56" s="254"/>
      <c r="P56" s="254"/>
      <c r="Q56" s="262"/>
      <c r="R56" s="262"/>
      <c r="S56" s="254"/>
      <c r="T56" s="254"/>
      <c r="U56" s="262"/>
      <c r="V56" s="262"/>
      <c r="W56" s="254"/>
      <c r="X56" s="254"/>
      <c r="Y56" s="262"/>
    </row>
    <row r="57" spans="1:25" x14ac:dyDescent="0.25">
      <c r="A57" s="598" t="s">
        <v>255</v>
      </c>
      <c r="B57" s="253" t="s">
        <v>215</v>
      </c>
      <c r="D57" s="254"/>
      <c r="G57" s="254"/>
      <c r="I57" s="253"/>
      <c r="K57" s="254"/>
      <c r="M57" s="253"/>
      <c r="N57" s="262"/>
      <c r="O57" s="254"/>
      <c r="P57" s="254"/>
      <c r="Q57" s="262"/>
      <c r="R57" s="262"/>
      <c r="S57" s="254"/>
      <c r="T57" s="254"/>
    </row>
    <row r="58" spans="1:25" x14ac:dyDescent="0.25">
      <c r="A58" s="598" t="s">
        <v>256</v>
      </c>
      <c r="B58" s="253" t="s">
        <v>219</v>
      </c>
      <c r="D58" s="254"/>
      <c r="F58" s="263"/>
      <c r="I58" s="263"/>
      <c r="J58" s="263"/>
      <c r="M58" s="263"/>
      <c r="N58" s="263"/>
      <c r="Q58" s="263"/>
      <c r="R58" s="263"/>
      <c r="U58" s="262"/>
      <c r="V58" s="262"/>
      <c r="W58" s="254"/>
      <c r="X58" s="254"/>
      <c r="Y58" s="262"/>
    </row>
    <row r="59" spans="1:25" x14ac:dyDescent="0.25">
      <c r="A59" s="253"/>
      <c r="B59" s="253"/>
      <c r="D59" s="254"/>
      <c r="G59" s="254"/>
      <c r="I59" s="253"/>
      <c r="K59" s="254"/>
      <c r="M59" s="253"/>
      <c r="N59" s="262"/>
      <c r="O59" s="254"/>
      <c r="P59" s="254"/>
      <c r="Q59" s="262"/>
      <c r="R59" s="262"/>
      <c r="S59" s="254"/>
      <c r="T59" s="254"/>
      <c r="U59" s="263"/>
      <c r="V59" s="263"/>
      <c r="Y59" s="263"/>
    </row>
    <row r="60" spans="1:25" x14ac:dyDescent="0.25">
      <c r="A60" s="263"/>
      <c r="B60" s="263"/>
      <c r="F60" s="263"/>
      <c r="I60" s="263"/>
      <c r="J60" s="263"/>
      <c r="M60" s="263"/>
      <c r="N60" s="263"/>
      <c r="Q60" s="263"/>
      <c r="R60" s="263"/>
      <c r="U60" s="263"/>
      <c r="V60" s="263"/>
      <c r="Y60" s="263"/>
    </row>
    <row r="61" spans="1:25" x14ac:dyDescent="0.25">
      <c r="A61" s="263"/>
      <c r="B61" s="263"/>
      <c r="F61" s="263"/>
      <c r="I61" s="263"/>
      <c r="J61" s="263"/>
      <c r="M61" s="263"/>
      <c r="N61" s="263"/>
      <c r="Q61" s="263"/>
      <c r="R61" s="263"/>
      <c r="U61" s="263"/>
      <c r="V61" s="263"/>
      <c r="Y61" s="263"/>
    </row>
    <row r="62" spans="1:25" x14ac:dyDescent="0.25">
      <c r="A62" s="263"/>
      <c r="B62" s="263"/>
      <c r="F62" s="263"/>
      <c r="I62" s="263"/>
      <c r="J62" s="263"/>
      <c r="M62" s="263"/>
      <c r="N62" s="263"/>
      <c r="Q62" s="263"/>
      <c r="R62" s="263"/>
      <c r="U62" s="263"/>
      <c r="V62" s="263"/>
      <c r="Y62" s="263"/>
    </row>
  </sheetData>
  <sheetProtection password="F01B" sheet="1" objects="1" scenarios="1"/>
  <mergeCells count="12">
    <mergeCell ref="V25:Y25"/>
    <mergeCell ref="B3:E3"/>
    <mergeCell ref="F3:I3"/>
    <mergeCell ref="J3:M3"/>
    <mergeCell ref="N3:Q3"/>
    <mergeCell ref="R3:U3"/>
    <mergeCell ref="V3:Y3"/>
    <mergeCell ref="B25:E25"/>
    <mergeCell ref="F25:I25"/>
    <mergeCell ref="J25:M25"/>
    <mergeCell ref="N25:Q25"/>
    <mergeCell ref="R25:U25"/>
  </mergeCells>
  <pageMargins left="0.7" right="0.7" top="0.75" bottom="0.75" header="0.3" footer="0.3"/>
  <pageSetup orientation="portrait" r:id="rId1"/>
  <headerFooter>
    <oddHeader>&amp;CSan Diego Gas &amp; Electric
Program Subscription Statistics
July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showGridLines="0" view="pageBreakPreview" topLeftCell="A3" zoomScale="80" zoomScaleNormal="85" zoomScaleSheetLayoutView="80" workbookViewId="0">
      <pane xSplit="1" topLeftCell="C1" activePane="topRight" state="frozen"/>
      <selection sqref="A1:XFD1048576"/>
      <selection pane="topRight" activeCell="Q8" sqref="Q8"/>
    </sheetView>
  </sheetViews>
  <sheetFormatPr defaultColWidth="9.109375" defaultRowHeight="13.2" x14ac:dyDescent="0.25"/>
  <cols>
    <col min="1" max="1" width="60" style="478" customWidth="1"/>
    <col min="2" max="2" width="16.109375" style="478" customWidth="1"/>
    <col min="3" max="3" width="13" style="478" customWidth="1"/>
    <col min="4" max="4" width="11.44140625" style="478" customWidth="1"/>
    <col min="5" max="5" width="11.88671875" style="478" customWidth="1"/>
    <col min="6" max="6" width="12" style="478" customWidth="1"/>
    <col min="7" max="7" width="10.6640625" style="478" customWidth="1"/>
    <col min="8" max="10" width="11.6640625" style="478" bestFit="1" customWidth="1"/>
    <col min="11" max="11" width="12" style="478" customWidth="1"/>
    <col min="12" max="12" width="10.6640625" style="478" customWidth="1"/>
    <col min="13" max="13" width="11.88671875" style="478" customWidth="1"/>
    <col min="14" max="14" width="11.6640625" style="478" customWidth="1"/>
    <col min="15" max="15" width="14.33203125" style="478" bestFit="1" customWidth="1"/>
    <col min="16" max="16" width="16" style="478" customWidth="1"/>
    <col min="17" max="17" width="13.109375" style="458" bestFit="1" customWidth="1"/>
    <col min="18" max="18" width="14.6640625" style="458" customWidth="1"/>
    <col min="19" max="19" width="13.44140625" style="478" bestFit="1" customWidth="1"/>
    <col min="20" max="20" width="9.109375" style="478"/>
    <col min="21" max="21" width="12.5546875" style="478" customWidth="1"/>
    <col min="22" max="16384" width="9.109375" style="478"/>
  </cols>
  <sheetData>
    <row r="1" spans="1:19" s="458" customFormat="1" x14ac:dyDescent="0.25">
      <c r="A1" s="457" t="s">
        <v>58</v>
      </c>
    </row>
    <row r="2" spans="1:19" s="458" customFormat="1" ht="13.8" thickBot="1" x14ac:dyDescent="0.3"/>
    <row r="3" spans="1:19" s="458" customFormat="1" x14ac:dyDescent="0.25">
      <c r="A3" s="459"/>
      <c r="B3" s="460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2"/>
      <c r="O3" s="462"/>
      <c r="P3" s="462"/>
      <c r="Q3" s="463"/>
      <c r="R3" s="463"/>
      <c r="S3" s="463"/>
    </row>
    <row r="4" spans="1:19" s="458" customFormat="1" ht="7.5" customHeight="1" x14ac:dyDescent="0.25">
      <c r="A4" s="464"/>
      <c r="B4" s="465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7"/>
      <c r="O4" s="467"/>
      <c r="P4" s="467"/>
      <c r="Q4" s="468"/>
      <c r="R4" s="468"/>
      <c r="S4" s="468"/>
    </row>
    <row r="5" spans="1:19" s="458" customFormat="1" ht="57.75" customHeight="1" x14ac:dyDescent="0.25">
      <c r="A5" s="469" t="s">
        <v>18</v>
      </c>
      <c r="B5" s="470" t="s">
        <v>223</v>
      </c>
      <c r="C5" s="471" t="s">
        <v>0</v>
      </c>
      <c r="D5" s="471" t="s">
        <v>1</v>
      </c>
      <c r="E5" s="471" t="s">
        <v>2</v>
      </c>
      <c r="F5" s="471" t="s">
        <v>3</v>
      </c>
      <c r="G5" s="471" t="s">
        <v>4</v>
      </c>
      <c r="H5" s="471" t="s">
        <v>5</v>
      </c>
      <c r="I5" s="471" t="s">
        <v>6</v>
      </c>
      <c r="J5" s="471" t="s">
        <v>7</v>
      </c>
      <c r="K5" s="471" t="s">
        <v>8</v>
      </c>
      <c r="L5" s="471" t="s">
        <v>9</v>
      </c>
      <c r="M5" s="471" t="s">
        <v>10</v>
      </c>
      <c r="N5" s="471" t="s">
        <v>11</v>
      </c>
      <c r="O5" s="470" t="s">
        <v>224</v>
      </c>
      <c r="P5" s="470" t="s">
        <v>183</v>
      </c>
      <c r="Q5" s="470" t="s">
        <v>184</v>
      </c>
      <c r="R5" s="470" t="s">
        <v>56</v>
      </c>
      <c r="S5" s="470" t="s">
        <v>46</v>
      </c>
    </row>
    <row r="6" spans="1:19" s="458" customFormat="1" x14ac:dyDescent="0.25">
      <c r="A6" s="73" t="s">
        <v>132</v>
      </c>
      <c r="B6" s="74"/>
      <c r="C6" s="75"/>
      <c r="D6" s="75"/>
      <c r="E6" s="75"/>
      <c r="F6" s="75"/>
      <c r="G6" s="472"/>
      <c r="H6" s="472"/>
      <c r="I6" s="472"/>
      <c r="J6" s="472"/>
      <c r="K6" s="472"/>
      <c r="L6" s="472"/>
      <c r="M6" s="472"/>
      <c r="N6" s="472"/>
      <c r="O6" s="473"/>
      <c r="P6" s="473" t="s">
        <v>13</v>
      </c>
      <c r="Q6" s="474"/>
      <c r="R6" s="474"/>
      <c r="S6" s="474"/>
    </row>
    <row r="7" spans="1:19" s="458" customFormat="1" x14ac:dyDescent="0.25">
      <c r="A7" s="76" t="s">
        <v>107</v>
      </c>
      <c r="B7" s="77">
        <v>149356</v>
      </c>
      <c r="C7" s="75">
        <v>8893</v>
      </c>
      <c r="D7" s="75">
        <v>4324</v>
      </c>
      <c r="E7" s="75">
        <v>10829</v>
      </c>
      <c r="F7" s="75">
        <v>8194</v>
      </c>
      <c r="G7" s="472">
        <v>9769</v>
      </c>
      <c r="H7" s="75">
        <v>5890</v>
      </c>
      <c r="I7" s="472">
        <v>52237</v>
      </c>
      <c r="J7" s="472"/>
      <c r="K7" s="472"/>
      <c r="L7" s="472"/>
      <c r="M7" s="472"/>
      <c r="N7" s="472"/>
      <c r="O7" s="78">
        <f>SUM(C7:N7)</f>
        <v>100136</v>
      </c>
      <c r="P7" s="78">
        <f>+B7+O7</f>
        <v>249492</v>
      </c>
      <c r="Q7" s="79">
        <v>2676000</v>
      </c>
      <c r="R7" s="79"/>
      <c r="S7" s="80">
        <f>+P7/Q7</f>
        <v>9.3233183856502241E-2</v>
      </c>
    </row>
    <row r="8" spans="1:19" s="458" customFormat="1" x14ac:dyDescent="0.25">
      <c r="A8" s="81" t="s">
        <v>29</v>
      </c>
      <c r="B8" s="82">
        <f t="shared" ref="B8:R8" si="0">SUM(B7:B7)</f>
        <v>149356</v>
      </c>
      <c r="C8" s="83">
        <f t="shared" si="0"/>
        <v>8893</v>
      </c>
      <c r="D8" s="83">
        <f t="shared" si="0"/>
        <v>4324</v>
      </c>
      <c r="E8" s="83">
        <f t="shared" si="0"/>
        <v>10829</v>
      </c>
      <c r="F8" s="83">
        <f t="shared" si="0"/>
        <v>8194</v>
      </c>
      <c r="G8" s="475">
        <f t="shared" si="0"/>
        <v>9769</v>
      </c>
      <c r="H8" s="83">
        <f t="shared" si="0"/>
        <v>5890</v>
      </c>
      <c r="I8" s="475">
        <f t="shared" si="0"/>
        <v>52237</v>
      </c>
      <c r="J8" s="475">
        <f t="shared" si="0"/>
        <v>0</v>
      </c>
      <c r="K8" s="475">
        <f t="shared" si="0"/>
        <v>0</v>
      </c>
      <c r="L8" s="475">
        <f t="shared" si="0"/>
        <v>0</v>
      </c>
      <c r="M8" s="475">
        <f t="shared" si="0"/>
        <v>0</v>
      </c>
      <c r="N8" s="475">
        <f t="shared" si="0"/>
        <v>0</v>
      </c>
      <c r="O8" s="84">
        <f t="shared" si="0"/>
        <v>100136</v>
      </c>
      <c r="P8" s="84">
        <f t="shared" si="0"/>
        <v>249492</v>
      </c>
      <c r="Q8" s="84">
        <f t="shared" si="0"/>
        <v>2676000</v>
      </c>
      <c r="R8" s="84">
        <f t="shared" si="0"/>
        <v>0</v>
      </c>
      <c r="S8" s="85">
        <f>P8/Q8</f>
        <v>9.3233183856502241E-2</v>
      </c>
    </row>
    <row r="9" spans="1:19" s="458" customFormat="1" x14ac:dyDescent="0.25">
      <c r="A9" s="76"/>
      <c r="B9" s="77"/>
      <c r="C9" s="75"/>
      <c r="D9" s="75"/>
      <c r="E9" s="75"/>
      <c r="F9" s="75"/>
      <c r="G9" s="472"/>
      <c r="H9" s="75"/>
      <c r="I9" s="472"/>
      <c r="J9" s="472"/>
      <c r="K9" s="472"/>
      <c r="L9" s="472"/>
      <c r="M9" s="472"/>
      <c r="N9" s="472"/>
      <c r="O9" s="78"/>
      <c r="P9" s="78"/>
      <c r="Q9" s="79"/>
      <c r="R9" s="79"/>
      <c r="S9" s="80"/>
    </row>
    <row r="10" spans="1:19" s="458" customFormat="1" x14ac:dyDescent="0.25">
      <c r="A10" s="73" t="s">
        <v>34</v>
      </c>
      <c r="B10" s="77"/>
      <c r="C10" s="75"/>
      <c r="D10" s="75"/>
      <c r="E10" s="75"/>
      <c r="F10" s="75"/>
      <c r="G10" s="472"/>
      <c r="H10" s="75"/>
      <c r="I10" s="472"/>
      <c r="J10" s="472"/>
      <c r="K10" s="472"/>
      <c r="L10" s="472"/>
      <c r="M10" s="472"/>
      <c r="N10" s="472"/>
      <c r="O10" s="78"/>
      <c r="P10" s="78"/>
      <c r="Q10" s="79"/>
      <c r="R10" s="79"/>
      <c r="S10" s="80"/>
    </row>
    <row r="11" spans="1:19" s="458" customFormat="1" x14ac:dyDescent="0.25">
      <c r="A11" s="86" t="s">
        <v>185</v>
      </c>
      <c r="B11" s="77">
        <v>35956</v>
      </c>
      <c r="C11" s="75">
        <v>1808</v>
      </c>
      <c r="D11" s="75">
        <v>2551</v>
      </c>
      <c r="E11" s="75">
        <v>3262</v>
      </c>
      <c r="F11" s="75">
        <v>3288</v>
      </c>
      <c r="G11" s="472">
        <v>3402</v>
      </c>
      <c r="H11" s="75">
        <v>3757</v>
      </c>
      <c r="I11" s="472">
        <v>3102</v>
      </c>
      <c r="J11" s="472"/>
      <c r="K11" s="472"/>
      <c r="L11" s="472"/>
      <c r="M11" s="472"/>
      <c r="N11" s="472"/>
      <c r="O11" s="78">
        <f>SUM(C11:N11)</f>
        <v>21170</v>
      </c>
      <c r="P11" s="78">
        <f>B11+O11</f>
        <v>57126</v>
      </c>
      <c r="Q11" s="78">
        <v>1755808</v>
      </c>
      <c r="R11" s="78"/>
      <c r="S11" s="80">
        <f>+P11/Q11</f>
        <v>3.2535448067214638E-2</v>
      </c>
    </row>
    <row r="12" spans="1:19" s="458" customFormat="1" x14ac:dyDescent="0.25">
      <c r="A12" s="86" t="s">
        <v>108</v>
      </c>
      <c r="B12" s="77">
        <v>1109139</v>
      </c>
      <c r="C12" s="75">
        <v>228056</v>
      </c>
      <c r="D12" s="75">
        <v>76674</v>
      </c>
      <c r="E12" s="75">
        <v>47717</v>
      </c>
      <c r="F12" s="75">
        <v>34869</v>
      </c>
      <c r="G12" s="472">
        <v>43416</v>
      </c>
      <c r="H12" s="75">
        <v>69317</v>
      </c>
      <c r="I12" s="472">
        <v>68440</v>
      </c>
      <c r="J12" s="472"/>
      <c r="K12" s="472"/>
      <c r="L12" s="472"/>
      <c r="M12" s="472"/>
      <c r="N12" s="472"/>
      <c r="O12" s="78">
        <f>SUM(C12:N12)</f>
        <v>568489</v>
      </c>
      <c r="P12" s="78">
        <f>B12+O12</f>
        <v>1677628</v>
      </c>
      <c r="Q12" s="78">
        <f>7859333-1000000-1500000</f>
        <v>5359333</v>
      </c>
      <c r="R12" s="78">
        <f>-1000000-1500000</f>
        <v>-2500000</v>
      </c>
      <c r="S12" s="80">
        <f>+P12/Q12</f>
        <v>0.31302925196101827</v>
      </c>
    </row>
    <row r="13" spans="1:19" s="458" customFormat="1" x14ac:dyDescent="0.25">
      <c r="A13" s="86" t="s">
        <v>133</v>
      </c>
      <c r="B13" s="77">
        <v>107679</v>
      </c>
      <c r="C13" s="75">
        <v>5602</v>
      </c>
      <c r="D13" s="75">
        <v>9376</v>
      </c>
      <c r="E13" s="75">
        <v>10954</v>
      </c>
      <c r="F13" s="75">
        <v>5824</v>
      </c>
      <c r="G13" s="472">
        <v>7949</v>
      </c>
      <c r="H13" s="75">
        <v>6131</v>
      </c>
      <c r="I13" s="472">
        <v>6123</v>
      </c>
      <c r="J13" s="472"/>
      <c r="K13" s="472"/>
      <c r="L13" s="472"/>
      <c r="M13" s="472"/>
      <c r="N13" s="472"/>
      <c r="O13" s="78">
        <f>SUM(C13:N13)</f>
        <v>51959</v>
      </c>
      <c r="P13" s="78">
        <f>B13+O13</f>
        <v>159638</v>
      </c>
      <c r="Q13" s="79">
        <v>323333</v>
      </c>
      <c r="R13" s="79"/>
      <c r="S13" s="80">
        <f>+P13/Q13</f>
        <v>0.49372628219204351</v>
      </c>
    </row>
    <row r="14" spans="1:19" s="458" customFormat="1" x14ac:dyDescent="0.25">
      <c r="A14" s="86" t="s">
        <v>220</v>
      </c>
      <c r="B14" s="77">
        <v>3437</v>
      </c>
      <c r="C14" s="75">
        <v>699</v>
      </c>
      <c r="D14" s="75">
        <v>2540</v>
      </c>
      <c r="E14" s="75">
        <v>5468</v>
      </c>
      <c r="F14" s="75">
        <v>2824</v>
      </c>
      <c r="G14" s="472">
        <v>2961</v>
      </c>
      <c r="H14" s="75">
        <v>2701</v>
      </c>
      <c r="I14" s="472">
        <v>2451</v>
      </c>
      <c r="J14" s="472"/>
      <c r="K14" s="472"/>
      <c r="L14" s="472"/>
      <c r="M14" s="472"/>
      <c r="N14" s="472"/>
      <c r="O14" s="78">
        <f>SUM(C14:N14)</f>
        <v>19644</v>
      </c>
      <c r="P14" s="78">
        <f>B14+O14</f>
        <v>23081</v>
      </c>
      <c r="Q14" s="79">
        <v>1000000</v>
      </c>
      <c r="R14" s="79">
        <v>1000000</v>
      </c>
      <c r="S14" s="80">
        <f>+P14/Q14</f>
        <v>2.3081000000000001E-2</v>
      </c>
    </row>
    <row r="15" spans="1:19" s="458" customFormat="1" x14ac:dyDescent="0.25">
      <c r="A15" s="87" t="s">
        <v>30</v>
      </c>
      <c r="B15" s="82">
        <f>SUM(B11:B14)</f>
        <v>1256211</v>
      </c>
      <c r="C15" s="83">
        <f>SUM(C11:C14)</f>
        <v>236165</v>
      </c>
      <c r="D15" s="83">
        <f>SUM(D11:D14)</f>
        <v>91141</v>
      </c>
      <c r="E15" s="83">
        <f t="shared" ref="E15:M15" si="1">SUM(E11:E14)</f>
        <v>67401</v>
      </c>
      <c r="F15" s="83">
        <f t="shared" si="1"/>
        <v>46805</v>
      </c>
      <c r="G15" s="475">
        <f t="shared" si="1"/>
        <v>57728</v>
      </c>
      <c r="H15" s="83">
        <f t="shared" si="1"/>
        <v>81906</v>
      </c>
      <c r="I15" s="475">
        <f t="shared" si="1"/>
        <v>80116</v>
      </c>
      <c r="J15" s="475">
        <f t="shared" si="1"/>
        <v>0</v>
      </c>
      <c r="K15" s="475">
        <f t="shared" si="1"/>
        <v>0</v>
      </c>
      <c r="L15" s="475">
        <f t="shared" si="1"/>
        <v>0</v>
      </c>
      <c r="M15" s="475">
        <f t="shared" si="1"/>
        <v>0</v>
      </c>
      <c r="N15" s="475">
        <f>SUM(N11:N14)</f>
        <v>0</v>
      </c>
      <c r="O15" s="84">
        <f>SUM(O11:O14)</f>
        <v>661262</v>
      </c>
      <c r="P15" s="84">
        <f>SUM(P11:P14)</f>
        <v>1917473</v>
      </c>
      <c r="Q15" s="84">
        <f>SUM(Q11:Q14)</f>
        <v>8438474</v>
      </c>
      <c r="R15" s="84">
        <f>SUM(R11:R14)</f>
        <v>-1500000</v>
      </c>
      <c r="S15" s="88">
        <f>P15/Q15</f>
        <v>0.22722982852112836</v>
      </c>
    </row>
    <row r="16" spans="1:19" s="458" customFormat="1" x14ac:dyDescent="0.25">
      <c r="A16" s="89"/>
      <c r="B16" s="77"/>
      <c r="C16" s="75"/>
      <c r="D16" s="75"/>
      <c r="E16" s="75"/>
      <c r="F16" s="75"/>
      <c r="G16" s="472"/>
      <c r="H16" s="75"/>
      <c r="I16" s="472"/>
      <c r="J16" s="472"/>
      <c r="K16" s="472"/>
      <c r="L16" s="472"/>
      <c r="M16" s="472"/>
      <c r="N16" s="472"/>
      <c r="O16" s="78"/>
      <c r="P16" s="78"/>
      <c r="Q16" s="79"/>
      <c r="R16" s="79"/>
      <c r="S16" s="80"/>
    </row>
    <row r="17" spans="1:19" s="458" customFormat="1" x14ac:dyDescent="0.25">
      <c r="A17" s="73" t="s">
        <v>134</v>
      </c>
      <c r="B17" s="77"/>
      <c r="C17" s="75"/>
      <c r="D17" s="75"/>
      <c r="E17" s="75"/>
      <c r="F17" s="75"/>
      <c r="G17" s="472"/>
      <c r="H17" s="75"/>
      <c r="I17" s="472"/>
      <c r="J17" s="472"/>
      <c r="K17" s="472"/>
      <c r="L17" s="472"/>
      <c r="M17" s="472"/>
      <c r="N17" s="472"/>
      <c r="O17" s="78"/>
      <c r="P17" s="78"/>
      <c r="Q17" s="79"/>
      <c r="R17" s="79"/>
      <c r="S17" s="80"/>
    </row>
    <row r="18" spans="1:19" s="458" customFormat="1" x14ac:dyDescent="0.25">
      <c r="A18" s="86" t="s">
        <v>110</v>
      </c>
      <c r="B18" s="77">
        <v>451481</v>
      </c>
      <c r="C18" s="75">
        <v>108956</v>
      </c>
      <c r="D18" s="75">
        <v>57346</v>
      </c>
      <c r="E18" s="75">
        <v>22300</v>
      </c>
      <c r="F18" s="75">
        <v>55709</v>
      </c>
      <c r="G18" s="472">
        <v>61275</v>
      </c>
      <c r="H18" s="75">
        <v>109987</v>
      </c>
      <c r="I18" s="472">
        <v>23325</v>
      </c>
      <c r="J18" s="472"/>
      <c r="K18" s="472"/>
      <c r="L18" s="472"/>
      <c r="M18" s="472"/>
      <c r="N18" s="472"/>
      <c r="O18" s="78">
        <f>SUM(C18:N18)</f>
        <v>438898</v>
      </c>
      <c r="P18" s="78">
        <f>B18+O18</f>
        <v>890379</v>
      </c>
      <c r="Q18" s="78">
        <v>1407333</v>
      </c>
      <c r="R18" s="78"/>
      <c r="S18" s="80">
        <f>P18/Q18</f>
        <v>0.6326711588515298</v>
      </c>
    </row>
    <row r="19" spans="1:19" s="458" customFormat="1" x14ac:dyDescent="0.25">
      <c r="A19" s="86" t="s">
        <v>135</v>
      </c>
      <c r="B19" s="77">
        <v>3216608</v>
      </c>
      <c r="C19" s="75">
        <v>337952</v>
      </c>
      <c r="D19" s="75">
        <v>98383</v>
      </c>
      <c r="E19" s="75">
        <v>224290</v>
      </c>
      <c r="F19" s="75">
        <v>32527</v>
      </c>
      <c r="G19" s="472">
        <v>81912</v>
      </c>
      <c r="H19" s="75">
        <v>239162</v>
      </c>
      <c r="I19" s="472">
        <v>36362</v>
      </c>
      <c r="J19" s="472"/>
      <c r="K19" s="472"/>
      <c r="L19" s="472"/>
      <c r="M19" s="472"/>
      <c r="N19" s="472"/>
      <c r="O19" s="78">
        <f>SUM(C19:N19)</f>
        <v>1050588</v>
      </c>
      <c r="P19" s="78">
        <f>B19+O19</f>
        <v>4267196</v>
      </c>
      <c r="Q19" s="78">
        <v>6309445</v>
      </c>
      <c r="R19" s="78"/>
      <c r="S19" s="80">
        <f>P19/Q19</f>
        <v>0.67631875703805966</v>
      </c>
    </row>
    <row r="20" spans="1:19" s="458" customFormat="1" x14ac:dyDescent="0.25">
      <c r="A20" s="86" t="s">
        <v>109</v>
      </c>
      <c r="B20" s="77">
        <v>1060970</v>
      </c>
      <c r="C20" s="75">
        <v>135617</v>
      </c>
      <c r="D20" s="75">
        <v>27997</v>
      </c>
      <c r="E20" s="75">
        <v>60242</v>
      </c>
      <c r="F20" s="75">
        <v>25523</v>
      </c>
      <c r="G20" s="472">
        <v>61162</v>
      </c>
      <c r="H20" s="75">
        <v>50454</v>
      </c>
      <c r="I20" s="472">
        <v>55635</v>
      </c>
      <c r="J20" s="472"/>
      <c r="K20" s="472"/>
      <c r="L20" s="472"/>
      <c r="M20" s="472"/>
      <c r="N20" s="472"/>
      <c r="O20" s="78">
        <f>SUM(C20:N20)</f>
        <v>416630</v>
      </c>
      <c r="P20" s="78">
        <f>B20+O20</f>
        <v>1477600</v>
      </c>
      <c r="Q20" s="78">
        <v>5982000</v>
      </c>
      <c r="R20" s="78"/>
      <c r="S20" s="80">
        <f>P20/Q20</f>
        <v>0.24700768973587428</v>
      </c>
    </row>
    <row r="21" spans="1:19" s="458" customFormat="1" x14ac:dyDescent="0.25">
      <c r="A21" s="87" t="s">
        <v>35</v>
      </c>
      <c r="B21" s="82">
        <f t="shared" ref="B21:R21" si="2">SUM(B18:B20)</f>
        <v>4729059</v>
      </c>
      <c r="C21" s="83">
        <f t="shared" si="2"/>
        <v>582525</v>
      </c>
      <c r="D21" s="83">
        <f t="shared" si="2"/>
        <v>183726</v>
      </c>
      <c r="E21" s="83">
        <f t="shared" si="2"/>
        <v>306832</v>
      </c>
      <c r="F21" s="83">
        <f t="shared" si="2"/>
        <v>113759</v>
      </c>
      <c r="G21" s="475">
        <f t="shared" si="2"/>
        <v>204349</v>
      </c>
      <c r="H21" s="83">
        <f t="shared" si="2"/>
        <v>399603</v>
      </c>
      <c r="I21" s="475">
        <f t="shared" si="2"/>
        <v>115322</v>
      </c>
      <c r="J21" s="475">
        <f t="shared" si="2"/>
        <v>0</v>
      </c>
      <c r="K21" s="475">
        <f t="shared" si="2"/>
        <v>0</v>
      </c>
      <c r="L21" s="475">
        <f t="shared" si="2"/>
        <v>0</v>
      </c>
      <c r="M21" s="475">
        <f t="shared" si="2"/>
        <v>0</v>
      </c>
      <c r="N21" s="475">
        <f t="shared" si="2"/>
        <v>0</v>
      </c>
      <c r="O21" s="84">
        <f t="shared" si="2"/>
        <v>1906116</v>
      </c>
      <c r="P21" s="84">
        <f t="shared" si="2"/>
        <v>6635175</v>
      </c>
      <c r="Q21" s="84">
        <f t="shared" si="2"/>
        <v>13698778</v>
      </c>
      <c r="R21" s="84">
        <f t="shared" si="2"/>
        <v>0</v>
      </c>
      <c r="S21" s="88">
        <f>P21/Q21</f>
        <v>0.48436254679066992</v>
      </c>
    </row>
    <row r="22" spans="1:19" s="458" customFormat="1" x14ac:dyDescent="0.25">
      <c r="A22" s="76"/>
      <c r="B22" s="77"/>
      <c r="C22" s="75"/>
      <c r="D22" s="75"/>
      <c r="E22" s="75"/>
      <c r="F22" s="75"/>
      <c r="G22" s="472"/>
      <c r="H22" s="75"/>
      <c r="I22" s="472"/>
      <c r="J22" s="472"/>
      <c r="K22" s="472"/>
      <c r="L22" s="472"/>
      <c r="M22" s="472"/>
      <c r="N22" s="472"/>
      <c r="O22" s="78"/>
      <c r="P22" s="78"/>
      <c r="Q22" s="78"/>
      <c r="R22" s="78"/>
      <c r="S22" s="80"/>
    </row>
    <row r="23" spans="1:19" s="458" customFormat="1" x14ac:dyDescent="0.25">
      <c r="A23" s="73" t="s">
        <v>136</v>
      </c>
      <c r="B23" s="77"/>
      <c r="C23" s="75"/>
      <c r="D23" s="75"/>
      <c r="E23" s="75"/>
      <c r="F23" s="75"/>
      <c r="G23" s="472"/>
      <c r="H23" s="75"/>
      <c r="I23" s="472"/>
      <c r="J23" s="472"/>
      <c r="K23" s="472"/>
      <c r="L23" s="472"/>
      <c r="M23" s="472"/>
      <c r="N23" s="472"/>
      <c r="O23" s="78"/>
      <c r="P23" s="78"/>
      <c r="Q23" s="78"/>
      <c r="R23" s="78"/>
      <c r="S23" s="80"/>
    </row>
    <row r="24" spans="1:19" s="458" customFormat="1" x14ac:dyDescent="0.25">
      <c r="A24" s="86" t="s">
        <v>137</v>
      </c>
      <c r="B24" s="77">
        <v>28417</v>
      </c>
      <c r="C24" s="75">
        <v>1187</v>
      </c>
      <c r="D24" s="75">
        <v>866</v>
      </c>
      <c r="E24" s="75">
        <v>82</v>
      </c>
      <c r="F24" s="75">
        <v>1228</v>
      </c>
      <c r="G24" s="472">
        <v>26177</v>
      </c>
      <c r="H24" s="75">
        <v>-24207.25</v>
      </c>
      <c r="I24" s="472">
        <v>1637</v>
      </c>
      <c r="J24" s="472"/>
      <c r="K24" s="472"/>
      <c r="L24" s="472"/>
      <c r="M24" s="472"/>
      <c r="N24" s="472"/>
      <c r="O24" s="78">
        <f>SUM(C24:N24)</f>
        <v>6969.75</v>
      </c>
      <c r="P24" s="78">
        <f>B24+O24</f>
        <v>35386.75</v>
      </c>
      <c r="Q24" s="78">
        <v>750667</v>
      </c>
      <c r="R24" s="78"/>
      <c r="S24" s="80">
        <f>P24/Q24</f>
        <v>4.7140409795555151E-2</v>
      </c>
    </row>
    <row r="25" spans="1:19" s="458" customFormat="1" x14ac:dyDescent="0.25">
      <c r="A25" s="87" t="s">
        <v>36</v>
      </c>
      <c r="B25" s="82">
        <f t="shared" ref="B25:R25" si="3">SUM(B24:B24)</f>
        <v>28417</v>
      </c>
      <c r="C25" s="83">
        <f t="shared" si="3"/>
        <v>1187</v>
      </c>
      <c r="D25" s="83">
        <f t="shared" si="3"/>
        <v>866</v>
      </c>
      <c r="E25" s="83">
        <f t="shared" si="3"/>
        <v>82</v>
      </c>
      <c r="F25" s="83">
        <f t="shared" si="3"/>
        <v>1228</v>
      </c>
      <c r="G25" s="475">
        <f t="shared" si="3"/>
        <v>26177</v>
      </c>
      <c r="H25" s="83">
        <f t="shared" si="3"/>
        <v>-24207.25</v>
      </c>
      <c r="I25" s="475">
        <f t="shared" si="3"/>
        <v>1637</v>
      </c>
      <c r="J25" s="475">
        <f t="shared" si="3"/>
        <v>0</v>
      </c>
      <c r="K25" s="475">
        <f t="shared" si="3"/>
        <v>0</v>
      </c>
      <c r="L25" s="475">
        <f t="shared" si="3"/>
        <v>0</v>
      </c>
      <c r="M25" s="475">
        <f t="shared" si="3"/>
        <v>0</v>
      </c>
      <c r="N25" s="475">
        <f t="shared" si="3"/>
        <v>0</v>
      </c>
      <c r="O25" s="84">
        <f t="shared" si="3"/>
        <v>6969.75</v>
      </c>
      <c r="P25" s="84">
        <f t="shared" si="3"/>
        <v>35386.75</v>
      </c>
      <c r="Q25" s="84">
        <f t="shared" si="3"/>
        <v>750667</v>
      </c>
      <c r="R25" s="84">
        <f t="shared" si="3"/>
        <v>0</v>
      </c>
      <c r="S25" s="88">
        <f>P25/Q25</f>
        <v>4.7140409795555151E-2</v>
      </c>
    </row>
    <row r="26" spans="1:19" s="458" customFormat="1" x14ac:dyDescent="0.25">
      <c r="A26" s="76"/>
      <c r="B26" s="77"/>
      <c r="C26" s="75"/>
      <c r="D26" s="75"/>
      <c r="E26" s="75"/>
      <c r="F26" s="75"/>
      <c r="G26" s="472"/>
      <c r="H26" s="75"/>
      <c r="I26" s="472"/>
      <c r="J26" s="472"/>
      <c r="K26" s="472"/>
      <c r="L26" s="472"/>
      <c r="M26" s="472"/>
      <c r="N26" s="472"/>
      <c r="O26" s="78"/>
      <c r="P26" s="78"/>
      <c r="Q26" s="78"/>
      <c r="R26" s="78"/>
      <c r="S26" s="80"/>
    </row>
    <row r="27" spans="1:19" s="458" customFormat="1" x14ac:dyDescent="0.25">
      <c r="A27" s="73" t="s">
        <v>138</v>
      </c>
      <c r="B27" s="77"/>
      <c r="C27" s="75"/>
      <c r="D27" s="75"/>
      <c r="E27" s="75"/>
      <c r="F27" s="75"/>
      <c r="G27" s="472"/>
      <c r="H27" s="75"/>
      <c r="I27" s="472"/>
      <c r="J27" s="472"/>
      <c r="K27" s="472"/>
      <c r="L27" s="472"/>
      <c r="M27" s="472"/>
      <c r="N27" s="472"/>
      <c r="O27" s="78"/>
      <c r="P27" s="78"/>
      <c r="Q27" s="78"/>
      <c r="R27" s="78"/>
      <c r="S27" s="80"/>
    </row>
    <row r="28" spans="1:19" s="458" customFormat="1" x14ac:dyDescent="0.25">
      <c r="A28" s="86" t="s">
        <v>139</v>
      </c>
      <c r="B28" s="77">
        <v>1236766</v>
      </c>
      <c r="C28" s="75">
        <v>186204</v>
      </c>
      <c r="D28" s="75">
        <v>275592</v>
      </c>
      <c r="E28" s="75">
        <v>215897</v>
      </c>
      <c r="F28" s="75">
        <v>432014</v>
      </c>
      <c r="G28" s="472">
        <v>-22022</v>
      </c>
      <c r="H28" s="75">
        <v>100751</v>
      </c>
      <c r="I28" s="472">
        <v>-80032</v>
      </c>
      <c r="J28" s="472"/>
      <c r="K28" s="472"/>
      <c r="L28" s="472"/>
      <c r="M28" s="472"/>
      <c r="N28" s="472"/>
      <c r="O28" s="78">
        <f>SUM(C28:N28)</f>
        <v>1108404</v>
      </c>
      <c r="P28" s="78">
        <f>B28+O28</f>
        <v>2345170</v>
      </c>
      <c r="Q28" s="78">
        <v>3410000</v>
      </c>
      <c r="R28" s="78"/>
      <c r="S28" s="90">
        <f>P28/Q28</f>
        <v>0.68773313782991208</v>
      </c>
    </row>
    <row r="29" spans="1:19" s="458" customFormat="1" x14ac:dyDescent="0.25">
      <c r="A29" s="86" t="s">
        <v>131</v>
      </c>
      <c r="B29" s="77">
        <v>0</v>
      </c>
      <c r="C29" s="75">
        <v>0</v>
      </c>
      <c r="D29" s="75">
        <v>0</v>
      </c>
      <c r="E29" s="75">
        <v>48496</v>
      </c>
      <c r="F29" s="75">
        <v>0</v>
      </c>
      <c r="G29" s="472">
        <v>230440</v>
      </c>
      <c r="H29" s="75">
        <v>0</v>
      </c>
      <c r="I29" s="472">
        <v>0</v>
      </c>
      <c r="J29" s="472"/>
      <c r="K29" s="472"/>
      <c r="L29" s="472"/>
      <c r="M29" s="472"/>
      <c r="N29" s="472"/>
      <c r="O29" s="78">
        <f>SUM(C29:N29)</f>
        <v>278936</v>
      </c>
      <c r="P29" s="78">
        <f>B29+O29</f>
        <v>278936</v>
      </c>
      <c r="Q29" s="78">
        <v>400000</v>
      </c>
      <c r="R29" s="78"/>
      <c r="S29" s="80">
        <f>P29/Q29</f>
        <v>0.69733999999999996</v>
      </c>
    </row>
    <row r="30" spans="1:19" s="458" customFormat="1" x14ac:dyDescent="0.25">
      <c r="A30" s="87" t="s">
        <v>37</v>
      </c>
      <c r="B30" s="82">
        <f>SUM(B28:B29)</f>
        <v>1236766</v>
      </c>
      <c r="C30" s="83">
        <f>SUM(C28:C29)</f>
        <v>186204</v>
      </c>
      <c r="D30" s="83">
        <f>SUM(D28:D29)</f>
        <v>275592</v>
      </c>
      <c r="E30" s="83">
        <f t="shared" ref="E30:R30" si="4">SUM(E28:E29)</f>
        <v>264393</v>
      </c>
      <c r="F30" s="83">
        <f t="shared" si="4"/>
        <v>432014</v>
      </c>
      <c r="G30" s="475">
        <f t="shared" si="4"/>
        <v>208418</v>
      </c>
      <c r="H30" s="83">
        <f t="shared" si="4"/>
        <v>100751</v>
      </c>
      <c r="I30" s="475">
        <f t="shared" si="4"/>
        <v>-80032</v>
      </c>
      <c r="J30" s="475">
        <f t="shared" si="4"/>
        <v>0</v>
      </c>
      <c r="K30" s="475">
        <f t="shared" si="4"/>
        <v>0</v>
      </c>
      <c r="L30" s="475">
        <f t="shared" si="4"/>
        <v>0</v>
      </c>
      <c r="M30" s="475">
        <f t="shared" si="4"/>
        <v>0</v>
      </c>
      <c r="N30" s="475">
        <f t="shared" si="4"/>
        <v>0</v>
      </c>
      <c r="O30" s="84">
        <f t="shared" si="4"/>
        <v>1387340</v>
      </c>
      <c r="P30" s="84">
        <f t="shared" si="4"/>
        <v>2624106</v>
      </c>
      <c r="Q30" s="84">
        <f t="shared" si="4"/>
        <v>3810000</v>
      </c>
      <c r="R30" s="84">
        <f t="shared" si="4"/>
        <v>0</v>
      </c>
      <c r="S30" s="88">
        <f>P30/Q30</f>
        <v>0.68874173228346458</v>
      </c>
    </row>
    <row r="31" spans="1:19" s="458" customFormat="1" x14ac:dyDescent="0.25">
      <c r="A31" s="89"/>
      <c r="B31" s="77"/>
      <c r="C31" s="75"/>
      <c r="D31" s="75"/>
      <c r="E31" s="75"/>
      <c r="F31" s="75"/>
      <c r="G31" s="472"/>
      <c r="H31" s="75"/>
      <c r="I31" s="472"/>
      <c r="J31" s="472"/>
      <c r="K31" s="472"/>
      <c r="L31" s="472"/>
      <c r="M31" s="472"/>
      <c r="N31" s="472"/>
      <c r="O31" s="78"/>
      <c r="P31" s="78"/>
      <c r="Q31" s="78"/>
      <c r="R31" s="78"/>
      <c r="S31" s="80"/>
    </row>
    <row r="32" spans="1:19" s="458" customFormat="1" x14ac:dyDescent="0.25">
      <c r="A32" s="73" t="s">
        <v>140</v>
      </c>
      <c r="B32" s="77"/>
      <c r="C32" s="75"/>
      <c r="D32" s="75"/>
      <c r="E32" s="75"/>
      <c r="F32" s="75"/>
      <c r="G32" s="472"/>
      <c r="H32" s="75"/>
      <c r="I32" s="472"/>
      <c r="J32" s="472"/>
      <c r="K32" s="472"/>
      <c r="L32" s="472"/>
      <c r="M32" s="472"/>
      <c r="N32" s="472"/>
      <c r="O32" s="78"/>
      <c r="P32" s="78"/>
      <c r="Q32" s="78"/>
      <c r="R32" s="78"/>
      <c r="S32" s="80"/>
    </row>
    <row r="33" spans="1:19" s="458" customFormat="1" x14ac:dyDescent="0.25">
      <c r="A33" s="86" t="s">
        <v>186</v>
      </c>
      <c r="B33" s="77">
        <v>1121328</v>
      </c>
      <c r="C33" s="75">
        <v>43161</v>
      </c>
      <c r="D33" s="75">
        <v>108472</v>
      </c>
      <c r="E33" s="75">
        <v>353411</v>
      </c>
      <c r="F33" s="75">
        <v>53814</v>
      </c>
      <c r="G33" s="472">
        <v>353578</v>
      </c>
      <c r="H33" s="75">
        <v>87118</v>
      </c>
      <c r="I33" s="472">
        <v>10650</v>
      </c>
      <c r="J33" s="472"/>
      <c r="K33" s="472"/>
      <c r="L33" s="472"/>
      <c r="M33" s="472"/>
      <c r="N33" s="472"/>
      <c r="O33" s="78">
        <f>SUM(C33:N33)</f>
        <v>1010204</v>
      </c>
      <c r="P33" s="78">
        <f>B33+O33</f>
        <v>2131532</v>
      </c>
      <c r="Q33" s="91">
        <v>3698170</v>
      </c>
      <c r="R33" s="91"/>
      <c r="S33" s="91">
        <f>P33/Q33</f>
        <v>0.57637480159105725</v>
      </c>
    </row>
    <row r="34" spans="1:19" s="458" customFormat="1" x14ac:dyDescent="0.25">
      <c r="A34" s="87" t="s">
        <v>38</v>
      </c>
      <c r="B34" s="82">
        <f t="shared" ref="B34:R34" si="5">SUM(B33:B33)</f>
        <v>1121328</v>
      </c>
      <c r="C34" s="83">
        <f t="shared" si="5"/>
        <v>43161</v>
      </c>
      <c r="D34" s="83">
        <f t="shared" si="5"/>
        <v>108472</v>
      </c>
      <c r="E34" s="83">
        <f t="shared" si="5"/>
        <v>353411</v>
      </c>
      <c r="F34" s="83">
        <f t="shared" si="5"/>
        <v>53814</v>
      </c>
      <c r="G34" s="475">
        <f t="shared" si="5"/>
        <v>353578</v>
      </c>
      <c r="H34" s="83">
        <f t="shared" si="5"/>
        <v>87118</v>
      </c>
      <c r="I34" s="475">
        <f t="shared" si="5"/>
        <v>10650</v>
      </c>
      <c r="J34" s="475">
        <f t="shared" si="5"/>
        <v>0</v>
      </c>
      <c r="K34" s="475">
        <f t="shared" si="5"/>
        <v>0</v>
      </c>
      <c r="L34" s="475">
        <f t="shared" si="5"/>
        <v>0</v>
      </c>
      <c r="M34" s="475">
        <f t="shared" si="5"/>
        <v>0</v>
      </c>
      <c r="N34" s="475">
        <f t="shared" si="5"/>
        <v>0</v>
      </c>
      <c r="O34" s="84">
        <f t="shared" si="5"/>
        <v>1010204</v>
      </c>
      <c r="P34" s="84">
        <f t="shared" si="5"/>
        <v>2131532</v>
      </c>
      <c r="Q34" s="84">
        <f t="shared" si="5"/>
        <v>3698170</v>
      </c>
      <c r="R34" s="84">
        <f t="shared" si="5"/>
        <v>0</v>
      </c>
      <c r="S34" s="88">
        <f>P34/Q34</f>
        <v>0.57637480159105725</v>
      </c>
    </row>
    <row r="35" spans="1:19" s="458" customFormat="1" x14ac:dyDescent="0.25">
      <c r="A35" s="89"/>
      <c r="B35" s="77"/>
      <c r="C35" s="75"/>
      <c r="D35" s="75" t="s">
        <v>146</v>
      </c>
      <c r="E35" s="75"/>
      <c r="F35" s="75"/>
      <c r="G35" s="472"/>
      <c r="H35" s="75"/>
      <c r="I35" s="472"/>
      <c r="J35" s="472"/>
      <c r="K35" s="472"/>
      <c r="L35" s="472"/>
      <c r="M35" s="472"/>
      <c r="N35" s="472"/>
      <c r="O35" s="78"/>
      <c r="P35" s="78"/>
      <c r="Q35" s="78"/>
      <c r="R35" s="78"/>
      <c r="S35" s="80"/>
    </row>
    <row r="36" spans="1:19" s="458" customFormat="1" x14ac:dyDescent="0.25">
      <c r="A36" s="73" t="s">
        <v>141</v>
      </c>
      <c r="B36" s="77"/>
      <c r="C36" s="75"/>
      <c r="D36" s="75"/>
      <c r="E36" s="75"/>
      <c r="F36" s="75"/>
      <c r="G36" s="472"/>
      <c r="H36" s="75"/>
      <c r="I36" s="472"/>
      <c r="J36" s="472"/>
      <c r="K36" s="472"/>
      <c r="L36" s="472"/>
      <c r="M36" s="472"/>
      <c r="N36" s="472"/>
      <c r="O36" s="78"/>
      <c r="P36" s="78"/>
      <c r="Q36" s="78"/>
      <c r="R36" s="78"/>
      <c r="S36" s="80"/>
    </row>
    <row r="37" spans="1:19" s="458" customFormat="1" x14ac:dyDescent="0.25">
      <c r="A37" s="76" t="s">
        <v>142</v>
      </c>
      <c r="B37" s="77">
        <v>639336</v>
      </c>
      <c r="C37" s="75">
        <v>36492</v>
      </c>
      <c r="D37" s="75">
        <v>278932</v>
      </c>
      <c r="E37" s="75">
        <v>63804</v>
      </c>
      <c r="F37" s="75">
        <v>-170687</v>
      </c>
      <c r="G37" s="472">
        <v>60347</v>
      </c>
      <c r="H37" s="75">
        <v>57965</v>
      </c>
      <c r="I37" s="472">
        <v>66128</v>
      </c>
      <c r="J37" s="472"/>
      <c r="K37" s="472"/>
      <c r="L37" s="472"/>
      <c r="M37" s="472"/>
      <c r="N37" s="472"/>
      <c r="O37" s="78">
        <f>SUM(C37:N37)</f>
        <v>392981</v>
      </c>
      <c r="P37" s="78">
        <f>B37+O37</f>
        <v>1032317</v>
      </c>
      <c r="Q37" s="78">
        <v>1531077</v>
      </c>
      <c r="R37" s="78"/>
      <c r="S37" s="80">
        <f>P37/Q37</f>
        <v>0.67424237971049139</v>
      </c>
    </row>
    <row r="38" spans="1:19" s="458" customFormat="1" x14ac:dyDescent="0.25">
      <c r="A38" s="76" t="s">
        <v>143</v>
      </c>
      <c r="B38" s="77">
        <v>480072</v>
      </c>
      <c r="C38" s="75">
        <v>8214</v>
      </c>
      <c r="D38" s="75">
        <v>15844</v>
      </c>
      <c r="E38" s="75">
        <v>25390</v>
      </c>
      <c r="F38" s="75">
        <v>16068</v>
      </c>
      <c r="G38" s="472">
        <v>822</v>
      </c>
      <c r="H38" s="75">
        <v>27176</v>
      </c>
      <c r="I38" s="472">
        <v>9100</v>
      </c>
      <c r="J38" s="472"/>
      <c r="K38" s="472"/>
      <c r="L38" s="472"/>
      <c r="M38" s="472"/>
      <c r="N38" s="472"/>
      <c r="O38" s="78">
        <f>SUM(C38:N38)</f>
        <v>102614</v>
      </c>
      <c r="P38" s="78">
        <f>B38+O38</f>
        <v>582686</v>
      </c>
      <c r="Q38" s="78">
        <v>1769440</v>
      </c>
      <c r="R38" s="78"/>
      <c r="S38" s="80">
        <f>P38/Q38</f>
        <v>0.32930531693643189</v>
      </c>
    </row>
    <row r="39" spans="1:19" s="458" customFormat="1" x14ac:dyDescent="0.25">
      <c r="A39" s="87" t="s">
        <v>39</v>
      </c>
      <c r="B39" s="82">
        <f>SUM(B37:B38)</f>
        <v>1119408</v>
      </c>
      <c r="C39" s="83">
        <f>SUM(C37:C38)</f>
        <v>44706</v>
      </c>
      <c r="D39" s="83">
        <f>SUM(D37:D38)</f>
        <v>294776</v>
      </c>
      <c r="E39" s="83">
        <f t="shared" ref="E39:R39" si="6">SUM(E37:E38)</f>
        <v>89194</v>
      </c>
      <c r="F39" s="83">
        <f t="shared" si="6"/>
        <v>-154619</v>
      </c>
      <c r="G39" s="475">
        <f t="shared" si="6"/>
        <v>61169</v>
      </c>
      <c r="H39" s="83">
        <f t="shared" si="6"/>
        <v>85141</v>
      </c>
      <c r="I39" s="475">
        <f t="shared" si="6"/>
        <v>75228</v>
      </c>
      <c r="J39" s="475">
        <f t="shared" si="6"/>
        <v>0</v>
      </c>
      <c r="K39" s="475">
        <f t="shared" si="6"/>
        <v>0</v>
      </c>
      <c r="L39" s="475">
        <f t="shared" si="6"/>
        <v>0</v>
      </c>
      <c r="M39" s="475">
        <f t="shared" si="6"/>
        <v>0</v>
      </c>
      <c r="N39" s="475">
        <f t="shared" si="6"/>
        <v>0</v>
      </c>
      <c r="O39" s="84">
        <f t="shared" si="6"/>
        <v>495595</v>
      </c>
      <c r="P39" s="84">
        <f t="shared" si="6"/>
        <v>1615003</v>
      </c>
      <c r="Q39" s="84">
        <f t="shared" si="6"/>
        <v>3300517</v>
      </c>
      <c r="R39" s="84">
        <f t="shared" si="6"/>
        <v>0</v>
      </c>
      <c r="S39" s="88">
        <f>P39/Q39</f>
        <v>0.48931818863529564</v>
      </c>
    </row>
    <row r="40" spans="1:19" s="458" customFormat="1" x14ac:dyDescent="0.25">
      <c r="A40" s="76"/>
      <c r="B40" s="77"/>
      <c r="C40" s="75"/>
      <c r="D40" s="75"/>
      <c r="E40" s="75"/>
      <c r="F40" s="75"/>
      <c r="G40" s="472"/>
      <c r="H40" s="75"/>
      <c r="I40" s="472"/>
      <c r="J40" s="472"/>
      <c r="K40" s="472"/>
      <c r="L40" s="472"/>
      <c r="M40" s="472"/>
      <c r="N40" s="472"/>
      <c r="O40" s="78"/>
      <c r="P40" s="78"/>
      <c r="Q40" s="78"/>
      <c r="R40" s="78"/>
      <c r="S40" s="80"/>
    </row>
    <row r="41" spans="1:19" s="458" customFormat="1" x14ac:dyDescent="0.25">
      <c r="A41" s="73" t="s">
        <v>144</v>
      </c>
      <c r="B41" s="77"/>
      <c r="C41" s="75"/>
      <c r="D41" s="75"/>
      <c r="E41" s="75"/>
      <c r="F41" s="75"/>
      <c r="G41" s="472"/>
      <c r="H41" s="75"/>
      <c r="I41" s="472"/>
      <c r="J41" s="472"/>
      <c r="K41" s="472"/>
      <c r="L41" s="472"/>
      <c r="M41" s="472"/>
      <c r="N41" s="472"/>
      <c r="O41" s="78"/>
      <c r="P41" s="78"/>
      <c r="Q41" s="78"/>
      <c r="R41" s="78"/>
      <c r="S41" s="80"/>
    </row>
    <row r="42" spans="1:19" s="458" customFormat="1" x14ac:dyDescent="0.25">
      <c r="A42" s="76" t="s">
        <v>95</v>
      </c>
      <c r="B42" s="77">
        <v>99144</v>
      </c>
      <c r="C42" s="75">
        <v>4278</v>
      </c>
      <c r="D42" s="75">
        <v>4798</v>
      </c>
      <c r="E42" s="75">
        <v>4648</v>
      </c>
      <c r="F42" s="75">
        <v>5839</v>
      </c>
      <c r="G42" s="472">
        <v>6429</v>
      </c>
      <c r="H42" s="75">
        <v>5786</v>
      </c>
      <c r="I42" s="472">
        <v>5444</v>
      </c>
      <c r="J42" s="472"/>
      <c r="K42" s="472"/>
      <c r="L42" s="472"/>
      <c r="M42" s="472"/>
      <c r="N42" s="472"/>
      <c r="O42" s="78">
        <f>SUM(C42:N42)</f>
        <v>37222</v>
      </c>
      <c r="P42" s="92">
        <f>B42+O42</f>
        <v>136366</v>
      </c>
      <c r="Q42" s="93">
        <f>2000000+1500000</f>
        <v>3500000</v>
      </c>
      <c r="R42" s="93">
        <v>1500000</v>
      </c>
      <c r="S42" s="80">
        <f>P42/Q42</f>
        <v>3.8961714285714287E-2</v>
      </c>
    </row>
    <row r="43" spans="1:19" s="458" customFormat="1" x14ac:dyDescent="0.25">
      <c r="A43" s="81" t="s">
        <v>40</v>
      </c>
      <c r="B43" s="82">
        <f>SUM(B42)</f>
        <v>99144</v>
      </c>
      <c r="C43" s="83">
        <f>SUM(C42)</f>
        <v>4278</v>
      </c>
      <c r="D43" s="83">
        <f>SUM(D42)</f>
        <v>4798</v>
      </c>
      <c r="E43" s="83">
        <f t="shared" ref="E43:M43" si="7">SUM(E42)</f>
        <v>4648</v>
      </c>
      <c r="F43" s="83">
        <f t="shared" si="7"/>
        <v>5839</v>
      </c>
      <c r="G43" s="475">
        <f t="shared" si="7"/>
        <v>6429</v>
      </c>
      <c r="H43" s="83">
        <f t="shared" si="7"/>
        <v>5786</v>
      </c>
      <c r="I43" s="475">
        <f t="shared" si="7"/>
        <v>5444</v>
      </c>
      <c r="J43" s="475">
        <f t="shared" si="7"/>
        <v>0</v>
      </c>
      <c r="K43" s="475">
        <f t="shared" si="7"/>
        <v>0</v>
      </c>
      <c r="L43" s="475">
        <f t="shared" si="7"/>
        <v>0</v>
      </c>
      <c r="M43" s="475">
        <f t="shared" si="7"/>
        <v>0</v>
      </c>
      <c r="N43" s="475">
        <f>SUM(N42)</f>
        <v>0</v>
      </c>
      <c r="O43" s="84">
        <f>SUM(O42)</f>
        <v>37222</v>
      </c>
      <c r="P43" s="84">
        <f>SUM(P42)</f>
        <v>136366</v>
      </c>
      <c r="Q43" s="84">
        <f>SUM(Q42)</f>
        <v>3500000</v>
      </c>
      <c r="R43" s="84">
        <f>SUM(R42)</f>
        <v>1500000</v>
      </c>
      <c r="S43" s="85">
        <f>+P43/Q43</f>
        <v>3.8961714285714287E-2</v>
      </c>
    </row>
    <row r="44" spans="1:19" s="458" customFormat="1" x14ac:dyDescent="0.25">
      <c r="A44" s="89"/>
      <c r="B44" s="77"/>
      <c r="C44" s="75"/>
      <c r="D44" s="75"/>
      <c r="E44" s="75"/>
      <c r="F44" s="75"/>
      <c r="G44" s="472"/>
      <c r="H44" s="75"/>
      <c r="I44" s="472"/>
      <c r="J44" s="472"/>
      <c r="K44" s="472"/>
      <c r="L44" s="472"/>
      <c r="M44" s="472"/>
      <c r="N44" s="472"/>
      <c r="O44" s="78"/>
      <c r="P44" s="78"/>
      <c r="Q44" s="78"/>
      <c r="R44" s="78"/>
      <c r="S44" s="80"/>
    </row>
    <row r="45" spans="1:19" s="458" customFormat="1" x14ac:dyDescent="0.25">
      <c r="A45" s="94"/>
      <c r="B45" s="95"/>
      <c r="C45" s="75"/>
      <c r="D45" s="96"/>
      <c r="E45" s="96"/>
      <c r="F45" s="96"/>
      <c r="G45" s="476"/>
      <c r="H45" s="96"/>
      <c r="I45" s="476"/>
      <c r="J45" s="476"/>
      <c r="K45" s="476"/>
      <c r="L45" s="476"/>
      <c r="M45" s="476"/>
      <c r="N45" s="472"/>
      <c r="O45" s="78"/>
      <c r="P45" s="78"/>
      <c r="Q45" s="78"/>
      <c r="R45" s="78"/>
      <c r="S45" s="90"/>
    </row>
    <row r="46" spans="1:19" ht="15" customHeight="1" thickBot="1" x14ac:dyDescent="0.3">
      <c r="A46" s="97" t="s">
        <v>27</v>
      </c>
      <c r="B46" s="98">
        <f>B8+B15+B21+B25+B30+B34+B39+B43</f>
        <v>9739689</v>
      </c>
      <c r="C46" s="99">
        <f>C8+C15+C21+C25+C30+C34+C39+C43</f>
        <v>1107119</v>
      </c>
      <c r="D46" s="99">
        <f>D8+D15+D21+D25+D30+D34+D39+D43</f>
        <v>963695</v>
      </c>
      <c r="E46" s="99">
        <f t="shared" ref="E46:N46" si="8">E8+E15+E21+E25+E30+E34+E39+E43</f>
        <v>1096790</v>
      </c>
      <c r="F46" s="99">
        <f t="shared" si="8"/>
        <v>507034</v>
      </c>
      <c r="G46" s="477">
        <f t="shared" si="8"/>
        <v>927617</v>
      </c>
      <c r="H46" s="99">
        <f t="shared" si="8"/>
        <v>741987.75</v>
      </c>
      <c r="I46" s="477">
        <f t="shared" si="8"/>
        <v>260602</v>
      </c>
      <c r="J46" s="477">
        <f t="shared" si="8"/>
        <v>0</v>
      </c>
      <c r="K46" s="477">
        <f t="shared" si="8"/>
        <v>0</v>
      </c>
      <c r="L46" s="477">
        <f t="shared" si="8"/>
        <v>0</v>
      </c>
      <c r="M46" s="477">
        <f t="shared" si="8"/>
        <v>0</v>
      </c>
      <c r="N46" s="477">
        <f t="shared" si="8"/>
        <v>0</v>
      </c>
      <c r="O46" s="100">
        <f>O8+O15+O21+O25+O30+O34+O39+O43</f>
        <v>5604844.75</v>
      </c>
      <c r="P46" s="100">
        <f>P8+P15+P21+P25+P30+P34+P39+P43</f>
        <v>15344533.75</v>
      </c>
      <c r="Q46" s="100">
        <f>Q43+Q39+Q34+Q30+Q25+Q21+Q15+Q8</f>
        <v>39872606</v>
      </c>
      <c r="R46" s="100">
        <f>R8+R15+R21+R25+R30+R34+R39+R43</f>
        <v>0</v>
      </c>
      <c r="S46" s="101">
        <f>P46/Q46</f>
        <v>0.38483899823352402</v>
      </c>
    </row>
    <row r="47" spans="1:19" ht="15" customHeight="1" thickTop="1" x14ac:dyDescent="0.25">
      <c r="A47" s="479"/>
      <c r="B47" s="480"/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81"/>
    </row>
    <row r="48" spans="1:19" ht="32.25" customHeight="1" x14ac:dyDescent="0.25">
      <c r="A48" s="479"/>
      <c r="B48" s="482"/>
      <c r="C48" s="483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84"/>
    </row>
    <row r="49" spans="1:26" ht="15" customHeight="1" x14ac:dyDescent="0.25">
      <c r="A49" s="479"/>
      <c r="B49" s="480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84"/>
    </row>
    <row r="50" spans="1:26" ht="15" customHeight="1" x14ac:dyDescent="0.25">
      <c r="A50" s="479"/>
      <c r="B50" s="480"/>
      <c r="C50" s="472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84"/>
    </row>
    <row r="51" spans="1:26" ht="10.5" customHeight="1" thickBot="1" x14ac:dyDescent="0.3">
      <c r="A51" s="485"/>
      <c r="B51" s="486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8"/>
      <c r="R51" s="488"/>
      <c r="S51" s="489"/>
    </row>
    <row r="52" spans="1:26" x14ac:dyDescent="0.25">
      <c r="A52" s="478" t="s">
        <v>57</v>
      </c>
    </row>
    <row r="53" spans="1:26" s="458" customFormat="1" x14ac:dyDescent="0.25">
      <c r="O53" s="490"/>
      <c r="P53" s="490"/>
    </row>
    <row r="54" spans="1:26" s="458" customFormat="1" x14ac:dyDescent="0.25">
      <c r="A54" s="596"/>
      <c r="B54" s="491"/>
      <c r="C54" s="491"/>
      <c r="D54" s="491"/>
      <c r="E54" s="491"/>
      <c r="F54" s="492"/>
      <c r="G54" s="491"/>
      <c r="H54" s="492"/>
      <c r="I54" s="491"/>
      <c r="J54" s="491"/>
      <c r="K54" s="491"/>
      <c r="L54" s="491"/>
      <c r="M54" s="491"/>
      <c r="N54" s="491"/>
      <c r="O54" s="491"/>
      <c r="P54" s="493"/>
      <c r="Q54" s="491"/>
      <c r="R54" s="491"/>
      <c r="S54" s="491"/>
      <c r="T54" s="491"/>
      <c r="U54" s="491"/>
      <c r="V54" s="491"/>
      <c r="W54" s="491"/>
      <c r="X54" s="491"/>
      <c r="Y54" s="491"/>
      <c r="Z54" s="491"/>
    </row>
    <row r="55" spans="1:26" s="458" customFormat="1" x14ac:dyDescent="0.25">
      <c r="A55" s="635"/>
      <c r="B55" s="635"/>
      <c r="C55" s="635"/>
      <c r="D55" s="635"/>
      <c r="E55" s="635"/>
      <c r="F55" s="635"/>
      <c r="G55" s="635"/>
      <c r="H55" s="635"/>
      <c r="I55" s="635"/>
      <c r="J55" s="635"/>
      <c r="K55" s="635"/>
      <c r="L55" s="635"/>
      <c r="M55" s="635"/>
      <c r="N55" s="635"/>
      <c r="O55" s="635"/>
      <c r="P55" s="635"/>
      <c r="Q55" s="635"/>
      <c r="R55" s="635"/>
      <c r="S55" s="635"/>
      <c r="T55" s="635"/>
      <c r="U55" s="635"/>
      <c r="V55" s="635"/>
      <c r="W55" s="635"/>
      <c r="X55" s="635"/>
      <c r="Y55" s="635"/>
      <c r="Z55" s="635"/>
    </row>
    <row r="56" spans="1:26" s="458" customFormat="1" x14ac:dyDescent="0.25">
      <c r="A56" s="494"/>
      <c r="B56" s="494"/>
      <c r="O56" s="458" t="s">
        <v>13</v>
      </c>
    </row>
    <row r="57" spans="1:26" s="458" customFormat="1" x14ac:dyDescent="0.25">
      <c r="A57" s="495"/>
      <c r="B57" s="495"/>
      <c r="E57" s="496"/>
    </row>
    <row r="58" spans="1:26" x14ac:dyDescent="0.25">
      <c r="A58" s="495"/>
      <c r="B58" s="495"/>
      <c r="C58" s="458"/>
      <c r="D58" s="458"/>
      <c r="E58" s="458"/>
      <c r="F58" s="458"/>
      <c r="G58" s="458"/>
      <c r="H58" s="458"/>
      <c r="I58" s="458"/>
      <c r="J58" s="458"/>
      <c r="K58" s="458"/>
      <c r="N58" s="497"/>
    </row>
    <row r="59" spans="1:26" x14ac:dyDescent="0.25">
      <c r="A59" s="495"/>
      <c r="B59" s="495"/>
      <c r="C59" s="458"/>
      <c r="D59" s="458"/>
      <c r="E59" s="498"/>
      <c r="F59" s="499"/>
      <c r="G59" s="497"/>
    </row>
    <row r="60" spans="1:26" x14ac:dyDescent="0.25">
      <c r="E60" s="498"/>
      <c r="F60" s="499"/>
      <c r="G60" s="497"/>
    </row>
    <row r="61" spans="1:26" x14ac:dyDescent="0.25">
      <c r="E61" s="498"/>
      <c r="F61" s="499"/>
      <c r="G61" s="497"/>
    </row>
    <row r="62" spans="1:26" x14ac:dyDescent="0.25">
      <c r="E62" s="498"/>
      <c r="F62" s="499"/>
      <c r="G62" s="497"/>
    </row>
    <row r="63" spans="1:26" x14ac:dyDescent="0.25">
      <c r="E63" s="500"/>
      <c r="F63" s="501"/>
    </row>
    <row r="64" spans="1:26" x14ac:dyDescent="0.25">
      <c r="E64" s="502"/>
      <c r="F64" s="499"/>
      <c r="G64" s="497"/>
    </row>
    <row r="65" spans="5:18" x14ac:dyDescent="0.25">
      <c r="E65" s="502"/>
      <c r="F65" s="499"/>
      <c r="G65" s="497"/>
      <c r="Q65" s="478"/>
      <c r="R65" s="478"/>
    </row>
    <row r="66" spans="5:18" x14ac:dyDescent="0.25">
      <c r="E66" s="502"/>
      <c r="F66" s="499"/>
      <c r="G66" s="497"/>
      <c r="Q66" s="478"/>
      <c r="R66" s="478"/>
    </row>
    <row r="67" spans="5:18" x14ac:dyDescent="0.25">
      <c r="E67" s="502"/>
      <c r="F67" s="499"/>
      <c r="G67" s="497"/>
      <c r="Q67" s="478"/>
      <c r="R67" s="478"/>
    </row>
    <row r="68" spans="5:18" x14ac:dyDescent="0.25">
      <c r="E68" s="502"/>
      <c r="F68" s="499"/>
      <c r="G68" s="497"/>
      <c r="Q68" s="478"/>
      <c r="R68" s="478"/>
    </row>
    <row r="69" spans="5:18" x14ac:dyDescent="0.25">
      <c r="E69" s="500"/>
      <c r="F69" s="503"/>
      <c r="G69" s="497"/>
      <c r="Q69" s="478"/>
      <c r="R69" s="478"/>
    </row>
  </sheetData>
  <sheetProtection password="F01B" sheet="1" objects="1" scenarios="1"/>
  <mergeCells count="1">
    <mergeCell ref="A55:Z55"/>
  </mergeCells>
  <printOptions horizontalCentered="1"/>
  <pageMargins left="0.5" right="0.5" top="0.56999999999999995" bottom="0.51" header="0.26" footer="0.25"/>
  <pageSetup scale="36" orientation="landscape" r:id="rId1"/>
  <headerFooter alignWithMargins="0">
    <oddHeader xml:space="preserve">&amp;C&amp;"Arial,Bold"SDGE Demand Response Programs and Activities
Incremental Cost 
2016 Funding
&amp;"Arial,Regular"
</oddHeader>
    <oddFooter>&amp;L&amp;F&amp;R&amp;D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63"/>
  <sheetViews>
    <sheetView zoomScaleNormal="100" workbookViewId="0">
      <selection activeCell="I13" sqref="I13"/>
    </sheetView>
  </sheetViews>
  <sheetFormatPr defaultRowHeight="13.8" x14ac:dyDescent="0.3"/>
  <cols>
    <col min="1" max="1" width="70" style="528" customWidth="1"/>
    <col min="2" max="10" width="12.6640625" style="528" customWidth="1"/>
    <col min="11" max="11" width="13" style="528" customWidth="1"/>
    <col min="12" max="12" width="12.6640625" style="529" customWidth="1"/>
    <col min="13" max="13" width="12.6640625" style="528" customWidth="1"/>
    <col min="14" max="14" width="11" style="527" customWidth="1"/>
    <col min="15" max="15" width="13.33203125" style="527" hidden="1" customWidth="1"/>
    <col min="16" max="17" width="11.6640625" style="527" customWidth="1"/>
    <col min="18" max="256" width="9.109375" style="527"/>
    <col min="257" max="257" width="70" style="527" customWidth="1"/>
    <col min="258" max="269" width="12.6640625" style="527" customWidth="1"/>
    <col min="270" max="270" width="11" style="527" customWidth="1"/>
    <col min="271" max="271" width="0" style="527" hidden="1" customWidth="1"/>
    <col min="272" max="273" width="11.6640625" style="527" customWidth="1"/>
    <col min="274" max="512" width="9.109375" style="527"/>
    <col min="513" max="513" width="70" style="527" customWidth="1"/>
    <col min="514" max="525" width="12.6640625" style="527" customWidth="1"/>
    <col min="526" max="526" width="11" style="527" customWidth="1"/>
    <col min="527" max="527" width="0" style="527" hidden="1" customWidth="1"/>
    <col min="528" max="529" width="11.6640625" style="527" customWidth="1"/>
    <col min="530" max="768" width="9.109375" style="527"/>
    <col min="769" max="769" width="70" style="527" customWidth="1"/>
    <col min="770" max="781" width="12.6640625" style="527" customWidth="1"/>
    <col min="782" max="782" width="11" style="527" customWidth="1"/>
    <col min="783" max="783" width="0" style="527" hidden="1" customWidth="1"/>
    <col min="784" max="785" width="11.6640625" style="527" customWidth="1"/>
    <col min="786" max="1024" width="9.109375" style="527"/>
    <col min="1025" max="1025" width="70" style="527" customWidth="1"/>
    <col min="1026" max="1037" width="12.6640625" style="527" customWidth="1"/>
    <col min="1038" max="1038" width="11" style="527" customWidth="1"/>
    <col min="1039" max="1039" width="0" style="527" hidden="1" customWidth="1"/>
    <col min="1040" max="1041" width="11.6640625" style="527" customWidth="1"/>
    <col min="1042" max="1280" width="9.109375" style="527"/>
    <col min="1281" max="1281" width="70" style="527" customWidth="1"/>
    <col min="1282" max="1293" width="12.6640625" style="527" customWidth="1"/>
    <col min="1294" max="1294" width="11" style="527" customWidth="1"/>
    <col min="1295" max="1295" width="0" style="527" hidden="1" customWidth="1"/>
    <col min="1296" max="1297" width="11.6640625" style="527" customWidth="1"/>
    <col min="1298" max="1536" width="9.109375" style="527"/>
    <col min="1537" max="1537" width="70" style="527" customWidth="1"/>
    <col min="1538" max="1549" width="12.6640625" style="527" customWidth="1"/>
    <col min="1550" max="1550" width="11" style="527" customWidth="1"/>
    <col min="1551" max="1551" width="0" style="527" hidden="1" customWidth="1"/>
    <col min="1552" max="1553" width="11.6640625" style="527" customWidth="1"/>
    <col min="1554" max="1792" width="9.109375" style="527"/>
    <col min="1793" max="1793" width="70" style="527" customWidth="1"/>
    <col min="1794" max="1805" width="12.6640625" style="527" customWidth="1"/>
    <col min="1806" max="1806" width="11" style="527" customWidth="1"/>
    <col min="1807" max="1807" width="0" style="527" hidden="1" customWidth="1"/>
    <col min="1808" max="1809" width="11.6640625" style="527" customWidth="1"/>
    <col min="1810" max="2048" width="9.109375" style="527"/>
    <col min="2049" max="2049" width="70" style="527" customWidth="1"/>
    <col min="2050" max="2061" width="12.6640625" style="527" customWidth="1"/>
    <col min="2062" max="2062" width="11" style="527" customWidth="1"/>
    <col min="2063" max="2063" width="0" style="527" hidden="1" customWidth="1"/>
    <col min="2064" max="2065" width="11.6640625" style="527" customWidth="1"/>
    <col min="2066" max="2304" width="9.109375" style="527"/>
    <col min="2305" max="2305" width="70" style="527" customWidth="1"/>
    <col min="2306" max="2317" width="12.6640625" style="527" customWidth="1"/>
    <col min="2318" max="2318" width="11" style="527" customWidth="1"/>
    <col min="2319" max="2319" width="0" style="527" hidden="1" customWidth="1"/>
    <col min="2320" max="2321" width="11.6640625" style="527" customWidth="1"/>
    <col min="2322" max="2560" width="9.109375" style="527"/>
    <col min="2561" max="2561" width="70" style="527" customWidth="1"/>
    <col min="2562" max="2573" width="12.6640625" style="527" customWidth="1"/>
    <col min="2574" max="2574" width="11" style="527" customWidth="1"/>
    <col min="2575" max="2575" width="0" style="527" hidden="1" customWidth="1"/>
    <col min="2576" max="2577" width="11.6640625" style="527" customWidth="1"/>
    <col min="2578" max="2816" width="9.109375" style="527"/>
    <col min="2817" max="2817" width="70" style="527" customWidth="1"/>
    <col min="2818" max="2829" width="12.6640625" style="527" customWidth="1"/>
    <col min="2830" max="2830" width="11" style="527" customWidth="1"/>
    <col min="2831" max="2831" width="0" style="527" hidden="1" customWidth="1"/>
    <col min="2832" max="2833" width="11.6640625" style="527" customWidth="1"/>
    <col min="2834" max="3072" width="9.109375" style="527"/>
    <col min="3073" max="3073" width="70" style="527" customWidth="1"/>
    <col min="3074" max="3085" width="12.6640625" style="527" customWidth="1"/>
    <col min="3086" max="3086" width="11" style="527" customWidth="1"/>
    <col min="3087" max="3087" width="0" style="527" hidden="1" customWidth="1"/>
    <col min="3088" max="3089" width="11.6640625" style="527" customWidth="1"/>
    <col min="3090" max="3328" width="9.109375" style="527"/>
    <col min="3329" max="3329" width="70" style="527" customWidth="1"/>
    <col min="3330" max="3341" width="12.6640625" style="527" customWidth="1"/>
    <col min="3342" max="3342" width="11" style="527" customWidth="1"/>
    <col min="3343" max="3343" width="0" style="527" hidden="1" customWidth="1"/>
    <col min="3344" max="3345" width="11.6640625" style="527" customWidth="1"/>
    <col min="3346" max="3584" width="9.109375" style="527"/>
    <col min="3585" max="3585" width="70" style="527" customWidth="1"/>
    <col min="3586" max="3597" width="12.6640625" style="527" customWidth="1"/>
    <col min="3598" max="3598" width="11" style="527" customWidth="1"/>
    <col min="3599" max="3599" width="0" style="527" hidden="1" customWidth="1"/>
    <col min="3600" max="3601" width="11.6640625" style="527" customWidth="1"/>
    <col min="3602" max="3840" width="9.109375" style="527"/>
    <col min="3841" max="3841" width="70" style="527" customWidth="1"/>
    <col min="3842" max="3853" width="12.6640625" style="527" customWidth="1"/>
    <col min="3854" max="3854" width="11" style="527" customWidth="1"/>
    <col min="3855" max="3855" width="0" style="527" hidden="1" customWidth="1"/>
    <col min="3856" max="3857" width="11.6640625" style="527" customWidth="1"/>
    <col min="3858" max="4096" width="9.109375" style="527"/>
    <col min="4097" max="4097" width="70" style="527" customWidth="1"/>
    <col min="4098" max="4109" width="12.6640625" style="527" customWidth="1"/>
    <col min="4110" max="4110" width="11" style="527" customWidth="1"/>
    <col min="4111" max="4111" width="0" style="527" hidden="1" customWidth="1"/>
    <col min="4112" max="4113" width="11.6640625" style="527" customWidth="1"/>
    <col min="4114" max="4352" width="9.109375" style="527"/>
    <col min="4353" max="4353" width="70" style="527" customWidth="1"/>
    <col min="4354" max="4365" width="12.6640625" style="527" customWidth="1"/>
    <col min="4366" max="4366" width="11" style="527" customWidth="1"/>
    <col min="4367" max="4367" width="0" style="527" hidden="1" customWidth="1"/>
    <col min="4368" max="4369" width="11.6640625" style="527" customWidth="1"/>
    <col min="4370" max="4608" width="9.109375" style="527"/>
    <col min="4609" max="4609" width="70" style="527" customWidth="1"/>
    <col min="4610" max="4621" width="12.6640625" style="527" customWidth="1"/>
    <col min="4622" max="4622" width="11" style="527" customWidth="1"/>
    <col min="4623" max="4623" width="0" style="527" hidden="1" customWidth="1"/>
    <col min="4624" max="4625" width="11.6640625" style="527" customWidth="1"/>
    <col min="4626" max="4864" width="9.109375" style="527"/>
    <col min="4865" max="4865" width="70" style="527" customWidth="1"/>
    <col min="4866" max="4877" width="12.6640625" style="527" customWidth="1"/>
    <col min="4878" max="4878" width="11" style="527" customWidth="1"/>
    <col min="4879" max="4879" width="0" style="527" hidden="1" customWidth="1"/>
    <col min="4880" max="4881" width="11.6640625" style="527" customWidth="1"/>
    <col min="4882" max="5120" width="9.109375" style="527"/>
    <col min="5121" max="5121" width="70" style="527" customWidth="1"/>
    <col min="5122" max="5133" width="12.6640625" style="527" customWidth="1"/>
    <col min="5134" max="5134" width="11" style="527" customWidth="1"/>
    <col min="5135" max="5135" width="0" style="527" hidden="1" customWidth="1"/>
    <col min="5136" max="5137" width="11.6640625" style="527" customWidth="1"/>
    <col min="5138" max="5376" width="9.109375" style="527"/>
    <col min="5377" max="5377" width="70" style="527" customWidth="1"/>
    <col min="5378" max="5389" width="12.6640625" style="527" customWidth="1"/>
    <col min="5390" max="5390" width="11" style="527" customWidth="1"/>
    <col min="5391" max="5391" width="0" style="527" hidden="1" customWidth="1"/>
    <col min="5392" max="5393" width="11.6640625" style="527" customWidth="1"/>
    <col min="5394" max="5632" width="9.109375" style="527"/>
    <col min="5633" max="5633" width="70" style="527" customWidth="1"/>
    <col min="5634" max="5645" width="12.6640625" style="527" customWidth="1"/>
    <col min="5646" max="5646" width="11" style="527" customWidth="1"/>
    <col min="5647" max="5647" width="0" style="527" hidden="1" customWidth="1"/>
    <col min="5648" max="5649" width="11.6640625" style="527" customWidth="1"/>
    <col min="5650" max="5888" width="9.109375" style="527"/>
    <col min="5889" max="5889" width="70" style="527" customWidth="1"/>
    <col min="5890" max="5901" width="12.6640625" style="527" customWidth="1"/>
    <col min="5902" max="5902" width="11" style="527" customWidth="1"/>
    <col min="5903" max="5903" width="0" style="527" hidden="1" customWidth="1"/>
    <col min="5904" max="5905" width="11.6640625" style="527" customWidth="1"/>
    <col min="5906" max="6144" width="9.109375" style="527"/>
    <col min="6145" max="6145" width="70" style="527" customWidth="1"/>
    <col min="6146" max="6157" width="12.6640625" style="527" customWidth="1"/>
    <col min="6158" max="6158" width="11" style="527" customWidth="1"/>
    <col min="6159" max="6159" width="0" style="527" hidden="1" customWidth="1"/>
    <col min="6160" max="6161" width="11.6640625" style="527" customWidth="1"/>
    <col min="6162" max="6400" width="9.109375" style="527"/>
    <col min="6401" max="6401" width="70" style="527" customWidth="1"/>
    <col min="6402" max="6413" width="12.6640625" style="527" customWidth="1"/>
    <col min="6414" max="6414" width="11" style="527" customWidth="1"/>
    <col min="6415" max="6415" width="0" style="527" hidden="1" customWidth="1"/>
    <col min="6416" max="6417" width="11.6640625" style="527" customWidth="1"/>
    <col min="6418" max="6656" width="9.109375" style="527"/>
    <col min="6657" max="6657" width="70" style="527" customWidth="1"/>
    <col min="6658" max="6669" width="12.6640625" style="527" customWidth="1"/>
    <col min="6670" max="6670" width="11" style="527" customWidth="1"/>
    <col min="6671" max="6671" width="0" style="527" hidden="1" customWidth="1"/>
    <col min="6672" max="6673" width="11.6640625" style="527" customWidth="1"/>
    <col min="6674" max="6912" width="9.109375" style="527"/>
    <col min="6913" max="6913" width="70" style="527" customWidth="1"/>
    <col min="6914" max="6925" width="12.6640625" style="527" customWidth="1"/>
    <col min="6926" max="6926" width="11" style="527" customWidth="1"/>
    <col min="6927" max="6927" width="0" style="527" hidden="1" customWidth="1"/>
    <col min="6928" max="6929" width="11.6640625" style="527" customWidth="1"/>
    <col min="6930" max="7168" width="9.109375" style="527"/>
    <col min="7169" max="7169" width="70" style="527" customWidth="1"/>
    <col min="7170" max="7181" width="12.6640625" style="527" customWidth="1"/>
    <col min="7182" max="7182" width="11" style="527" customWidth="1"/>
    <col min="7183" max="7183" width="0" style="527" hidden="1" customWidth="1"/>
    <col min="7184" max="7185" width="11.6640625" style="527" customWidth="1"/>
    <col min="7186" max="7424" width="9.109375" style="527"/>
    <col min="7425" max="7425" width="70" style="527" customWidth="1"/>
    <col min="7426" max="7437" width="12.6640625" style="527" customWidth="1"/>
    <col min="7438" max="7438" width="11" style="527" customWidth="1"/>
    <col min="7439" max="7439" width="0" style="527" hidden="1" customWidth="1"/>
    <col min="7440" max="7441" width="11.6640625" style="527" customWidth="1"/>
    <col min="7442" max="7680" width="9.109375" style="527"/>
    <col min="7681" max="7681" width="70" style="527" customWidth="1"/>
    <col min="7682" max="7693" width="12.6640625" style="527" customWidth="1"/>
    <col min="7694" max="7694" width="11" style="527" customWidth="1"/>
    <col min="7695" max="7695" width="0" style="527" hidden="1" customWidth="1"/>
    <col min="7696" max="7697" width="11.6640625" style="527" customWidth="1"/>
    <col min="7698" max="7936" width="9.109375" style="527"/>
    <col min="7937" max="7937" width="70" style="527" customWidth="1"/>
    <col min="7938" max="7949" width="12.6640625" style="527" customWidth="1"/>
    <col min="7950" max="7950" width="11" style="527" customWidth="1"/>
    <col min="7951" max="7951" width="0" style="527" hidden="1" customWidth="1"/>
    <col min="7952" max="7953" width="11.6640625" style="527" customWidth="1"/>
    <col min="7954" max="8192" width="9.109375" style="527"/>
    <col min="8193" max="8193" width="70" style="527" customWidth="1"/>
    <col min="8194" max="8205" width="12.6640625" style="527" customWidth="1"/>
    <col min="8206" max="8206" width="11" style="527" customWidth="1"/>
    <col min="8207" max="8207" width="0" style="527" hidden="1" customWidth="1"/>
    <col min="8208" max="8209" width="11.6640625" style="527" customWidth="1"/>
    <col min="8210" max="8448" width="9.109375" style="527"/>
    <col min="8449" max="8449" width="70" style="527" customWidth="1"/>
    <col min="8450" max="8461" width="12.6640625" style="527" customWidth="1"/>
    <col min="8462" max="8462" width="11" style="527" customWidth="1"/>
    <col min="8463" max="8463" width="0" style="527" hidden="1" customWidth="1"/>
    <col min="8464" max="8465" width="11.6640625" style="527" customWidth="1"/>
    <col min="8466" max="8704" width="9.109375" style="527"/>
    <col min="8705" max="8705" width="70" style="527" customWidth="1"/>
    <col min="8706" max="8717" width="12.6640625" style="527" customWidth="1"/>
    <col min="8718" max="8718" width="11" style="527" customWidth="1"/>
    <col min="8719" max="8719" width="0" style="527" hidden="1" customWidth="1"/>
    <col min="8720" max="8721" width="11.6640625" style="527" customWidth="1"/>
    <col min="8722" max="8960" width="9.109375" style="527"/>
    <col min="8961" max="8961" width="70" style="527" customWidth="1"/>
    <col min="8962" max="8973" width="12.6640625" style="527" customWidth="1"/>
    <col min="8974" max="8974" width="11" style="527" customWidth="1"/>
    <col min="8975" max="8975" width="0" style="527" hidden="1" customWidth="1"/>
    <col min="8976" max="8977" width="11.6640625" style="527" customWidth="1"/>
    <col min="8978" max="9216" width="9.109375" style="527"/>
    <col min="9217" max="9217" width="70" style="527" customWidth="1"/>
    <col min="9218" max="9229" width="12.6640625" style="527" customWidth="1"/>
    <col min="9230" max="9230" width="11" style="527" customWidth="1"/>
    <col min="9231" max="9231" width="0" style="527" hidden="1" customWidth="1"/>
    <col min="9232" max="9233" width="11.6640625" style="527" customWidth="1"/>
    <col min="9234" max="9472" width="9.109375" style="527"/>
    <col min="9473" max="9473" width="70" style="527" customWidth="1"/>
    <col min="9474" max="9485" width="12.6640625" style="527" customWidth="1"/>
    <col min="9486" max="9486" width="11" style="527" customWidth="1"/>
    <col min="9487" max="9487" width="0" style="527" hidden="1" customWidth="1"/>
    <col min="9488" max="9489" width="11.6640625" style="527" customWidth="1"/>
    <col min="9490" max="9728" width="9.109375" style="527"/>
    <col min="9729" max="9729" width="70" style="527" customWidth="1"/>
    <col min="9730" max="9741" width="12.6640625" style="527" customWidth="1"/>
    <col min="9742" max="9742" width="11" style="527" customWidth="1"/>
    <col min="9743" max="9743" width="0" style="527" hidden="1" customWidth="1"/>
    <col min="9744" max="9745" width="11.6640625" style="527" customWidth="1"/>
    <col min="9746" max="9984" width="9.109375" style="527"/>
    <col min="9985" max="9985" width="70" style="527" customWidth="1"/>
    <col min="9986" max="9997" width="12.6640625" style="527" customWidth="1"/>
    <col min="9998" max="9998" width="11" style="527" customWidth="1"/>
    <col min="9999" max="9999" width="0" style="527" hidden="1" customWidth="1"/>
    <col min="10000" max="10001" width="11.6640625" style="527" customWidth="1"/>
    <col min="10002" max="10240" width="9.109375" style="527"/>
    <col min="10241" max="10241" width="70" style="527" customWidth="1"/>
    <col min="10242" max="10253" width="12.6640625" style="527" customWidth="1"/>
    <col min="10254" max="10254" width="11" style="527" customWidth="1"/>
    <col min="10255" max="10255" width="0" style="527" hidden="1" customWidth="1"/>
    <col min="10256" max="10257" width="11.6640625" style="527" customWidth="1"/>
    <col min="10258" max="10496" width="9.109375" style="527"/>
    <col min="10497" max="10497" width="70" style="527" customWidth="1"/>
    <col min="10498" max="10509" width="12.6640625" style="527" customWidth="1"/>
    <col min="10510" max="10510" width="11" style="527" customWidth="1"/>
    <col min="10511" max="10511" width="0" style="527" hidden="1" customWidth="1"/>
    <col min="10512" max="10513" width="11.6640625" style="527" customWidth="1"/>
    <col min="10514" max="10752" width="9.109375" style="527"/>
    <col min="10753" max="10753" width="70" style="527" customWidth="1"/>
    <col min="10754" max="10765" width="12.6640625" style="527" customWidth="1"/>
    <col min="10766" max="10766" width="11" style="527" customWidth="1"/>
    <col min="10767" max="10767" width="0" style="527" hidden="1" customWidth="1"/>
    <col min="10768" max="10769" width="11.6640625" style="527" customWidth="1"/>
    <col min="10770" max="11008" width="9.109375" style="527"/>
    <col min="11009" max="11009" width="70" style="527" customWidth="1"/>
    <col min="11010" max="11021" width="12.6640625" style="527" customWidth="1"/>
    <col min="11022" max="11022" width="11" style="527" customWidth="1"/>
    <col min="11023" max="11023" width="0" style="527" hidden="1" customWidth="1"/>
    <col min="11024" max="11025" width="11.6640625" style="527" customWidth="1"/>
    <col min="11026" max="11264" width="9.109375" style="527"/>
    <col min="11265" max="11265" width="70" style="527" customWidth="1"/>
    <col min="11266" max="11277" width="12.6640625" style="527" customWidth="1"/>
    <col min="11278" max="11278" width="11" style="527" customWidth="1"/>
    <col min="11279" max="11279" width="0" style="527" hidden="1" customWidth="1"/>
    <col min="11280" max="11281" width="11.6640625" style="527" customWidth="1"/>
    <col min="11282" max="11520" width="9.109375" style="527"/>
    <col min="11521" max="11521" width="70" style="527" customWidth="1"/>
    <col min="11522" max="11533" width="12.6640625" style="527" customWidth="1"/>
    <col min="11534" max="11534" width="11" style="527" customWidth="1"/>
    <col min="11535" max="11535" width="0" style="527" hidden="1" customWidth="1"/>
    <col min="11536" max="11537" width="11.6640625" style="527" customWidth="1"/>
    <col min="11538" max="11776" width="9.109375" style="527"/>
    <col min="11777" max="11777" width="70" style="527" customWidth="1"/>
    <col min="11778" max="11789" width="12.6640625" style="527" customWidth="1"/>
    <col min="11790" max="11790" width="11" style="527" customWidth="1"/>
    <col min="11791" max="11791" width="0" style="527" hidden="1" customWidth="1"/>
    <col min="11792" max="11793" width="11.6640625" style="527" customWidth="1"/>
    <col min="11794" max="12032" width="9.109375" style="527"/>
    <col min="12033" max="12033" width="70" style="527" customWidth="1"/>
    <col min="12034" max="12045" width="12.6640625" style="527" customWidth="1"/>
    <col min="12046" max="12046" width="11" style="527" customWidth="1"/>
    <col min="12047" max="12047" width="0" style="527" hidden="1" customWidth="1"/>
    <col min="12048" max="12049" width="11.6640625" style="527" customWidth="1"/>
    <col min="12050" max="12288" width="9.109375" style="527"/>
    <col min="12289" max="12289" width="70" style="527" customWidth="1"/>
    <col min="12290" max="12301" width="12.6640625" style="527" customWidth="1"/>
    <col min="12302" max="12302" width="11" style="527" customWidth="1"/>
    <col min="12303" max="12303" width="0" style="527" hidden="1" customWidth="1"/>
    <col min="12304" max="12305" width="11.6640625" style="527" customWidth="1"/>
    <col min="12306" max="12544" width="9.109375" style="527"/>
    <col min="12545" max="12545" width="70" style="527" customWidth="1"/>
    <col min="12546" max="12557" width="12.6640625" style="527" customWidth="1"/>
    <col min="12558" max="12558" width="11" style="527" customWidth="1"/>
    <col min="12559" max="12559" width="0" style="527" hidden="1" customWidth="1"/>
    <col min="12560" max="12561" width="11.6640625" style="527" customWidth="1"/>
    <col min="12562" max="12800" width="9.109375" style="527"/>
    <col min="12801" max="12801" width="70" style="527" customWidth="1"/>
    <col min="12802" max="12813" width="12.6640625" style="527" customWidth="1"/>
    <col min="12814" max="12814" width="11" style="527" customWidth="1"/>
    <col min="12815" max="12815" width="0" style="527" hidden="1" customWidth="1"/>
    <col min="12816" max="12817" width="11.6640625" style="527" customWidth="1"/>
    <col min="12818" max="13056" width="9.109375" style="527"/>
    <col min="13057" max="13057" width="70" style="527" customWidth="1"/>
    <col min="13058" max="13069" width="12.6640625" style="527" customWidth="1"/>
    <col min="13070" max="13070" width="11" style="527" customWidth="1"/>
    <col min="13071" max="13071" width="0" style="527" hidden="1" customWidth="1"/>
    <col min="13072" max="13073" width="11.6640625" style="527" customWidth="1"/>
    <col min="13074" max="13312" width="9.109375" style="527"/>
    <col min="13313" max="13313" width="70" style="527" customWidth="1"/>
    <col min="13314" max="13325" width="12.6640625" style="527" customWidth="1"/>
    <col min="13326" max="13326" width="11" style="527" customWidth="1"/>
    <col min="13327" max="13327" width="0" style="527" hidden="1" customWidth="1"/>
    <col min="13328" max="13329" width="11.6640625" style="527" customWidth="1"/>
    <col min="13330" max="13568" width="9.109375" style="527"/>
    <col min="13569" max="13569" width="70" style="527" customWidth="1"/>
    <col min="13570" max="13581" width="12.6640625" style="527" customWidth="1"/>
    <col min="13582" max="13582" width="11" style="527" customWidth="1"/>
    <col min="13583" max="13583" width="0" style="527" hidden="1" customWidth="1"/>
    <col min="13584" max="13585" width="11.6640625" style="527" customWidth="1"/>
    <col min="13586" max="13824" width="9.109375" style="527"/>
    <col min="13825" max="13825" width="70" style="527" customWidth="1"/>
    <col min="13826" max="13837" width="12.6640625" style="527" customWidth="1"/>
    <col min="13838" max="13838" width="11" style="527" customWidth="1"/>
    <col min="13839" max="13839" width="0" style="527" hidden="1" customWidth="1"/>
    <col min="13840" max="13841" width="11.6640625" style="527" customWidth="1"/>
    <col min="13842" max="14080" width="9.109375" style="527"/>
    <col min="14081" max="14081" width="70" style="527" customWidth="1"/>
    <col min="14082" max="14093" width="12.6640625" style="527" customWidth="1"/>
    <col min="14094" max="14094" width="11" style="527" customWidth="1"/>
    <col min="14095" max="14095" width="0" style="527" hidden="1" customWidth="1"/>
    <col min="14096" max="14097" width="11.6640625" style="527" customWidth="1"/>
    <col min="14098" max="14336" width="9.109375" style="527"/>
    <col min="14337" max="14337" width="70" style="527" customWidth="1"/>
    <col min="14338" max="14349" width="12.6640625" style="527" customWidth="1"/>
    <col min="14350" max="14350" width="11" style="527" customWidth="1"/>
    <col min="14351" max="14351" width="0" style="527" hidden="1" customWidth="1"/>
    <col min="14352" max="14353" width="11.6640625" style="527" customWidth="1"/>
    <col min="14354" max="14592" width="9.109375" style="527"/>
    <col min="14593" max="14593" width="70" style="527" customWidth="1"/>
    <col min="14594" max="14605" width="12.6640625" style="527" customWidth="1"/>
    <col min="14606" max="14606" width="11" style="527" customWidth="1"/>
    <col min="14607" max="14607" width="0" style="527" hidden="1" customWidth="1"/>
    <col min="14608" max="14609" width="11.6640625" style="527" customWidth="1"/>
    <col min="14610" max="14848" width="9.109375" style="527"/>
    <col min="14849" max="14849" width="70" style="527" customWidth="1"/>
    <col min="14850" max="14861" width="12.6640625" style="527" customWidth="1"/>
    <col min="14862" max="14862" width="11" style="527" customWidth="1"/>
    <col min="14863" max="14863" width="0" style="527" hidden="1" customWidth="1"/>
    <col min="14864" max="14865" width="11.6640625" style="527" customWidth="1"/>
    <col min="14866" max="15104" width="9.109375" style="527"/>
    <col min="15105" max="15105" width="70" style="527" customWidth="1"/>
    <col min="15106" max="15117" width="12.6640625" style="527" customWidth="1"/>
    <col min="15118" max="15118" width="11" style="527" customWidth="1"/>
    <col min="15119" max="15119" width="0" style="527" hidden="1" customWidth="1"/>
    <col min="15120" max="15121" width="11.6640625" style="527" customWidth="1"/>
    <col min="15122" max="15360" width="9.109375" style="527"/>
    <col min="15361" max="15361" width="70" style="527" customWidth="1"/>
    <col min="15362" max="15373" width="12.6640625" style="527" customWidth="1"/>
    <col min="15374" max="15374" width="11" style="527" customWidth="1"/>
    <col min="15375" max="15375" width="0" style="527" hidden="1" customWidth="1"/>
    <col min="15376" max="15377" width="11.6640625" style="527" customWidth="1"/>
    <col min="15378" max="15616" width="9.109375" style="527"/>
    <col min="15617" max="15617" width="70" style="527" customWidth="1"/>
    <col min="15618" max="15629" width="12.6640625" style="527" customWidth="1"/>
    <col min="15630" max="15630" width="11" style="527" customWidth="1"/>
    <col min="15631" max="15631" width="0" style="527" hidden="1" customWidth="1"/>
    <col min="15632" max="15633" width="11.6640625" style="527" customWidth="1"/>
    <col min="15634" max="15872" width="9.109375" style="527"/>
    <col min="15873" max="15873" width="70" style="527" customWidth="1"/>
    <col min="15874" max="15885" width="12.6640625" style="527" customWidth="1"/>
    <col min="15886" max="15886" width="11" style="527" customWidth="1"/>
    <col min="15887" max="15887" width="0" style="527" hidden="1" customWidth="1"/>
    <col min="15888" max="15889" width="11.6640625" style="527" customWidth="1"/>
    <col min="15890" max="16128" width="9.109375" style="527"/>
    <col min="16129" max="16129" width="70" style="527" customWidth="1"/>
    <col min="16130" max="16141" width="12.6640625" style="527" customWidth="1"/>
    <col min="16142" max="16142" width="11" style="527" customWidth="1"/>
    <col min="16143" max="16143" width="0" style="527" hidden="1" customWidth="1"/>
    <col min="16144" max="16145" width="11.6640625" style="527" customWidth="1"/>
    <col min="16146" max="16384" width="9.109375" style="527"/>
  </cols>
  <sheetData>
    <row r="1" spans="1:17" ht="13.5" customHeight="1" x14ac:dyDescent="0.3">
      <c r="A1" s="529"/>
      <c r="B1" s="529"/>
      <c r="C1" s="529"/>
      <c r="D1" s="529"/>
      <c r="E1" s="529"/>
      <c r="F1" s="529"/>
      <c r="G1" s="529"/>
      <c r="H1" s="529"/>
      <c r="I1" s="529"/>
      <c r="J1" s="529"/>
      <c r="K1" s="529"/>
      <c r="M1" s="529"/>
    </row>
    <row r="2" spans="1:17" s="541" customFormat="1" ht="18" customHeight="1" x14ac:dyDescent="0.3">
      <c r="A2" s="581" t="s">
        <v>165</v>
      </c>
      <c r="B2" s="580" t="s">
        <v>191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8"/>
      <c r="N2" s="638" t="s">
        <v>224</v>
      </c>
      <c r="O2" s="577"/>
      <c r="P2" s="640" t="s">
        <v>192</v>
      </c>
      <c r="Q2" s="638" t="s">
        <v>147</v>
      </c>
    </row>
    <row r="3" spans="1:17" s="541" customFormat="1" ht="27.75" customHeight="1" x14ac:dyDescent="0.3">
      <c r="A3" s="576"/>
      <c r="B3" s="575" t="s">
        <v>0</v>
      </c>
      <c r="C3" s="574" t="s">
        <v>1</v>
      </c>
      <c r="D3" s="574" t="s">
        <v>2</v>
      </c>
      <c r="E3" s="574" t="s">
        <v>3</v>
      </c>
      <c r="F3" s="574" t="s">
        <v>4</v>
      </c>
      <c r="G3" s="574" t="s">
        <v>5</v>
      </c>
      <c r="H3" s="574" t="s">
        <v>6</v>
      </c>
      <c r="I3" s="574" t="s">
        <v>7</v>
      </c>
      <c r="J3" s="574" t="s">
        <v>8</v>
      </c>
      <c r="K3" s="574" t="s">
        <v>9</v>
      </c>
      <c r="L3" s="574" t="s">
        <v>10</v>
      </c>
      <c r="M3" s="573" t="s">
        <v>11</v>
      </c>
      <c r="N3" s="639"/>
      <c r="O3" s="572" t="s">
        <v>148</v>
      </c>
      <c r="P3" s="641"/>
      <c r="Q3" s="639"/>
    </row>
    <row r="4" spans="1:17" s="529" customFormat="1" ht="15.6" x14ac:dyDescent="0.3">
      <c r="A4" s="571" t="s">
        <v>149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69"/>
      <c r="O4" s="569"/>
      <c r="P4" s="569"/>
      <c r="Q4" s="569"/>
    </row>
    <row r="5" spans="1:17" s="541" customFormat="1" x14ac:dyDescent="0.3">
      <c r="A5" s="545" t="s">
        <v>193</v>
      </c>
      <c r="B5" s="533">
        <v>0</v>
      </c>
      <c r="C5" s="533">
        <v>0</v>
      </c>
      <c r="D5" s="533">
        <v>0</v>
      </c>
      <c r="E5" s="533">
        <v>0</v>
      </c>
      <c r="F5" s="533">
        <v>0</v>
      </c>
      <c r="G5" s="533">
        <v>0</v>
      </c>
      <c r="H5" s="533">
        <v>0</v>
      </c>
      <c r="I5" s="533">
        <v>0</v>
      </c>
      <c r="J5" s="533">
        <v>0</v>
      </c>
      <c r="K5" s="533">
        <v>0</v>
      </c>
      <c r="L5" s="533">
        <v>0</v>
      </c>
      <c r="M5" s="533">
        <v>0</v>
      </c>
      <c r="N5" s="533">
        <f>SUM(B5:M5)</f>
        <v>0</v>
      </c>
      <c r="O5" s="533" t="e">
        <f>#REF!+N5</f>
        <v>#REF!</v>
      </c>
      <c r="P5" s="533">
        <f>N5</f>
        <v>0</v>
      </c>
      <c r="Q5" s="533"/>
    </row>
    <row r="6" spans="1:17" s="541" customFormat="1" x14ac:dyDescent="0.3">
      <c r="A6" s="545" t="s">
        <v>194</v>
      </c>
      <c r="B6" s="533">
        <v>0</v>
      </c>
      <c r="C6" s="533">
        <v>0</v>
      </c>
      <c r="D6" s="533">
        <v>0</v>
      </c>
      <c r="E6" s="533">
        <v>0</v>
      </c>
      <c r="F6" s="533">
        <v>0</v>
      </c>
      <c r="G6" s="533">
        <v>0</v>
      </c>
      <c r="H6" s="533">
        <v>0</v>
      </c>
      <c r="I6" s="533">
        <v>0</v>
      </c>
      <c r="J6" s="533">
        <v>0</v>
      </c>
      <c r="K6" s="533">
        <v>0</v>
      </c>
      <c r="L6" s="533">
        <v>0</v>
      </c>
      <c r="M6" s="533">
        <v>0</v>
      </c>
      <c r="N6" s="533">
        <f>SUM(B6:M6)</f>
        <v>0</v>
      </c>
      <c r="O6" s="533"/>
      <c r="P6" s="533">
        <f>N6+1440000</f>
        <v>1440000</v>
      </c>
      <c r="Q6" s="533"/>
    </row>
    <row r="7" spans="1:17" s="541" customFormat="1" ht="15.6" x14ac:dyDescent="0.3">
      <c r="A7" s="568" t="s">
        <v>150</v>
      </c>
      <c r="B7" s="567">
        <f t="shared" ref="B7:D7" si="0">SUM(B5:B6)</f>
        <v>0</v>
      </c>
      <c r="C7" s="567">
        <f t="shared" si="0"/>
        <v>0</v>
      </c>
      <c r="D7" s="567">
        <f t="shared" si="0"/>
        <v>0</v>
      </c>
      <c r="E7" s="567">
        <f>SUM(E5:E6)</f>
        <v>0</v>
      </c>
      <c r="F7" s="567">
        <f t="shared" ref="F7:P7" si="1">SUM(F5:F6)</f>
        <v>0</v>
      </c>
      <c r="G7" s="567">
        <f t="shared" si="1"/>
        <v>0</v>
      </c>
      <c r="H7" s="567">
        <f t="shared" si="1"/>
        <v>0</v>
      </c>
      <c r="I7" s="567">
        <f t="shared" si="1"/>
        <v>0</v>
      </c>
      <c r="J7" s="567">
        <f t="shared" si="1"/>
        <v>0</v>
      </c>
      <c r="K7" s="567">
        <f t="shared" si="1"/>
        <v>0</v>
      </c>
      <c r="L7" s="567">
        <f t="shared" si="1"/>
        <v>0</v>
      </c>
      <c r="M7" s="567">
        <f t="shared" si="1"/>
        <v>0</v>
      </c>
      <c r="N7" s="567">
        <f t="shared" si="1"/>
        <v>0</v>
      </c>
      <c r="O7" s="567" t="e">
        <f t="shared" si="1"/>
        <v>#REF!</v>
      </c>
      <c r="P7" s="567">
        <f t="shared" si="1"/>
        <v>1440000</v>
      </c>
      <c r="Q7" s="567"/>
    </row>
    <row r="8" spans="1:17" s="541" customFormat="1" x14ac:dyDescent="0.3">
      <c r="A8" s="528"/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9"/>
      <c r="M8" s="528"/>
      <c r="N8" s="533"/>
      <c r="O8" s="533"/>
      <c r="P8" s="533"/>
      <c r="Q8" s="533"/>
    </row>
    <row r="9" spans="1:17" s="541" customFormat="1" ht="15.6" x14ac:dyDescent="0.3">
      <c r="A9" s="566" t="s">
        <v>151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9"/>
      <c r="M9" s="528"/>
      <c r="N9" s="533"/>
      <c r="O9" s="533"/>
      <c r="P9" s="533"/>
      <c r="Q9" s="533"/>
    </row>
    <row r="10" spans="1:17" s="541" customFormat="1" x14ac:dyDescent="0.3">
      <c r="A10" s="565" t="s">
        <v>195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3"/>
      <c r="O10" s="563"/>
      <c r="P10" s="563"/>
      <c r="Q10" s="533"/>
    </row>
    <row r="11" spans="1:17" s="541" customFormat="1" x14ac:dyDescent="0.3">
      <c r="A11" s="562"/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33"/>
      <c r="O11" s="533"/>
      <c r="P11" s="533"/>
      <c r="Q11" s="533"/>
    </row>
    <row r="12" spans="1:17" s="541" customFormat="1" ht="15" x14ac:dyDescent="0.3">
      <c r="A12" s="561" t="s">
        <v>166</v>
      </c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60"/>
      <c r="M12" s="559"/>
      <c r="N12" s="547"/>
      <c r="O12" s="547"/>
      <c r="P12" s="547"/>
      <c r="Q12" s="547"/>
    </row>
    <row r="13" spans="1:17" s="541" customFormat="1" x14ac:dyDescent="0.3">
      <c r="A13" s="546" t="s">
        <v>167</v>
      </c>
      <c r="B13" s="533">
        <v>-6036</v>
      </c>
      <c r="C13" s="533">
        <v>2551</v>
      </c>
      <c r="D13" s="533">
        <v>9293</v>
      </c>
      <c r="E13" s="533">
        <v>2968</v>
      </c>
      <c r="F13" s="533">
        <v>1633</v>
      </c>
      <c r="G13" s="533">
        <v>24518</v>
      </c>
      <c r="H13" s="533">
        <v>40027</v>
      </c>
      <c r="I13" s="533">
        <v>0</v>
      </c>
      <c r="J13" s="533">
        <v>0</v>
      </c>
      <c r="K13" s="533">
        <v>0</v>
      </c>
      <c r="L13" s="533">
        <v>0</v>
      </c>
      <c r="M13" s="533">
        <v>0</v>
      </c>
      <c r="N13" s="533">
        <f t="shared" ref="N13:N28" si="2">SUM(B13:M13)</f>
        <v>74954</v>
      </c>
      <c r="O13" s="533"/>
      <c r="P13" s="533">
        <f>N13+257117</f>
        <v>332071</v>
      </c>
      <c r="Q13" s="533"/>
    </row>
    <row r="14" spans="1:17" s="541" customFormat="1" x14ac:dyDescent="0.3">
      <c r="A14" s="546" t="s">
        <v>95</v>
      </c>
      <c r="B14" s="533">
        <v>0</v>
      </c>
      <c r="C14" s="533">
        <v>0</v>
      </c>
      <c r="D14" s="533">
        <v>0</v>
      </c>
      <c r="E14" s="533">
        <v>0</v>
      </c>
      <c r="F14" s="533">
        <v>0</v>
      </c>
      <c r="G14" s="533">
        <v>0</v>
      </c>
      <c r="H14" s="533">
        <v>0</v>
      </c>
      <c r="I14" s="533">
        <v>0</v>
      </c>
      <c r="J14" s="533">
        <v>0</v>
      </c>
      <c r="K14" s="533">
        <v>0</v>
      </c>
      <c r="L14" s="533">
        <v>0</v>
      </c>
      <c r="M14" s="533">
        <v>0</v>
      </c>
      <c r="N14" s="533">
        <f t="shared" si="2"/>
        <v>0</v>
      </c>
      <c r="O14" s="533"/>
      <c r="P14" s="533">
        <f>N14</f>
        <v>0</v>
      </c>
      <c r="Q14" s="533"/>
    </row>
    <row r="15" spans="1:17" s="541" customFormat="1" x14ac:dyDescent="0.3">
      <c r="A15" s="546" t="s">
        <v>91</v>
      </c>
      <c r="B15" s="533">
        <v>0</v>
      </c>
      <c r="C15" s="533">
        <v>0</v>
      </c>
      <c r="D15" s="533">
        <v>0</v>
      </c>
      <c r="E15" s="533">
        <v>0</v>
      </c>
      <c r="F15" s="533">
        <v>0</v>
      </c>
      <c r="G15" s="533">
        <v>0</v>
      </c>
      <c r="H15" s="533">
        <v>0</v>
      </c>
      <c r="I15" s="533">
        <v>0</v>
      </c>
      <c r="J15" s="533">
        <v>0</v>
      </c>
      <c r="K15" s="533">
        <v>0</v>
      </c>
      <c r="L15" s="533">
        <v>0</v>
      </c>
      <c r="M15" s="533">
        <v>0</v>
      </c>
      <c r="N15" s="533">
        <f t="shared" ref="N15:N19" si="3">SUM(B15:M15)</f>
        <v>0</v>
      </c>
      <c r="O15" s="533"/>
      <c r="P15" s="533">
        <f>N15+30</f>
        <v>30</v>
      </c>
      <c r="Q15" s="533"/>
    </row>
    <row r="16" spans="1:17" s="541" customFormat="1" x14ac:dyDescent="0.3">
      <c r="A16" s="546" t="s">
        <v>62</v>
      </c>
      <c r="B16" s="533">
        <v>30379</v>
      </c>
      <c r="C16" s="533">
        <v>71267</v>
      </c>
      <c r="D16" s="533">
        <v>287594</v>
      </c>
      <c r="E16" s="533">
        <v>13251</v>
      </c>
      <c r="F16" s="533">
        <v>323383</v>
      </c>
      <c r="G16" s="533">
        <v>13251</v>
      </c>
      <c r="H16" s="533">
        <v>11158</v>
      </c>
      <c r="I16" s="533">
        <v>0</v>
      </c>
      <c r="J16" s="533">
        <v>0</v>
      </c>
      <c r="K16" s="533">
        <v>0</v>
      </c>
      <c r="L16" s="533">
        <v>0</v>
      </c>
      <c r="M16" s="533">
        <v>0</v>
      </c>
      <c r="N16" s="533">
        <f t="shared" si="3"/>
        <v>750283</v>
      </c>
      <c r="O16" s="533"/>
      <c r="P16" s="533">
        <f>N16+839217</f>
        <v>1589500</v>
      </c>
      <c r="Q16" s="533"/>
    </row>
    <row r="17" spans="1:122 16371:16371" s="541" customFormat="1" x14ac:dyDescent="0.3">
      <c r="A17" s="546" t="s">
        <v>196</v>
      </c>
      <c r="B17" s="533">
        <v>16743</v>
      </c>
      <c r="C17" s="533">
        <v>33204</v>
      </c>
      <c r="D17" s="533">
        <v>54029</v>
      </c>
      <c r="E17" s="533">
        <v>35869</v>
      </c>
      <c r="F17" s="533">
        <v>28708</v>
      </c>
      <c r="G17" s="533">
        <v>49606</v>
      </c>
      <c r="H17" s="533">
        <v>3053</v>
      </c>
      <c r="I17" s="533">
        <v>0</v>
      </c>
      <c r="J17" s="533">
        <v>0</v>
      </c>
      <c r="K17" s="533">
        <v>0</v>
      </c>
      <c r="L17" s="533">
        <v>0</v>
      </c>
      <c r="M17" s="533">
        <v>0</v>
      </c>
      <c r="N17" s="533">
        <f t="shared" si="3"/>
        <v>221212</v>
      </c>
      <c r="O17" s="533"/>
      <c r="P17" s="533">
        <f t="shared" ref="P17:P19" si="4">N17</f>
        <v>221212</v>
      </c>
      <c r="Q17" s="533"/>
    </row>
    <row r="18" spans="1:122 16371:16371" s="541" customFormat="1" x14ac:dyDescent="0.3">
      <c r="A18" s="552" t="s">
        <v>168</v>
      </c>
      <c r="B18" s="533">
        <v>0</v>
      </c>
      <c r="C18" s="533">
        <v>0</v>
      </c>
      <c r="D18" s="533">
        <v>0</v>
      </c>
      <c r="E18" s="533">
        <v>0</v>
      </c>
      <c r="F18" s="533">
        <v>0</v>
      </c>
      <c r="G18" s="533">
        <v>0</v>
      </c>
      <c r="H18" s="533">
        <v>0</v>
      </c>
      <c r="I18" s="533">
        <v>0</v>
      </c>
      <c r="J18" s="533">
        <v>0</v>
      </c>
      <c r="K18" s="533">
        <v>0</v>
      </c>
      <c r="L18" s="533">
        <v>0</v>
      </c>
      <c r="M18" s="533">
        <v>0</v>
      </c>
      <c r="N18" s="533">
        <f t="shared" si="3"/>
        <v>0</v>
      </c>
      <c r="O18" s="533"/>
      <c r="P18" s="533">
        <f>N18-517</f>
        <v>-517</v>
      </c>
      <c r="Q18" s="533"/>
    </row>
    <row r="19" spans="1:122 16371:16371" s="541" customFormat="1" x14ac:dyDescent="0.3">
      <c r="A19" s="552" t="s">
        <v>197</v>
      </c>
      <c r="B19" s="533">
        <v>0</v>
      </c>
      <c r="C19" s="533">
        <v>0</v>
      </c>
      <c r="D19" s="533">
        <v>0</v>
      </c>
      <c r="E19" s="533">
        <v>0</v>
      </c>
      <c r="F19" s="533">
        <v>0</v>
      </c>
      <c r="G19" s="533">
        <v>0</v>
      </c>
      <c r="H19" s="533">
        <v>0</v>
      </c>
      <c r="I19" s="533">
        <v>0</v>
      </c>
      <c r="J19" s="533">
        <v>0</v>
      </c>
      <c r="K19" s="533">
        <v>0</v>
      </c>
      <c r="L19" s="533">
        <v>0</v>
      </c>
      <c r="M19" s="533">
        <v>0</v>
      </c>
      <c r="N19" s="533">
        <f t="shared" si="3"/>
        <v>0</v>
      </c>
      <c r="O19" s="533"/>
      <c r="P19" s="533">
        <f t="shared" si="4"/>
        <v>0</v>
      </c>
      <c r="Q19" s="533"/>
    </row>
    <row r="20" spans="1:122 16371:16371" s="541" customFormat="1" x14ac:dyDescent="0.3">
      <c r="A20" s="552" t="s">
        <v>198</v>
      </c>
      <c r="B20" s="533">
        <f>4823+14010</f>
        <v>18833</v>
      </c>
      <c r="C20" s="533">
        <f>13499+18497</f>
        <v>31996</v>
      </c>
      <c r="D20" s="533">
        <f>11976+28953</f>
        <v>40929</v>
      </c>
      <c r="E20" s="533">
        <f>11654+51619</f>
        <v>63273</v>
      </c>
      <c r="F20" s="533">
        <f>10616+68233</f>
        <v>78849</v>
      </c>
      <c r="G20" s="533">
        <f>14193+69689</f>
        <v>83882</v>
      </c>
      <c r="H20" s="533">
        <f>21683+21675</f>
        <v>43358</v>
      </c>
      <c r="I20" s="533">
        <v>0</v>
      </c>
      <c r="J20" s="533">
        <v>0</v>
      </c>
      <c r="K20" s="533">
        <v>0</v>
      </c>
      <c r="L20" s="533">
        <v>0</v>
      </c>
      <c r="M20" s="533">
        <v>0</v>
      </c>
      <c r="N20" s="533">
        <f t="shared" si="2"/>
        <v>361120</v>
      </c>
      <c r="O20" s="533"/>
      <c r="P20" s="533">
        <f>N20+598111</f>
        <v>959231</v>
      </c>
      <c r="Q20" s="533"/>
    </row>
    <row r="21" spans="1:122 16371:16371" s="529" customFormat="1" x14ac:dyDescent="0.3">
      <c r="A21" s="558"/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3"/>
      <c r="O21" s="539"/>
      <c r="P21" s="539"/>
      <c r="Q21" s="539"/>
    </row>
    <row r="22" spans="1:122 16371:16371" s="541" customFormat="1" ht="15" x14ac:dyDescent="0.3">
      <c r="A22" s="557" t="s">
        <v>169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</row>
    <row r="23" spans="1:122 16371:16371" s="541" customFormat="1" x14ac:dyDescent="0.3">
      <c r="A23" s="556" t="s">
        <v>170</v>
      </c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</row>
    <row r="24" spans="1:122 16371:16371" s="541" customFormat="1" x14ac:dyDescent="0.3">
      <c r="A24" s="545" t="s">
        <v>152</v>
      </c>
      <c r="B24" s="533">
        <v>0</v>
      </c>
      <c r="C24" s="533">
        <v>0</v>
      </c>
      <c r="D24" s="533">
        <v>0</v>
      </c>
      <c r="E24" s="533">
        <v>0</v>
      </c>
      <c r="F24" s="533">
        <v>0</v>
      </c>
      <c r="G24" s="533">
        <v>0</v>
      </c>
      <c r="H24" s="533">
        <v>0</v>
      </c>
      <c r="I24" s="533">
        <v>0</v>
      </c>
      <c r="J24" s="533">
        <v>0</v>
      </c>
      <c r="K24" s="533">
        <v>0</v>
      </c>
      <c r="L24" s="533">
        <v>0</v>
      </c>
      <c r="M24" s="533">
        <v>0</v>
      </c>
      <c r="N24" s="533">
        <f t="shared" si="2"/>
        <v>0</v>
      </c>
      <c r="O24" s="533"/>
      <c r="P24" s="533">
        <f t="shared" ref="P24:P28" si="5">N24</f>
        <v>0</v>
      </c>
      <c r="Q24" s="533"/>
    </row>
    <row r="25" spans="1:122 16371:16371" s="541" customFormat="1" x14ac:dyDescent="0.3">
      <c r="A25" s="545" t="s">
        <v>153</v>
      </c>
      <c r="B25" s="533">
        <v>0</v>
      </c>
      <c r="C25" s="533">
        <v>0</v>
      </c>
      <c r="D25" s="533">
        <v>0</v>
      </c>
      <c r="E25" s="533">
        <v>0</v>
      </c>
      <c r="F25" s="533">
        <v>0</v>
      </c>
      <c r="G25" s="533">
        <v>0</v>
      </c>
      <c r="H25" s="533">
        <v>0</v>
      </c>
      <c r="I25" s="533">
        <v>0</v>
      </c>
      <c r="J25" s="533">
        <v>0</v>
      </c>
      <c r="K25" s="533">
        <v>0</v>
      </c>
      <c r="L25" s="533">
        <v>0</v>
      </c>
      <c r="M25" s="533">
        <v>0</v>
      </c>
      <c r="N25" s="533">
        <f t="shared" si="2"/>
        <v>0</v>
      </c>
      <c r="O25" s="533"/>
      <c r="P25" s="533">
        <f>N25+1577</f>
        <v>1577</v>
      </c>
      <c r="Q25" s="533"/>
    </row>
    <row r="26" spans="1:122 16371:16371" s="541" customFormat="1" x14ac:dyDescent="0.3">
      <c r="A26" s="545" t="s">
        <v>156</v>
      </c>
      <c r="B26" s="533">
        <v>2075</v>
      </c>
      <c r="C26" s="533">
        <v>1450</v>
      </c>
      <c r="D26" s="533">
        <v>2495</v>
      </c>
      <c r="E26" s="533">
        <v>1725</v>
      </c>
      <c r="F26" s="533">
        <f>-147+1</f>
        <v>-146</v>
      </c>
      <c r="G26" s="533">
        <v>1627</v>
      </c>
      <c r="H26" s="533">
        <v>6214</v>
      </c>
      <c r="I26" s="533">
        <v>0</v>
      </c>
      <c r="J26" s="533">
        <v>0</v>
      </c>
      <c r="K26" s="533">
        <v>0</v>
      </c>
      <c r="L26" s="533">
        <v>0</v>
      </c>
      <c r="M26" s="533">
        <v>0</v>
      </c>
      <c r="N26" s="533">
        <f t="shared" si="2"/>
        <v>15440</v>
      </c>
      <c r="O26" s="533"/>
      <c r="P26" s="533">
        <f>N26+23387</f>
        <v>38827</v>
      </c>
      <c r="Q26" s="533"/>
    </row>
    <row r="27" spans="1:122 16371:16371" s="541" customFormat="1" x14ac:dyDescent="0.3">
      <c r="A27" s="545" t="s">
        <v>154</v>
      </c>
      <c r="B27" s="533">
        <v>0</v>
      </c>
      <c r="C27" s="533">
        <v>0</v>
      </c>
      <c r="D27" s="533">
        <v>0</v>
      </c>
      <c r="E27" s="533">
        <v>0</v>
      </c>
      <c r="F27" s="533">
        <v>0</v>
      </c>
      <c r="G27" s="533">
        <v>0</v>
      </c>
      <c r="H27" s="533">
        <v>0</v>
      </c>
      <c r="I27" s="533">
        <v>0</v>
      </c>
      <c r="J27" s="533">
        <v>0</v>
      </c>
      <c r="K27" s="533">
        <v>0</v>
      </c>
      <c r="L27" s="533">
        <v>0</v>
      </c>
      <c r="M27" s="533">
        <v>0</v>
      </c>
      <c r="N27" s="533">
        <f t="shared" si="2"/>
        <v>0</v>
      </c>
      <c r="O27" s="533"/>
      <c r="P27" s="533">
        <f t="shared" si="5"/>
        <v>0</v>
      </c>
      <c r="Q27" s="533"/>
    </row>
    <row r="28" spans="1:122 16371:16371" s="541" customFormat="1" x14ac:dyDescent="0.3">
      <c r="A28" s="545" t="s">
        <v>155</v>
      </c>
      <c r="B28" s="533">
        <v>0</v>
      </c>
      <c r="C28" s="533">
        <v>0</v>
      </c>
      <c r="D28" s="533">
        <v>0</v>
      </c>
      <c r="E28" s="533">
        <v>0</v>
      </c>
      <c r="F28" s="533">
        <v>0</v>
      </c>
      <c r="G28" s="533">
        <v>0</v>
      </c>
      <c r="H28" s="533">
        <v>1942</v>
      </c>
      <c r="I28" s="533">
        <v>0</v>
      </c>
      <c r="J28" s="533">
        <v>0</v>
      </c>
      <c r="K28" s="533">
        <v>0</v>
      </c>
      <c r="L28" s="533">
        <v>0</v>
      </c>
      <c r="M28" s="533">
        <v>0</v>
      </c>
      <c r="N28" s="533">
        <f t="shared" si="2"/>
        <v>1942</v>
      </c>
      <c r="O28" s="533"/>
      <c r="P28" s="533">
        <f t="shared" si="5"/>
        <v>1942</v>
      </c>
      <c r="Q28" s="533"/>
    </row>
    <row r="29" spans="1:122 16371:16371" s="553" customFormat="1" ht="15.6" x14ac:dyDescent="0.3">
      <c r="A29" s="555" t="s">
        <v>157</v>
      </c>
      <c r="B29" s="554">
        <f t="shared" ref="B29:N29" si="6">SUM(B13:B28)</f>
        <v>61994</v>
      </c>
      <c r="C29" s="554">
        <f t="shared" si="6"/>
        <v>140468</v>
      </c>
      <c r="D29" s="554">
        <f t="shared" si="6"/>
        <v>394340</v>
      </c>
      <c r="E29" s="554">
        <f t="shared" si="6"/>
        <v>117086</v>
      </c>
      <c r="F29" s="554">
        <f t="shared" si="6"/>
        <v>432427</v>
      </c>
      <c r="G29" s="554">
        <f t="shared" si="6"/>
        <v>172884</v>
      </c>
      <c r="H29" s="554">
        <f t="shared" si="6"/>
        <v>105752</v>
      </c>
      <c r="I29" s="554">
        <f t="shared" si="6"/>
        <v>0</v>
      </c>
      <c r="J29" s="554">
        <f t="shared" si="6"/>
        <v>0</v>
      </c>
      <c r="K29" s="554">
        <f t="shared" si="6"/>
        <v>0</v>
      </c>
      <c r="L29" s="554">
        <f t="shared" si="6"/>
        <v>0</v>
      </c>
      <c r="M29" s="554">
        <f t="shared" si="6"/>
        <v>0</v>
      </c>
      <c r="N29" s="554">
        <f t="shared" si="6"/>
        <v>1424951</v>
      </c>
      <c r="O29" s="554"/>
      <c r="P29" s="554">
        <f>SUM(P13:P28)</f>
        <v>3143873</v>
      </c>
      <c r="Q29" s="554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29"/>
      <c r="AV29" s="529"/>
      <c r="AW29" s="529"/>
      <c r="AX29" s="529"/>
      <c r="AY29" s="529"/>
      <c r="AZ29" s="529"/>
      <c r="BA29" s="529"/>
      <c r="BB29" s="529"/>
      <c r="BC29" s="529"/>
      <c r="BD29" s="529"/>
      <c r="BE29" s="529"/>
      <c r="BF29" s="529"/>
      <c r="BG29" s="529"/>
      <c r="BH29" s="529"/>
      <c r="BI29" s="529"/>
      <c r="BJ29" s="529"/>
      <c r="BK29" s="529"/>
      <c r="BL29" s="529"/>
      <c r="BM29" s="529"/>
      <c r="BN29" s="529"/>
      <c r="BO29" s="529"/>
      <c r="BP29" s="529"/>
      <c r="BQ29" s="529"/>
      <c r="BR29" s="529"/>
      <c r="BS29" s="529"/>
      <c r="BT29" s="529"/>
      <c r="BU29" s="529"/>
      <c r="BV29" s="529"/>
      <c r="BW29" s="529"/>
      <c r="BX29" s="529"/>
      <c r="BY29" s="529"/>
      <c r="BZ29" s="529"/>
      <c r="CA29" s="529"/>
      <c r="CB29" s="529"/>
      <c r="CC29" s="529"/>
      <c r="CD29" s="529"/>
      <c r="CE29" s="529"/>
      <c r="CF29" s="529"/>
      <c r="CG29" s="529"/>
      <c r="CH29" s="529"/>
      <c r="CI29" s="529"/>
      <c r="CJ29" s="529"/>
      <c r="CK29" s="529"/>
      <c r="CL29" s="529"/>
      <c r="CM29" s="529"/>
      <c r="CN29" s="529"/>
      <c r="CO29" s="529"/>
      <c r="CP29" s="529"/>
      <c r="CQ29" s="529"/>
      <c r="CR29" s="529"/>
      <c r="CS29" s="529"/>
      <c r="CT29" s="529"/>
      <c r="CU29" s="529"/>
      <c r="CV29" s="529"/>
      <c r="CW29" s="529"/>
      <c r="CX29" s="529"/>
      <c r="CY29" s="529"/>
      <c r="CZ29" s="529"/>
      <c r="DA29" s="529"/>
      <c r="DB29" s="529"/>
      <c r="DC29" s="529"/>
      <c r="DD29" s="529"/>
      <c r="DE29" s="529"/>
      <c r="DF29" s="529"/>
      <c r="DG29" s="529"/>
      <c r="DH29" s="529"/>
      <c r="DI29" s="529"/>
      <c r="DJ29" s="529"/>
      <c r="DK29" s="529"/>
      <c r="DL29" s="529"/>
      <c r="DM29" s="529"/>
      <c r="DN29" s="529"/>
      <c r="DO29" s="529"/>
      <c r="DP29" s="529"/>
      <c r="DQ29" s="529"/>
      <c r="DR29" s="529"/>
    </row>
    <row r="30" spans="1:122 16371:16371" x14ac:dyDescent="0.3">
      <c r="A30" s="541"/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XEQ30" s="541"/>
    </row>
    <row r="31" spans="1:122 16371:16371" ht="15.6" x14ac:dyDescent="0.3">
      <c r="A31" s="548" t="s">
        <v>158</v>
      </c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33"/>
      <c r="P31" s="547"/>
      <c r="Q31" s="547"/>
    </row>
    <row r="32" spans="1:122 16371:16371" x14ac:dyDescent="0.3">
      <c r="A32" s="546" t="s">
        <v>152</v>
      </c>
      <c r="B32" s="533">
        <v>0</v>
      </c>
      <c r="C32" s="533">
        <v>0</v>
      </c>
      <c r="D32" s="533">
        <v>0</v>
      </c>
      <c r="E32" s="533">
        <v>0</v>
      </c>
      <c r="F32" s="533">
        <v>0</v>
      </c>
      <c r="G32" s="533">
        <v>0</v>
      </c>
      <c r="H32" s="533">
        <v>0</v>
      </c>
      <c r="I32" s="533">
        <v>0</v>
      </c>
      <c r="J32" s="533">
        <v>0</v>
      </c>
      <c r="K32" s="533">
        <v>0</v>
      </c>
      <c r="L32" s="533">
        <v>0</v>
      </c>
      <c r="M32" s="533">
        <v>0</v>
      </c>
      <c r="N32" s="533">
        <f>SUM(B32:M32)</f>
        <v>0</v>
      </c>
      <c r="O32" s="533"/>
      <c r="P32" s="533">
        <f t="shared" ref="P32" si="7">N32</f>
        <v>0</v>
      </c>
      <c r="Q32" s="533"/>
    </row>
    <row r="33" spans="1:17" x14ac:dyDescent="0.3">
      <c r="A33" s="545" t="s">
        <v>153</v>
      </c>
      <c r="B33" s="533">
        <v>20846</v>
      </c>
      <c r="C33" s="533">
        <v>70679</v>
      </c>
      <c r="D33" s="533">
        <v>7939</v>
      </c>
      <c r="E33" s="533">
        <v>13251</v>
      </c>
      <c r="F33" s="533">
        <v>88290</v>
      </c>
      <c r="G33" s="533">
        <v>13685</v>
      </c>
      <c r="H33" s="533">
        <v>1933</v>
      </c>
      <c r="I33" s="533">
        <v>0</v>
      </c>
      <c r="J33" s="533">
        <v>0</v>
      </c>
      <c r="K33" s="533">
        <v>0</v>
      </c>
      <c r="L33" s="533">
        <v>0</v>
      </c>
      <c r="M33" s="533">
        <v>0</v>
      </c>
      <c r="N33" s="533">
        <f>SUM(B33:M33)</f>
        <v>216623</v>
      </c>
      <c r="O33" s="533"/>
      <c r="P33" s="533">
        <f>N33+290116</f>
        <v>506739</v>
      </c>
      <c r="Q33" s="533"/>
    </row>
    <row r="34" spans="1:17" s="541" customFormat="1" x14ac:dyDescent="0.3">
      <c r="A34" s="545" t="s">
        <v>156</v>
      </c>
      <c r="B34" s="533">
        <v>29961</v>
      </c>
      <c r="C34" s="533">
        <v>41148</v>
      </c>
      <c r="D34" s="533">
        <v>73441</v>
      </c>
      <c r="E34" s="533">
        <f>56450+1</f>
        <v>56451</v>
      </c>
      <c r="F34" s="533">
        <v>55710</v>
      </c>
      <c r="G34" s="533">
        <v>58983</v>
      </c>
      <c r="H34" s="533">
        <v>42783</v>
      </c>
      <c r="I34" s="533">
        <v>0</v>
      </c>
      <c r="J34" s="533">
        <v>0</v>
      </c>
      <c r="K34" s="533">
        <v>0</v>
      </c>
      <c r="L34" s="533">
        <v>0</v>
      </c>
      <c r="M34" s="533">
        <v>0</v>
      </c>
      <c r="N34" s="533">
        <f>SUM(B34:M34)</f>
        <v>358477</v>
      </c>
      <c r="O34" s="527"/>
      <c r="P34" s="533">
        <f>N34+426355</f>
        <v>784832</v>
      </c>
      <c r="Q34" s="527"/>
    </row>
    <row r="35" spans="1:17" s="541" customFormat="1" x14ac:dyDescent="0.3">
      <c r="A35" s="545" t="s">
        <v>154</v>
      </c>
      <c r="B35" s="533">
        <v>1272</v>
      </c>
      <c r="C35" s="533">
        <v>1308</v>
      </c>
      <c r="D35" s="533">
        <v>82</v>
      </c>
      <c r="E35" s="533">
        <v>228</v>
      </c>
      <c r="F35" s="533">
        <v>7</v>
      </c>
      <c r="G35" s="533">
        <v>56543</v>
      </c>
      <c r="H35" s="533">
        <v>1241</v>
      </c>
      <c r="I35" s="533">
        <v>0</v>
      </c>
      <c r="J35" s="533">
        <v>0</v>
      </c>
      <c r="K35" s="533">
        <v>0</v>
      </c>
      <c r="L35" s="533">
        <v>0</v>
      </c>
      <c r="M35" s="533">
        <v>0</v>
      </c>
      <c r="N35" s="533">
        <f t="shared" ref="N35:N36" si="8">SUM(B35:M35)</f>
        <v>60681</v>
      </c>
      <c r="O35" s="527"/>
      <c r="P35" s="533">
        <f>N35+20227</f>
        <v>80908</v>
      </c>
      <c r="Q35" s="527"/>
    </row>
    <row r="36" spans="1:17" s="541" customFormat="1" x14ac:dyDescent="0.3">
      <c r="A36" s="552" t="s">
        <v>155</v>
      </c>
      <c r="B36" s="533">
        <v>9915</v>
      </c>
      <c r="C36" s="533">
        <v>27333</v>
      </c>
      <c r="D36" s="533">
        <v>312878</v>
      </c>
      <c r="E36" s="533">
        <v>47156</v>
      </c>
      <c r="F36" s="533">
        <f>288419+1</f>
        <v>288420</v>
      </c>
      <c r="G36" s="533">
        <v>43673</v>
      </c>
      <c r="H36" s="533">
        <v>59795</v>
      </c>
      <c r="I36" s="533">
        <v>0</v>
      </c>
      <c r="J36" s="533">
        <v>0</v>
      </c>
      <c r="K36" s="533">
        <v>0</v>
      </c>
      <c r="L36" s="533">
        <v>0</v>
      </c>
      <c r="M36" s="533">
        <v>0</v>
      </c>
      <c r="N36" s="533">
        <f t="shared" si="8"/>
        <v>789170</v>
      </c>
      <c r="O36" s="527"/>
      <c r="P36" s="533">
        <f>N36+982224</f>
        <v>1771394</v>
      </c>
      <c r="Q36" s="527"/>
    </row>
    <row r="37" spans="1:17" s="541" customFormat="1" ht="15.6" x14ac:dyDescent="0.3">
      <c r="A37" s="544" t="s">
        <v>159</v>
      </c>
      <c r="B37" s="543">
        <f t="shared" ref="B37:D37" si="9">SUM(B32:B36)</f>
        <v>61994</v>
      </c>
      <c r="C37" s="543">
        <f t="shared" si="9"/>
        <v>140468</v>
      </c>
      <c r="D37" s="543">
        <f t="shared" si="9"/>
        <v>394340</v>
      </c>
      <c r="E37" s="543">
        <f t="shared" ref="E37:M37" si="10">SUM(E32:E36)</f>
        <v>117086</v>
      </c>
      <c r="F37" s="543">
        <f t="shared" si="10"/>
        <v>432427</v>
      </c>
      <c r="G37" s="543">
        <f t="shared" si="10"/>
        <v>172884</v>
      </c>
      <c r="H37" s="543">
        <f t="shared" si="10"/>
        <v>105752</v>
      </c>
      <c r="I37" s="543">
        <f t="shared" si="10"/>
        <v>0</v>
      </c>
      <c r="J37" s="543">
        <f t="shared" si="10"/>
        <v>0</v>
      </c>
      <c r="K37" s="543">
        <f t="shared" si="10"/>
        <v>0</v>
      </c>
      <c r="L37" s="543">
        <f t="shared" si="10"/>
        <v>0</v>
      </c>
      <c r="M37" s="543">
        <f t="shared" si="10"/>
        <v>0</v>
      </c>
      <c r="N37" s="543">
        <f>SUM(N32:N36)</f>
        <v>1424951</v>
      </c>
      <c r="O37" s="542"/>
      <c r="P37" s="543">
        <f>SUM(P32:P36)</f>
        <v>3143873</v>
      </c>
      <c r="Q37" s="542"/>
    </row>
    <row r="38" spans="1:17" x14ac:dyDescent="0.3">
      <c r="A38" s="551"/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50"/>
      <c r="P38" s="549"/>
      <c r="Q38" s="549"/>
    </row>
    <row r="39" spans="1:17" ht="15.6" x14ac:dyDescent="0.3">
      <c r="A39" s="548" t="s">
        <v>160</v>
      </c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33"/>
      <c r="P39" s="547"/>
      <c r="Q39" s="547"/>
    </row>
    <row r="40" spans="1:17" s="541" customFormat="1" x14ac:dyDescent="0.3">
      <c r="A40" s="545" t="s">
        <v>181</v>
      </c>
      <c r="B40" s="533">
        <v>0</v>
      </c>
      <c r="C40" s="533">
        <v>0</v>
      </c>
      <c r="D40" s="533">
        <v>0</v>
      </c>
      <c r="E40" s="533">
        <v>0</v>
      </c>
      <c r="F40" s="533">
        <v>0</v>
      </c>
      <c r="G40" s="533">
        <v>0</v>
      </c>
      <c r="H40" s="533">
        <v>0</v>
      </c>
      <c r="I40" s="533">
        <v>0</v>
      </c>
      <c r="J40" s="533">
        <v>0</v>
      </c>
      <c r="K40" s="533">
        <v>0</v>
      </c>
      <c r="L40" s="533">
        <v>0</v>
      </c>
      <c r="M40" s="533">
        <v>0</v>
      </c>
      <c r="N40" s="533">
        <f>SUM(B40:M40)</f>
        <v>0</v>
      </c>
      <c r="O40" s="533"/>
      <c r="P40" s="533">
        <f t="shared" ref="P40" si="11">N40</f>
        <v>0</v>
      </c>
      <c r="Q40" s="533"/>
    </row>
    <row r="41" spans="1:17" s="541" customFormat="1" x14ac:dyDescent="0.3">
      <c r="A41" s="546" t="s">
        <v>161</v>
      </c>
      <c r="B41" s="533">
        <v>37383</v>
      </c>
      <c r="C41" s="533">
        <v>80515</v>
      </c>
      <c r="D41" s="533">
        <v>302070</v>
      </c>
      <c r="E41" s="533">
        <f>39061-1</f>
        <v>39060</v>
      </c>
      <c r="F41" s="533">
        <v>357500</v>
      </c>
      <c r="G41" s="533">
        <v>48096</v>
      </c>
      <c r="H41" s="533">
        <v>21995</v>
      </c>
      <c r="I41" s="533">
        <v>0</v>
      </c>
      <c r="J41" s="533">
        <v>0</v>
      </c>
      <c r="K41" s="533">
        <v>0</v>
      </c>
      <c r="L41" s="533">
        <v>0</v>
      </c>
      <c r="M41" s="533">
        <v>0</v>
      </c>
      <c r="N41" s="533">
        <f>SUM(B41:M41)</f>
        <v>886619</v>
      </c>
      <c r="O41" s="533"/>
      <c r="P41" s="533">
        <f>N41+1070291</f>
        <v>1956910</v>
      </c>
      <c r="Q41" s="533"/>
    </row>
    <row r="42" spans="1:17" s="541" customFormat="1" ht="14.25" customHeight="1" x14ac:dyDescent="0.3">
      <c r="A42" s="545" t="s">
        <v>162</v>
      </c>
      <c r="B42" s="533">
        <v>15377</v>
      </c>
      <c r="C42" s="533">
        <v>25851</v>
      </c>
      <c r="D42" s="533">
        <v>41491</v>
      </c>
      <c r="E42" s="533">
        <v>43744</v>
      </c>
      <c r="F42" s="533">
        <v>48471</v>
      </c>
      <c r="G42" s="533">
        <v>59648</v>
      </c>
      <c r="H42" s="533">
        <v>12364</v>
      </c>
      <c r="I42" s="533">
        <v>0</v>
      </c>
      <c r="J42" s="533">
        <v>0</v>
      </c>
      <c r="K42" s="533">
        <v>0</v>
      </c>
      <c r="L42" s="533">
        <v>0</v>
      </c>
      <c r="M42" s="533">
        <v>0</v>
      </c>
      <c r="N42" s="533">
        <f>SUM(B42:M42)</f>
        <v>246946</v>
      </c>
      <c r="O42" s="533"/>
      <c r="P42" s="533">
        <f>N42+231078</f>
        <v>478024</v>
      </c>
      <c r="Q42" s="533"/>
    </row>
    <row r="43" spans="1:17" s="541" customFormat="1" x14ac:dyDescent="0.3">
      <c r="A43" s="545" t="s">
        <v>163</v>
      </c>
      <c r="B43" s="533">
        <v>9234</v>
      </c>
      <c r="C43" s="533">
        <v>34102</v>
      </c>
      <c r="D43" s="533">
        <v>50779</v>
      </c>
      <c r="E43" s="533">
        <v>34282</v>
      </c>
      <c r="F43" s="533">
        <v>26456</v>
      </c>
      <c r="G43" s="533">
        <v>65140</v>
      </c>
      <c r="H43" s="533">
        <v>71393</v>
      </c>
      <c r="I43" s="533">
        <v>0</v>
      </c>
      <c r="J43" s="533">
        <v>0</v>
      </c>
      <c r="K43" s="533">
        <v>0</v>
      </c>
      <c r="L43" s="533">
        <v>0</v>
      </c>
      <c r="M43" s="533">
        <v>0</v>
      </c>
      <c r="N43" s="533">
        <f>SUM(B43:M43)</f>
        <v>291386</v>
      </c>
      <c r="O43" s="527"/>
      <c r="P43" s="533">
        <f>N43+417553</f>
        <v>708939</v>
      </c>
      <c r="Q43" s="527"/>
    </row>
    <row r="44" spans="1:17" s="541" customFormat="1" ht="15.6" x14ac:dyDescent="0.3">
      <c r="A44" s="544" t="s">
        <v>164</v>
      </c>
      <c r="B44" s="543">
        <f t="shared" ref="B44:D44" si="12">SUM(B40:B43)</f>
        <v>61994</v>
      </c>
      <c r="C44" s="543">
        <f t="shared" si="12"/>
        <v>140468</v>
      </c>
      <c r="D44" s="543">
        <f t="shared" si="12"/>
        <v>394340</v>
      </c>
      <c r="E44" s="543">
        <f t="shared" ref="E44:M44" si="13">SUM(E40:E43)</f>
        <v>117086</v>
      </c>
      <c r="F44" s="543">
        <f t="shared" si="13"/>
        <v>432427</v>
      </c>
      <c r="G44" s="543">
        <f t="shared" si="13"/>
        <v>172884</v>
      </c>
      <c r="H44" s="543">
        <f t="shared" si="13"/>
        <v>105752</v>
      </c>
      <c r="I44" s="543">
        <f t="shared" si="13"/>
        <v>0</v>
      </c>
      <c r="J44" s="543">
        <f t="shared" si="13"/>
        <v>0</v>
      </c>
      <c r="K44" s="543">
        <f t="shared" si="13"/>
        <v>0</v>
      </c>
      <c r="L44" s="543">
        <f t="shared" si="13"/>
        <v>0</v>
      </c>
      <c r="M44" s="543">
        <f t="shared" si="13"/>
        <v>0</v>
      </c>
      <c r="N44" s="543">
        <f>SUM(N40:N43)</f>
        <v>1424951</v>
      </c>
      <c r="O44" s="543">
        <f>SUM(O40:O43)</f>
        <v>0</v>
      </c>
      <c r="P44" s="543">
        <f>SUM(P40:P43)</f>
        <v>3143873</v>
      </c>
      <c r="Q44" s="542"/>
    </row>
    <row r="45" spans="1:17" s="541" customFormat="1" x14ac:dyDescent="0.3">
      <c r="B45" s="533"/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533"/>
    </row>
    <row r="46" spans="1:17" s="541" customFormat="1" x14ac:dyDescent="0.3">
      <c r="B46" s="533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3"/>
    </row>
    <row r="47" spans="1:17" x14ac:dyDescent="0.3">
      <c r="A47" s="540" t="s">
        <v>25</v>
      </c>
      <c r="B47" s="539"/>
      <c r="C47" s="539"/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</row>
    <row r="48" spans="1:17" ht="30" customHeight="1" x14ac:dyDescent="0.3">
      <c r="A48" s="637" t="s">
        <v>243</v>
      </c>
      <c r="B48" s="637"/>
      <c r="C48" s="637"/>
      <c r="D48" s="637"/>
      <c r="N48" s="533"/>
      <c r="O48" s="533"/>
      <c r="P48" s="533"/>
      <c r="Q48" s="533"/>
    </row>
    <row r="49" spans="1:17" s="529" customFormat="1" x14ac:dyDescent="0.3">
      <c r="A49" s="636" t="s">
        <v>242</v>
      </c>
      <c r="B49" s="637"/>
      <c r="C49" s="637"/>
      <c r="D49" s="637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</row>
    <row r="50" spans="1:17" x14ac:dyDescent="0.3">
      <c r="A50" s="636" t="s">
        <v>241</v>
      </c>
      <c r="B50" s="637"/>
      <c r="C50" s="637"/>
      <c r="D50" s="637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3"/>
    </row>
    <row r="51" spans="1:17" x14ac:dyDescent="0.3">
      <c r="A51" s="636" t="s">
        <v>240</v>
      </c>
      <c r="B51" s="637"/>
      <c r="C51" s="637"/>
      <c r="D51" s="637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533"/>
      <c r="Q51" s="533"/>
    </row>
    <row r="52" spans="1:17" x14ac:dyDescent="0.3">
      <c r="A52" s="636"/>
      <c r="B52" s="637"/>
      <c r="C52" s="637"/>
      <c r="D52" s="637"/>
      <c r="E52" s="536"/>
      <c r="F52" s="536"/>
      <c r="G52" s="536"/>
      <c r="H52" s="536"/>
      <c r="I52" s="536"/>
      <c r="J52" s="536"/>
      <c r="K52" s="536"/>
      <c r="L52" s="536"/>
      <c r="M52" s="536"/>
      <c r="N52" s="536"/>
    </row>
    <row r="53" spans="1:17" x14ac:dyDescent="0.3">
      <c r="A53" s="538"/>
      <c r="B53" s="537"/>
      <c r="C53" s="537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</row>
    <row r="54" spans="1:17" x14ac:dyDescent="0.3">
      <c r="A54" s="529"/>
      <c r="B54" s="536"/>
      <c r="C54" s="536"/>
      <c r="D54" s="536"/>
      <c r="E54" s="536"/>
      <c r="F54" s="536"/>
      <c r="G54" s="536"/>
      <c r="H54" s="536"/>
      <c r="I54" s="536"/>
      <c r="J54" s="536"/>
      <c r="K54" s="536"/>
      <c r="L54" s="536"/>
      <c r="M54" s="536"/>
      <c r="N54" s="536"/>
    </row>
    <row r="55" spans="1:17" x14ac:dyDescent="0.3">
      <c r="A55" s="529"/>
      <c r="B55" s="529"/>
      <c r="C55" s="529"/>
      <c r="D55" s="535"/>
      <c r="E55" s="534"/>
      <c r="F55" s="533"/>
      <c r="G55" s="529"/>
      <c r="H55" s="529"/>
      <c r="I55" s="529"/>
      <c r="J55" s="529"/>
      <c r="K55" s="529"/>
      <c r="M55" s="529"/>
    </row>
    <row r="56" spans="1:17" x14ac:dyDescent="0.3">
      <c r="A56" s="529"/>
      <c r="B56" s="529"/>
      <c r="C56" s="529"/>
      <c r="D56" s="535"/>
      <c r="E56" s="534"/>
      <c r="F56" s="533"/>
      <c r="G56" s="529"/>
      <c r="H56" s="529"/>
      <c r="I56" s="529"/>
      <c r="J56" s="529"/>
      <c r="K56" s="529"/>
      <c r="M56" s="529"/>
    </row>
    <row r="57" spans="1:17" x14ac:dyDescent="0.3">
      <c r="A57" s="529"/>
      <c r="B57" s="529"/>
      <c r="C57" s="529"/>
      <c r="D57" s="529"/>
      <c r="E57" s="534"/>
      <c r="F57" s="529"/>
      <c r="G57" s="529"/>
      <c r="H57" s="529"/>
      <c r="I57" s="529"/>
      <c r="J57" s="529"/>
      <c r="K57" s="529"/>
      <c r="M57" s="529"/>
    </row>
    <row r="58" spans="1:17" x14ac:dyDescent="0.3">
      <c r="B58" s="529"/>
      <c r="C58" s="529"/>
      <c r="D58" s="533"/>
      <c r="E58" s="534"/>
      <c r="F58" s="533"/>
      <c r="G58" s="529"/>
      <c r="H58" s="529"/>
      <c r="I58" s="529"/>
      <c r="J58" s="529"/>
      <c r="K58" s="529"/>
      <c r="M58" s="529"/>
    </row>
    <row r="59" spans="1:17" x14ac:dyDescent="0.3">
      <c r="B59" s="529"/>
      <c r="C59" s="529"/>
      <c r="D59" s="533"/>
      <c r="E59" s="534"/>
      <c r="F59" s="533"/>
      <c r="G59" s="529"/>
      <c r="H59" s="529"/>
      <c r="I59" s="529"/>
      <c r="J59" s="529"/>
      <c r="K59" s="529"/>
      <c r="M59" s="529"/>
    </row>
    <row r="60" spans="1:17" x14ac:dyDescent="0.3">
      <c r="D60" s="530"/>
      <c r="E60" s="532"/>
      <c r="F60" s="530"/>
    </row>
    <row r="61" spans="1:17" x14ac:dyDescent="0.3">
      <c r="D61" s="530"/>
      <c r="E61" s="532"/>
      <c r="F61" s="530"/>
    </row>
    <row r="62" spans="1:17" x14ac:dyDescent="0.3">
      <c r="D62" s="530"/>
      <c r="E62" s="532"/>
      <c r="F62" s="530"/>
    </row>
    <row r="63" spans="1:17" x14ac:dyDescent="0.3">
      <c r="E63" s="531"/>
      <c r="F63" s="530"/>
    </row>
  </sheetData>
  <mergeCells count="8">
    <mergeCell ref="A52:D52"/>
    <mergeCell ref="A51:D51"/>
    <mergeCell ref="N2:N3"/>
    <mergeCell ref="P2:P3"/>
    <mergeCell ref="Q2:Q3"/>
    <mergeCell ref="A48:D48"/>
    <mergeCell ref="A49:D49"/>
    <mergeCell ref="A50:D50"/>
  </mergeCells>
  <pageMargins left="0.75" right="0.75" top="1" bottom="1" header="0.5" footer="0.5"/>
  <pageSetup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1"/>
  <sheetViews>
    <sheetView zoomScaleNormal="100" workbookViewId="0">
      <selection activeCell="A8" sqref="A8"/>
    </sheetView>
  </sheetViews>
  <sheetFormatPr defaultColWidth="9.109375" defaultRowHeight="13.2" x14ac:dyDescent="0.25"/>
  <cols>
    <col min="1" max="1" width="29.33203125" style="505" customWidth="1"/>
    <col min="2" max="2" width="15" style="505" customWidth="1"/>
    <col min="3" max="3" width="58.44140625" style="505" customWidth="1"/>
    <col min="4" max="4" width="10.88671875" style="505" customWidth="1"/>
    <col min="5" max="5" width="78.109375" style="505" customWidth="1"/>
    <col min="6" max="16384" width="9.109375" style="505"/>
  </cols>
  <sheetData>
    <row r="1" spans="1:5" s="106" customFormat="1" x14ac:dyDescent="0.25">
      <c r="A1" s="104" t="s">
        <v>47</v>
      </c>
      <c r="B1" s="105"/>
      <c r="C1" s="105"/>
    </row>
    <row r="2" spans="1:5" s="106" customFormat="1" x14ac:dyDescent="0.25"/>
    <row r="3" spans="1:5" s="104" customFormat="1" x14ac:dyDescent="0.25">
      <c r="A3" s="104" t="s">
        <v>48</v>
      </c>
      <c r="B3" s="104" t="s">
        <v>49</v>
      </c>
    </row>
    <row r="4" spans="1:5" s="104" customFormat="1" x14ac:dyDescent="0.25">
      <c r="B4" s="104" t="s">
        <v>50</v>
      </c>
    </row>
    <row r="5" spans="1:5" s="106" customFormat="1" x14ac:dyDescent="0.25"/>
    <row r="6" spans="1:5" s="106" customFormat="1" x14ac:dyDescent="0.25"/>
    <row r="7" spans="1:5" s="108" customFormat="1" x14ac:dyDescent="0.25">
      <c r="A7" s="107" t="s">
        <v>54</v>
      </c>
      <c r="B7" s="107" t="s">
        <v>51</v>
      </c>
      <c r="C7" s="107" t="s">
        <v>53</v>
      </c>
      <c r="D7" s="107" t="s">
        <v>19</v>
      </c>
      <c r="E7" s="107" t="s">
        <v>52</v>
      </c>
    </row>
    <row r="8" spans="1:5" s="108" customFormat="1" x14ac:dyDescent="0.25">
      <c r="A8" s="514" t="s">
        <v>228</v>
      </c>
      <c r="B8" s="109">
        <v>-1000000</v>
      </c>
      <c r="C8" s="110" t="s">
        <v>31</v>
      </c>
      <c r="D8" s="111">
        <v>42248</v>
      </c>
      <c r="E8" s="110" t="s">
        <v>229</v>
      </c>
    </row>
    <row r="9" spans="1:5" s="108" customFormat="1" x14ac:dyDescent="0.25">
      <c r="A9" s="107"/>
      <c r="B9" s="109">
        <v>1000000</v>
      </c>
      <c r="C9" s="110" t="s">
        <v>230</v>
      </c>
      <c r="D9" s="111">
        <v>42248</v>
      </c>
      <c r="E9" s="110" t="s">
        <v>229</v>
      </c>
    </row>
    <row r="10" spans="1:5" s="106" customFormat="1" x14ac:dyDescent="0.25">
      <c r="A10" s="110"/>
      <c r="B10" s="109">
        <v>-1500000</v>
      </c>
      <c r="C10" s="110" t="s">
        <v>31</v>
      </c>
      <c r="D10" s="111">
        <v>42321</v>
      </c>
      <c r="E10" s="110" t="s">
        <v>231</v>
      </c>
    </row>
    <row r="11" spans="1:5" s="106" customFormat="1" x14ac:dyDescent="0.25">
      <c r="A11" s="110"/>
      <c r="B11" s="109">
        <v>1500000</v>
      </c>
      <c r="C11" s="110" t="s">
        <v>95</v>
      </c>
      <c r="D11" s="111">
        <v>42321</v>
      </c>
      <c r="E11" s="110" t="s">
        <v>231</v>
      </c>
    </row>
    <row r="12" spans="1:5" x14ac:dyDescent="0.25">
      <c r="A12" s="507"/>
      <c r="B12" s="506"/>
      <c r="C12" s="507"/>
      <c r="D12" s="508"/>
      <c r="E12" s="507"/>
    </row>
    <row r="13" spans="1:5" x14ac:dyDescent="0.25">
      <c r="A13" s="507"/>
      <c r="B13" s="506"/>
      <c r="C13" s="507"/>
      <c r="D13" s="508"/>
      <c r="E13" s="507"/>
    </row>
    <row r="14" spans="1:5" x14ac:dyDescent="0.25">
      <c r="A14" s="509"/>
      <c r="B14" s="510"/>
      <c r="C14" s="507"/>
      <c r="D14" s="508"/>
      <c r="E14" s="507"/>
    </row>
    <row r="15" spans="1:5" x14ac:dyDescent="0.25">
      <c r="A15" s="511" t="s">
        <v>55</v>
      </c>
      <c r="B15" s="512">
        <f>SUM(B10:B14)</f>
        <v>0</v>
      </c>
      <c r="C15" s="509"/>
      <c r="D15" s="509"/>
      <c r="E15" s="509"/>
    </row>
    <row r="16" spans="1:5" x14ac:dyDescent="0.25">
      <c r="A16" s="509"/>
      <c r="B16" s="509"/>
      <c r="C16" s="509"/>
      <c r="D16" s="509"/>
      <c r="E16" s="509"/>
    </row>
    <row r="18" spans="1:5" x14ac:dyDescent="0.25">
      <c r="A18" s="593"/>
    </row>
    <row r="19" spans="1:5" x14ac:dyDescent="0.25">
      <c r="A19" s="593"/>
    </row>
    <row r="24" spans="1:5" ht="14.4" x14ac:dyDescent="0.3">
      <c r="E24" s="513"/>
    </row>
    <row r="31" spans="1:5" x14ac:dyDescent="0.25">
      <c r="C31" s="504"/>
    </row>
  </sheetData>
  <phoneticPr fontId="34" type="noConversion"/>
  <pageMargins left="0.75" right="0.75" top="1" bottom="1" header="0.5" footer="0.5"/>
  <pageSetup scale="50" orientation="landscape" r:id="rId1"/>
  <headerFooter alignWithMargins="0">
    <oddHeader xml:space="preserve">&amp;C&amp;"Arial,Bold"SDGE
FUND SHIFTING
2016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109"/>
  <sheetViews>
    <sheetView zoomScale="80" zoomScaleNormal="80" zoomScaleSheetLayoutView="90" workbookViewId="0">
      <selection activeCell="E5" sqref="E5"/>
    </sheetView>
  </sheetViews>
  <sheetFormatPr defaultColWidth="9.109375" defaultRowHeight="14.1" customHeight="1" x14ac:dyDescent="0.25"/>
  <cols>
    <col min="1" max="1" width="61.5546875" style="247" customWidth="1"/>
    <col min="2" max="2" width="15.33203125" style="248" customWidth="1"/>
    <col min="3" max="3" width="15.6640625" style="249" customWidth="1"/>
    <col min="4" max="4" width="26.5546875" style="247" customWidth="1"/>
    <col min="5" max="5" width="15.88671875" style="250" customWidth="1"/>
    <col min="6" max="6" width="22" style="247" customWidth="1"/>
    <col min="7" max="7" width="37" style="247" customWidth="1"/>
    <col min="8" max="16384" width="9.109375" style="243"/>
  </cols>
  <sheetData>
    <row r="1" spans="1:7" ht="14.4" customHeight="1" x14ac:dyDescent="0.3">
      <c r="A1" s="642" t="s">
        <v>59</v>
      </c>
      <c r="B1" s="643"/>
      <c r="C1" s="643"/>
      <c r="D1" s="643"/>
      <c r="E1" s="643"/>
      <c r="F1" s="643"/>
      <c r="G1" s="644"/>
    </row>
    <row r="2" spans="1:7" ht="14.1" customHeight="1" x14ac:dyDescent="0.25">
      <c r="A2" s="335" t="s">
        <v>54</v>
      </c>
      <c r="B2" s="336" t="s">
        <v>32</v>
      </c>
      <c r="C2" s="337" t="s">
        <v>19</v>
      </c>
      <c r="D2" s="336" t="s">
        <v>26</v>
      </c>
      <c r="E2" s="335" t="s">
        <v>128</v>
      </c>
      <c r="F2" s="336" t="s">
        <v>24</v>
      </c>
      <c r="G2" s="336" t="s">
        <v>129</v>
      </c>
    </row>
    <row r="3" spans="1:7" ht="14.1" customHeight="1" x14ac:dyDescent="0.25">
      <c r="A3" s="298" t="s">
        <v>244</v>
      </c>
      <c r="B3" s="297">
        <v>1</v>
      </c>
      <c r="C3" s="299">
        <v>42541</v>
      </c>
      <c r="D3" s="300" t="s">
        <v>245</v>
      </c>
      <c r="E3" s="600">
        <v>5600</v>
      </c>
      <c r="F3" s="302" t="s">
        <v>246</v>
      </c>
      <c r="G3" s="300">
        <v>4</v>
      </c>
    </row>
    <row r="4" spans="1:7" ht="14.1" customHeight="1" x14ac:dyDescent="0.3">
      <c r="A4" s="298" t="s">
        <v>247</v>
      </c>
      <c r="B4" s="297">
        <v>2</v>
      </c>
      <c r="C4" s="299">
        <v>42541</v>
      </c>
      <c r="D4" s="601" t="s">
        <v>248</v>
      </c>
      <c r="E4" s="600">
        <v>16000</v>
      </c>
      <c r="F4" s="302" t="s">
        <v>246</v>
      </c>
      <c r="G4" s="602">
        <v>4</v>
      </c>
    </row>
    <row r="5" spans="1:7" ht="14.1" customHeight="1" x14ac:dyDescent="0.25">
      <c r="A5" s="614" t="s">
        <v>244</v>
      </c>
      <c r="B5" s="297">
        <v>3</v>
      </c>
      <c r="C5" s="615">
        <v>42571</v>
      </c>
      <c r="D5" s="616" t="s">
        <v>245</v>
      </c>
      <c r="E5" s="618">
        <v>5100</v>
      </c>
      <c r="F5" s="620" t="s">
        <v>246</v>
      </c>
      <c r="G5" s="621">
        <v>8</v>
      </c>
    </row>
    <row r="6" spans="1:7" ht="14.1" customHeight="1" x14ac:dyDescent="0.25">
      <c r="A6" s="614" t="s">
        <v>244</v>
      </c>
      <c r="B6" s="297">
        <v>4</v>
      </c>
      <c r="C6" s="615">
        <v>42572</v>
      </c>
      <c r="D6" s="616" t="s">
        <v>245</v>
      </c>
      <c r="E6" s="618">
        <v>5100</v>
      </c>
      <c r="F6" s="620" t="s">
        <v>246</v>
      </c>
      <c r="G6" s="621">
        <v>12</v>
      </c>
    </row>
    <row r="7" spans="1:7" ht="14.1" customHeight="1" x14ac:dyDescent="0.25">
      <c r="A7" s="614" t="s">
        <v>244</v>
      </c>
      <c r="B7" s="297">
        <v>5</v>
      </c>
      <c r="C7" s="615">
        <v>42573</v>
      </c>
      <c r="D7" s="616" t="s">
        <v>245</v>
      </c>
      <c r="E7" s="618">
        <v>5000</v>
      </c>
      <c r="F7" s="620" t="s">
        <v>246</v>
      </c>
      <c r="G7" s="621">
        <v>16</v>
      </c>
    </row>
    <row r="8" spans="1:7" ht="14.1" customHeight="1" x14ac:dyDescent="0.25">
      <c r="A8" s="614" t="s">
        <v>257</v>
      </c>
      <c r="B8" s="297">
        <v>6</v>
      </c>
      <c r="C8" s="615">
        <v>42571</v>
      </c>
      <c r="D8" s="616" t="s">
        <v>245</v>
      </c>
      <c r="E8" s="618">
        <v>1000</v>
      </c>
      <c r="F8" s="620" t="s">
        <v>246</v>
      </c>
      <c r="G8" s="621">
        <v>4</v>
      </c>
    </row>
    <row r="9" spans="1:7" ht="14.1" customHeight="1" x14ac:dyDescent="0.25">
      <c r="A9" s="614" t="s">
        <v>257</v>
      </c>
      <c r="B9" s="297">
        <v>7</v>
      </c>
      <c r="C9" s="615">
        <v>42572</v>
      </c>
      <c r="D9" s="616" t="s">
        <v>245</v>
      </c>
      <c r="E9" s="618">
        <v>900</v>
      </c>
      <c r="F9" s="620" t="s">
        <v>246</v>
      </c>
      <c r="G9" s="621">
        <v>8</v>
      </c>
    </row>
    <row r="10" spans="1:7" ht="14.1" customHeight="1" x14ac:dyDescent="0.25">
      <c r="A10" s="614" t="s">
        <v>257</v>
      </c>
      <c r="B10" s="297">
        <v>8</v>
      </c>
      <c r="C10" s="615">
        <v>42573</v>
      </c>
      <c r="D10" s="616" t="s">
        <v>245</v>
      </c>
      <c r="E10" s="618">
        <v>800</v>
      </c>
      <c r="F10" s="620" t="s">
        <v>246</v>
      </c>
      <c r="G10" s="621">
        <v>12</v>
      </c>
    </row>
    <row r="11" spans="1:7" s="244" customFormat="1" ht="14.1" customHeight="1" x14ac:dyDescent="0.25">
      <c r="A11" s="614" t="s">
        <v>257</v>
      </c>
      <c r="B11" s="297">
        <v>9</v>
      </c>
      <c r="C11" s="615">
        <v>42577</v>
      </c>
      <c r="D11" s="616" t="s">
        <v>245</v>
      </c>
      <c r="E11" s="618">
        <v>900</v>
      </c>
      <c r="F11" s="620" t="s">
        <v>246</v>
      </c>
      <c r="G11" s="621">
        <v>16</v>
      </c>
    </row>
    <row r="12" spans="1:7" s="244" customFormat="1" ht="14.1" customHeight="1" x14ac:dyDescent="0.25">
      <c r="A12" s="614" t="s">
        <v>257</v>
      </c>
      <c r="B12" s="297">
        <v>10</v>
      </c>
      <c r="C12" s="615">
        <v>42578</v>
      </c>
      <c r="D12" s="616" t="s">
        <v>245</v>
      </c>
      <c r="E12" s="618">
        <v>1100</v>
      </c>
      <c r="F12" s="620" t="s">
        <v>246</v>
      </c>
      <c r="G12" s="621">
        <v>20</v>
      </c>
    </row>
    <row r="13" spans="1:7" s="244" customFormat="1" ht="14.1" customHeight="1" x14ac:dyDescent="0.25">
      <c r="A13" s="614" t="s">
        <v>257</v>
      </c>
      <c r="B13" s="297">
        <v>11</v>
      </c>
      <c r="C13" s="615">
        <v>42579</v>
      </c>
      <c r="D13" s="616" t="s">
        <v>245</v>
      </c>
      <c r="E13" s="618">
        <v>1000</v>
      </c>
      <c r="F13" s="620" t="s">
        <v>246</v>
      </c>
      <c r="G13" s="621">
        <v>24</v>
      </c>
    </row>
    <row r="14" spans="1:7" s="244" customFormat="1" ht="14.1" customHeight="1" x14ac:dyDescent="0.25">
      <c r="A14" s="614" t="s">
        <v>257</v>
      </c>
      <c r="B14" s="304">
        <v>12</v>
      </c>
      <c r="C14" s="615">
        <v>42580</v>
      </c>
      <c r="D14" s="616" t="s">
        <v>245</v>
      </c>
      <c r="E14" s="619">
        <v>1000</v>
      </c>
      <c r="F14" s="620" t="s">
        <v>246</v>
      </c>
      <c r="G14" s="621">
        <v>28</v>
      </c>
    </row>
    <row r="15" spans="1:7" s="244" customFormat="1" ht="14.1" customHeight="1" x14ac:dyDescent="0.3">
      <c r="A15" s="614" t="s">
        <v>247</v>
      </c>
      <c r="B15" s="297">
        <v>13</v>
      </c>
      <c r="C15" s="615">
        <v>42573</v>
      </c>
      <c r="D15" s="617" t="s">
        <v>248</v>
      </c>
      <c r="E15" s="618">
        <v>16500</v>
      </c>
      <c r="F15" s="620" t="s">
        <v>246</v>
      </c>
      <c r="G15" s="621">
        <v>8</v>
      </c>
    </row>
    <row r="16" spans="1:7" s="244" customFormat="1" ht="14.1" customHeight="1" x14ac:dyDescent="0.25">
      <c r="A16" s="298"/>
      <c r="B16" s="297">
        <v>14</v>
      </c>
      <c r="C16" s="299"/>
      <c r="D16" s="300"/>
      <c r="E16" s="301"/>
      <c r="F16" s="302"/>
      <c r="G16" s="300"/>
    </row>
    <row r="17" spans="1:7" s="244" customFormat="1" ht="14.1" customHeight="1" x14ac:dyDescent="0.25">
      <c r="A17" s="303"/>
      <c r="B17" s="304">
        <v>15</v>
      </c>
      <c r="C17" s="305"/>
      <c r="D17" s="306"/>
      <c r="E17" s="307"/>
      <c r="F17" s="306"/>
      <c r="G17" s="300"/>
    </row>
    <row r="18" spans="1:7" s="244" customFormat="1" ht="14.1" customHeight="1" x14ac:dyDescent="0.25">
      <c r="A18" s="298"/>
      <c r="B18" s="297">
        <v>16</v>
      </c>
      <c r="C18" s="299"/>
      <c r="D18" s="300"/>
      <c r="E18" s="301"/>
      <c r="F18" s="300"/>
      <c r="G18" s="300"/>
    </row>
    <row r="19" spans="1:7" s="244" customFormat="1" ht="14.1" customHeight="1" x14ac:dyDescent="0.25">
      <c r="A19" s="298"/>
      <c r="B19" s="297">
        <v>17</v>
      </c>
      <c r="C19" s="299"/>
      <c r="D19" s="300"/>
      <c r="E19" s="301"/>
      <c r="F19" s="300"/>
      <c r="G19" s="300"/>
    </row>
    <row r="20" spans="1:7" s="244" customFormat="1" ht="14.1" customHeight="1" x14ac:dyDescent="0.25">
      <c r="A20" s="298"/>
      <c r="B20" s="297">
        <v>18</v>
      </c>
      <c r="C20" s="299"/>
      <c r="D20" s="300"/>
      <c r="E20" s="301"/>
      <c r="F20" s="300"/>
      <c r="G20" s="300"/>
    </row>
    <row r="21" spans="1:7" s="244" customFormat="1" ht="14.1" customHeight="1" x14ac:dyDescent="0.25">
      <c r="A21" s="298"/>
      <c r="B21" s="297">
        <v>19</v>
      </c>
      <c r="C21" s="299"/>
      <c r="D21" s="300"/>
      <c r="E21" s="301"/>
      <c r="F21" s="300"/>
      <c r="G21" s="300"/>
    </row>
    <row r="22" spans="1:7" s="244" customFormat="1" ht="14.1" customHeight="1" x14ac:dyDescent="0.25">
      <c r="A22" s="298"/>
      <c r="B22" s="297">
        <v>20</v>
      </c>
      <c r="C22" s="299"/>
      <c r="D22" s="300"/>
      <c r="E22" s="301"/>
      <c r="F22" s="302"/>
      <c r="G22" s="300"/>
    </row>
    <row r="23" spans="1:7" s="244" customFormat="1" ht="14.1" customHeight="1" x14ac:dyDescent="0.25">
      <c r="A23" s="298"/>
      <c r="B23" s="297">
        <v>21</v>
      </c>
      <c r="C23" s="299"/>
      <c r="D23" s="300"/>
      <c r="E23" s="301"/>
      <c r="F23" s="300"/>
      <c r="G23" s="300"/>
    </row>
    <row r="24" spans="1:7" s="244" customFormat="1" ht="14.1" customHeight="1" x14ac:dyDescent="0.25">
      <c r="A24" s="298"/>
      <c r="B24" s="297">
        <v>22</v>
      </c>
      <c r="C24" s="308"/>
      <c r="D24" s="300"/>
      <c r="E24" s="309"/>
      <c r="F24" s="300"/>
      <c r="G24" s="310"/>
    </row>
    <row r="25" spans="1:7" s="244" customFormat="1" ht="14.1" customHeight="1" x14ac:dyDescent="0.25">
      <c r="A25" s="303"/>
      <c r="B25" s="304">
        <v>23</v>
      </c>
      <c r="C25" s="311"/>
      <c r="D25" s="306"/>
      <c r="E25" s="312"/>
      <c r="F25" s="306"/>
      <c r="G25" s="313"/>
    </row>
    <row r="26" spans="1:7" s="244" customFormat="1" ht="14.1" customHeight="1" x14ac:dyDescent="0.25">
      <c r="A26" s="298"/>
      <c r="B26" s="297">
        <v>24</v>
      </c>
      <c r="C26" s="308"/>
      <c r="D26" s="300"/>
      <c r="E26" s="309"/>
      <c r="F26" s="302"/>
      <c r="G26" s="310"/>
    </row>
    <row r="27" spans="1:7" s="244" customFormat="1" ht="14.1" customHeight="1" x14ac:dyDescent="0.25">
      <c r="A27" s="298"/>
      <c r="B27" s="297">
        <v>25</v>
      </c>
      <c r="C27" s="308"/>
      <c r="D27" s="300"/>
      <c r="E27" s="309"/>
      <c r="F27" s="300"/>
      <c r="G27" s="310"/>
    </row>
    <row r="28" spans="1:7" s="244" customFormat="1" ht="14.1" customHeight="1" x14ac:dyDescent="0.25">
      <c r="A28" s="298"/>
      <c r="B28" s="297">
        <v>26</v>
      </c>
      <c r="C28" s="308"/>
      <c r="D28" s="300"/>
      <c r="E28" s="309"/>
      <c r="F28" s="300"/>
      <c r="G28" s="310"/>
    </row>
    <row r="29" spans="1:7" s="244" customFormat="1" ht="14.1" customHeight="1" x14ac:dyDescent="0.25">
      <c r="A29" s="298"/>
      <c r="B29" s="297">
        <v>27</v>
      </c>
      <c r="C29" s="299"/>
      <c r="D29" s="300"/>
      <c r="E29" s="301"/>
      <c r="F29" s="300"/>
      <c r="G29" s="300"/>
    </row>
    <row r="30" spans="1:7" s="244" customFormat="1" ht="14.1" customHeight="1" x14ac:dyDescent="0.25">
      <c r="A30" s="298"/>
      <c r="B30" s="297">
        <v>28</v>
      </c>
      <c r="C30" s="308"/>
      <c r="D30" s="300"/>
      <c r="E30" s="301"/>
      <c r="F30" s="302"/>
      <c r="G30" s="310"/>
    </row>
    <row r="31" spans="1:7" s="244" customFormat="1" ht="14.1" customHeight="1" x14ac:dyDescent="0.25">
      <c r="A31" s="298"/>
      <c r="B31" s="297">
        <v>29</v>
      </c>
      <c r="C31" s="308"/>
      <c r="D31" s="300"/>
      <c r="E31" s="301"/>
      <c r="F31" s="302"/>
      <c r="G31" s="310"/>
    </row>
    <row r="32" spans="1:7" s="244" customFormat="1" ht="14.1" customHeight="1" x14ac:dyDescent="0.3">
      <c r="A32" s="298"/>
      <c r="B32" s="297">
        <v>30</v>
      </c>
      <c r="C32" s="308"/>
      <c r="D32" s="314"/>
      <c r="E32" s="301"/>
      <c r="F32" s="302"/>
      <c r="G32" s="310"/>
    </row>
    <row r="33" spans="1:31" s="246" customFormat="1" ht="14.1" customHeight="1" x14ac:dyDescent="0.3">
      <c r="A33" s="298"/>
      <c r="B33" s="297">
        <v>31</v>
      </c>
      <c r="C33" s="308"/>
      <c r="D33" s="314"/>
      <c r="E33" s="301"/>
      <c r="F33" s="300"/>
      <c r="G33" s="310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s="244" customFormat="1" ht="14.1" customHeight="1" x14ac:dyDescent="0.3">
      <c r="A34" s="303"/>
      <c r="B34" s="315">
        <v>32</v>
      </c>
      <c r="C34" s="311"/>
      <c r="D34" s="314"/>
      <c r="E34" s="312"/>
      <c r="F34" s="316"/>
      <c r="G34" s="313"/>
    </row>
    <row r="35" spans="1:31" s="244" customFormat="1" ht="14.1" customHeight="1" x14ac:dyDescent="0.3">
      <c r="A35" s="298"/>
      <c r="B35" s="315">
        <v>33</v>
      </c>
      <c r="C35" s="299"/>
      <c r="D35" s="300"/>
      <c r="E35" s="309"/>
      <c r="F35" s="300"/>
      <c r="G35" s="310"/>
    </row>
    <row r="36" spans="1:31" s="244" customFormat="1" ht="14.1" customHeight="1" x14ac:dyDescent="0.3">
      <c r="A36" s="298"/>
      <c r="B36" s="315">
        <v>34</v>
      </c>
      <c r="C36" s="299"/>
      <c r="D36" s="300"/>
      <c r="E36" s="309"/>
      <c r="F36" s="300"/>
      <c r="G36" s="310"/>
    </row>
    <row r="37" spans="1:31" s="244" customFormat="1" ht="14.1" customHeight="1" x14ac:dyDescent="0.3">
      <c r="A37" s="298"/>
      <c r="B37" s="315">
        <v>35</v>
      </c>
      <c r="C37" s="299"/>
      <c r="D37" s="300"/>
      <c r="E37" s="309"/>
      <c r="F37" s="302"/>
      <c r="G37" s="310"/>
    </row>
    <row r="38" spans="1:31" s="244" customFormat="1" ht="14.1" customHeight="1" x14ac:dyDescent="0.3">
      <c r="A38" s="298"/>
      <c r="B38" s="315">
        <v>36</v>
      </c>
      <c r="C38" s="299"/>
      <c r="D38" s="300"/>
      <c r="E38" s="309"/>
      <c r="F38" s="302"/>
      <c r="G38" s="310"/>
    </row>
    <row r="39" spans="1:31" s="244" customFormat="1" ht="14.1" customHeight="1" x14ac:dyDescent="0.3">
      <c r="A39" s="298"/>
      <c r="B39" s="315">
        <v>37</v>
      </c>
      <c r="C39" s="299"/>
      <c r="D39" s="300"/>
      <c r="E39" s="309"/>
      <c r="F39" s="300"/>
      <c r="G39" s="310"/>
    </row>
    <row r="40" spans="1:31" s="244" customFormat="1" ht="14.1" customHeight="1" x14ac:dyDescent="0.3">
      <c r="A40" s="298"/>
      <c r="B40" s="315">
        <v>38</v>
      </c>
      <c r="C40" s="299"/>
      <c r="D40" s="300"/>
      <c r="E40" s="309"/>
      <c r="F40" s="300"/>
      <c r="G40" s="300"/>
    </row>
    <row r="41" spans="1:31" s="244" customFormat="1" ht="14.1" customHeight="1" x14ac:dyDescent="0.3">
      <c r="A41" s="298"/>
      <c r="B41" s="315">
        <v>39</v>
      </c>
      <c r="C41" s="299"/>
      <c r="D41" s="300"/>
      <c r="E41" s="309"/>
      <c r="F41" s="300"/>
      <c r="G41" s="310"/>
    </row>
    <row r="42" spans="1:31" s="244" customFormat="1" ht="14.1" customHeight="1" x14ac:dyDescent="0.3">
      <c r="A42" s="298"/>
      <c r="B42" s="315">
        <v>40</v>
      </c>
      <c r="C42" s="299"/>
      <c r="D42" s="300"/>
      <c r="E42" s="309"/>
      <c r="F42" s="300"/>
      <c r="G42" s="300"/>
    </row>
    <row r="43" spans="1:31" s="244" customFormat="1" ht="14.1" customHeight="1" x14ac:dyDescent="0.3">
      <c r="A43" s="298"/>
      <c r="B43" s="315">
        <v>41</v>
      </c>
      <c r="C43" s="299"/>
      <c r="D43" s="300"/>
      <c r="E43" s="309"/>
      <c r="F43" s="300"/>
      <c r="G43" s="310"/>
    </row>
    <row r="44" spans="1:31" s="244" customFormat="1" ht="14.1" customHeight="1" x14ac:dyDescent="0.3">
      <c r="A44" s="298"/>
      <c r="B44" s="315">
        <v>44</v>
      </c>
      <c r="C44" s="299"/>
      <c r="D44" s="300"/>
      <c r="E44" s="317"/>
      <c r="F44" s="300"/>
      <c r="G44" s="310"/>
    </row>
    <row r="45" spans="1:31" s="244" customFormat="1" ht="14.1" customHeight="1" x14ac:dyDescent="0.3">
      <c r="A45" s="298"/>
      <c r="B45" s="315">
        <v>47</v>
      </c>
      <c r="C45" s="299"/>
      <c r="D45" s="300"/>
      <c r="E45" s="309"/>
      <c r="F45" s="302"/>
      <c r="G45" s="310"/>
    </row>
    <row r="46" spans="1:31" s="244" customFormat="1" ht="14.1" customHeight="1" x14ac:dyDescent="0.3">
      <c r="A46" s="298"/>
      <c r="B46" s="315">
        <v>48</v>
      </c>
      <c r="C46" s="299"/>
      <c r="D46" s="300"/>
      <c r="E46" s="309"/>
      <c r="F46" s="300"/>
      <c r="G46" s="310"/>
    </row>
    <row r="47" spans="1:31" s="244" customFormat="1" ht="14.1" customHeight="1" x14ac:dyDescent="0.3">
      <c r="A47" s="298"/>
      <c r="B47" s="315">
        <v>49</v>
      </c>
      <c r="C47" s="299"/>
      <c r="D47" s="300"/>
      <c r="E47" s="309"/>
      <c r="F47" s="302"/>
      <c r="G47" s="310"/>
    </row>
    <row r="48" spans="1:31" s="244" customFormat="1" ht="14.1" customHeight="1" x14ac:dyDescent="0.3">
      <c r="A48" s="298"/>
      <c r="B48" s="315">
        <v>52</v>
      </c>
      <c r="C48" s="299"/>
      <c r="D48" s="300"/>
      <c r="E48" s="309"/>
      <c r="F48" s="300"/>
      <c r="G48" s="300"/>
    </row>
    <row r="49" spans="1:7" s="244" customFormat="1" ht="14.1" customHeight="1" x14ac:dyDescent="0.3">
      <c r="A49" s="298"/>
      <c r="B49" s="315">
        <v>53</v>
      </c>
      <c r="C49" s="299"/>
      <c r="D49" s="300"/>
      <c r="E49" s="309"/>
      <c r="F49" s="300"/>
      <c r="G49" s="310"/>
    </row>
    <row r="50" spans="1:7" s="244" customFormat="1" ht="14.1" customHeight="1" x14ac:dyDescent="0.3">
      <c r="A50" s="298"/>
      <c r="B50" s="315">
        <v>54</v>
      </c>
      <c r="C50" s="299"/>
      <c r="D50" s="300"/>
      <c r="E50" s="309"/>
      <c r="F50" s="300"/>
      <c r="G50" s="300"/>
    </row>
    <row r="51" spans="1:7" s="244" customFormat="1" ht="14.1" customHeight="1" x14ac:dyDescent="0.3">
      <c r="A51" s="298"/>
      <c r="B51" s="315">
        <v>55</v>
      </c>
      <c r="C51" s="299"/>
      <c r="D51" s="300"/>
      <c r="E51" s="309"/>
      <c r="F51" s="300"/>
      <c r="G51" s="310"/>
    </row>
    <row r="52" spans="1:7" s="244" customFormat="1" ht="14.1" customHeight="1" x14ac:dyDescent="0.3">
      <c r="A52" s="298"/>
      <c r="B52" s="315">
        <v>56</v>
      </c>
      <c r="C52" s="299"/>
      <c r="D52" s="300"/>
      <c r="E52" s="309"/>
      <c r="F52" s="300"/>
      <c r="G52" s="310"/>
    </row>
    <row r="53" spans="1:7" s="244" customFormat="1" ht="14.1" customHeight="1" x14ac:dyDescent="0.3">
      <c r="A53" s="298"/>
      <c r="B53" s="315">
        <v>57</v>
      </c>
      <c r="C53" s="299"/>
      <c r="D53" s="300"/>
      <c r="E53" s="309"/>
      <c r="F53" s="302"/>
      <c r="G53" s="310"/>
    </row>
    <row r="54" spans="1:7" s="244" customFormat="1" ht="14.1" customHeight="1" x14ac:dyDescent="0.3">
      <c r="A54" s="298"/>
      <c r="B54" s="315">
        <v>58</v>
      </c>
      <c r="C54" s="299"/>
      <c r="D54" s="300"/>
      <c r="E54" s="309"/>
      <c r="F54" s="300"/>
      <c r="G54" s="310"/>
    </row>
    <row r="55" spans="1:7" s="244" customFormat="1" ht="14.1" customHeight="1" x14ac:dyDescent="0.25">
      <c r="A55" s="318"/>
      <c r="B55" s="319">
        <v>59</v>
      </c>
      <c r="C55" s="320"/>
      <c r="D55" s="300"/>
      <c r="E55" s="321"/>
      <c r="F55" s="300"/>
      <c r="G55" s="300"/>
    </row>
    <row r="56" spans="1:7" s="244" customFormat="1" ht="14.1" customHeight="1" x14ac:dyDescent="0.25">
      <c r="A56" s="318"/>
      <c r="B56" s="319">
        <v>60</v>
      </c>
      <c r="C56" s="320"/>
      <c r="D56" s="300"/>
      <c r="E56" s="321"/>
      <c r="F56" s="300"/>
      <c r="G56" s="322"/>
    </row>
    <row r="57" spans="1:7" ht="14.1" customHeight="1" x14ac:dyDescent="0.25">
      <c r="A57" s="318"/>
      <c r="B57" s="319">
        <v>61</v>
      </c>
      <c r="C57" s="320"/>
      <c r="D57" s="300"/>
      <c r="E57" s="321"/>
      <c r="F57" s="300"/>
      <c r="G57" s="300"/>
    </row>
    <row r="58" spans="1:7" ht="14.1" customHeight="1" x14ac:dyDescent="0.25">
      <c r="A58" s="318"/>
      <c r="B58" s="319">
        <v>62</v>
      </c>
      <c r="C58" s="320"/>
      <c r="D58" s="300"/>
      <c r="E58" s="321"/>
      <c r="F58" s="300"/>
      <c r="G58" s="322"/>
    </row>
    <row r="59" spans="1:7" ht="14.1" customHeight="1" x14ac:dyDescent="0.25">
      <c r="A59" s="318"/>
      <c r="B59" s="319">
        <v>63</v>
      </c>
      <c r="C59" s="320"/>
      <c r="D59" s="300"/>
      <c r="E59" s="323"/>
      <c r="F59" s="324"/>
      <c r="G59" s="324"/>
    </row>
    <row r="60" spans="1:7" ht="14.1" customHeight="1" x14ac:dyDescent="0.25">
      <c r="A60" s="318"/>
      <c r="B60" s="319">
        <v>64</v>
      </c>
      <c r="C60" s="320"/>
      <c r="D60" s="300"/>
      <c r="E60" s="323"/>
      <c r="F60" s="324"/>
      <c r="G60" s="324"/>
    </row>
    <row r="61" spans="1:7" ht="14.1" customHeight="1" x14ac:dyDescent="0.25">
      <c r="A61" s="318"/>
      <c r="B61" s="319">
        <v>65</v>
      </c>
      <c r="C61" s="320"/>
      <c r="D61" s="300"/>
      <c r="E61" s="323"/>
      <c r="F61" s="324"/>
      <c r="G61" s="324"/>
    </row>
    <row r="62" spans="1:7" ht="14.1" customHeight="1" x14ac:dyDescent="0.25">
      <c r="A62" s="318"/>
      <c r="B62" s="319">
        <v>66</v>
      </c>
      <c r="C62" s="320"/>
      <c r="D62" s="300"/>
      <c r="E62" s="325"/>
      <c r="F62" s="326"/>
      <c r="G62" s="326"/>
    </row>
    <row r="63" spans="1:7" ht="14.1" customHeight="1" x14ac:dyDescent="0.25">
      <c r="A63" s="318"/>
      <c r="B63" s="319">
        <v>67</v>
      </c>
      <c r="C63" s="320"/>
      <c r="D63" s="300"/>
      <c r="E63" s="325"/>
      <c r="F63" s="326"/>
      <c r="G63" s="326"/>
    </row>
    <row r="64" spans="1:7" ht="14.1" customHeight="1" x14ac:dyDescent="0.25">
      <c r="A64" s="318"/>
      <c r="B64" s="319">
        <v>68</v>
      </c>
      <c r="C64" s="320"/>
      <c r="D64" s="300"/>
      <c r="E64" s="327"/>
      <c r="F64" s="324"/>
      <c r="G64" s="324"/>
    </row>
    <row r="65" spans="1:7" ht="14.1" customHeight="1" x14ac:dyDescent="0.25">
      <c r="A65" s="318"/>
      <c r="B65" s="319">
        <v>69</v>
      </c>
      <c r="C65" s="320"/>
      <c r="D65" s="300"/>
      <c r="E65" s="327"/>
      <c r="F65" s="324"/>
      <c r="G65" s="324"/>
    </row>
    <row r="66" spans="1:7" ht="14.1" customHeight="1" x14ac:dyDescent="0.25">
      <c r="A66" s="318"/>
      <c r="B66" s="319">
        <v>70</v>
      </c>
      <c r="C66" s="320"/>
      <c r="D66" s="300"/>
      <c r="E66" s="327"/>
      <c r="F66" s="324"/>
      <c r="G66" s="324"/>
    </row>
    <row r="67" spans="1:7" ht="14.1" customHeight="1" x14ac:dyDescent="0.25">
      <c r="A67" s="318"/>
      <c r="B67" s="319">
        <v>71</v>
      </c>
      <c r="C67" s="320"/>
      <c r="D67" s="300"/>
      <c r="E67" s="327"/>
      <c r="F67" s="324"/>
      <c r="G67" s="324"/>
    </row>
    <row r="68" spans="1:7" ht="14.1" customHeight="1" x14ac:dyDescent="0.25">
      <c r="A68" s="318"/>
      <c r="B68" s="319">
        <v>72</v>
      </c>
      <c r="C68" s="320"/>
      <c r="D68" s="300"/>
      <c r="E68" s="327"/>
      <c r="F68" s="324"/>
      <c r="G68" s="324"/>
    </row>
    <row r="69" spans="1:7" ht="14.1" customHeight="1" x14ac:dyDescent="0.25">
      <c r="A69" s="318"/>
      <c r="B69" s="319">
        <v>73</v>
      </c>
      <c r="C69" s="320"/>
      <c r="D69" s="300"/>
      <c r="E69" s="327"/>
      <c r="F69" s="324"/>
      <c r="G69" s="324"/>
    </row>
    <row r="70" spans="1:7" ht="14.1" customHeight="1" x14ac:dyDescent="0.25">
      <c r="A70" s="318"/>
      <c r="B70" s="319">
        <v>74</v>
      </c>
      <c r="C70" s="320"/>
      <c r="D70" s="300"/>
      <c r="E70" s="323"/>
      <c r="F70" s="324"/>
      <c r="G70" s="324"/>
    </row>
    <row r="71" spans="1:7" ht="14.1" customHeight="1" x14ac:dyDescent="0.25">
      <c r="A71" s="318"/>
      <c r="B71" s="319">
        <v>75</v>
      </c>
      <c r="C71" s="320"/>
      <c r="D71" s="300"/>
      <c r="E71" s="323"/>
      <c r="F71" s="324"/>
      <c r="G71" s="324"/>
    </row>
    <row r="72" spans="1:7" ht="14.1" customHeight="1" x14ac:dyDescent="0.25">
      <c r="A72" s="318"/>
      <c r="B72" s="319">
        <v>76</v>
      </c>
      <c r="C72" s="320"/>
      <c r="D72" s="300"/>
      <c r="E72" s="323"/>
      <c r="F72" s="324"/>
      <c r="G72" s="324"/>
    </row>
    <row r="73" spans="1:7" ht="14.1" customHeight="1" x14ac:dyDescent="0.25">
      <c r="A73" s="318"/>
      <c r="B73" s="319">
        <v>77</v>
      </c>
      <c r="C73" s="320"/>
      <c r="D73" s="300"/>
      <c r="E73" s="323"/>
      <c r="F73" s="324"/>
      <c r="G73" s="324"/>
    </row>
    <row r="74" spans="1:7" ht="14.1" customHeight="1" x14ac:dyDescent="0.25">
      <c r="A74" s="318"/>
      <c r="B74" s="319">
        <v>78</v>
      </c>
      <c r="C74" s="320"/>
      <c r="D74" s="300"/>
      <c r="E74" s="323"/>
      <c r="F74" s="324"/>
      <c r="G74" s="324"/>
    </row>
    <row r="75" spans="1:7" ht="14.1" customHeight="1" x14ac:dyDescent="0.25">
      <c r="A75" s="318"/>
      <c r="B75" s="319">
        <v>79</v>
      </c>
      <c r="C75" s="320"/>
      <c r="D75" s="300"/>
      <c r="E75" s="323"/>
      <c r="F75" s="324"/>
      <c r="G75" s="324"/>
    </row>
    <row r="76" spans="1:7" ht="14.1" customHeight="1" x14ac:dyDescent="0.25">
      <c r="A76" s="318"/>
      <c r="B76" s="319">
        <v>80</v>
      </c>
      <c r="C76" s="320"/>
      <c r="D76" s="300"/>
      <c r="E76" s="323"/>
      <c r="F76" s="324"/>
      <c r="G76" s="324"/>
    </row>
    <row r="77" spans="1:7" ht="14.1" customHeight="1" x14ac:dyDescent="0.25">
      <c r="A77" s="318"/>
      <c r="B77" s="319">
        <v>81</v>
      </c>
      <c r="C77" s="320"/>
      <c r="D77" s="300"/>
      <c r="E77" s="323"/>
      <c r="F77" s="324"/>
      <c r="G77" s="324"/>
    </row>
    <row r="78" spans="1:7" ht="14.1" customHeight="1" x14ac:dyDescent="0.25">
      <c r="A78" s="318"/>
      <c r="B78" s="319">
        <v>82</v>
      </c>
      <c r="C78" s="320"/>
      <c r="D78" s="300"/>
      <c r="E78" s="323"/>
      <c r="F78" s="324"/>
      <c r="G78" s="324"/>
    </row>
    <row r="79" spans="1:7" ht="14.1" customHeight="1" x14ac:dyDescent="0.25">
      <c r="A79" s="318"/>
      <c r="B79" s="319">
        <v>83</v>
      </c>
      <c r="C79" s="320"/>
      <c r="D79" s="300"/>
      <c r="E79" s="323"/>
      <c r="F79" s="324"/>
      <c r="G79" s="324"/>
    </row>
    <row r="80" spans="1:7" ht="14.1" customHeight="1" x14ac:dyDescent="0.25">
      <c r="A80" s="318"/>
      <c r="B80" s="319">
        <v>84</v>
      </c>
      <c r="C80" s="320"/>
      <c r="D80" s="300"/>
      <c r="E80" s="323"/>
      <c r="F80" s="324"/>
      <c r="G80" s="324"/>
    </row>
    <row r="81" spans="1:7" ht="14.1" customHeight="1" x14ac:dyDescent="0.25">
      <c r="A81" s="318"/>
      <c r="B81" s="319">
        <v>85</v>
      </c>
      <c r="C81" s="320"/>
      <c r="D81" s="300"/>
      <c r="E81" s="323"/>
      <c r="F81" s="324"/>
      <c r="G81" s="324"/>
    </row>
    <row r="82" spans="1:7" ht="14.1" customHeight="1" x14ac:dyDescent="0.25">
      <c r="A82" s="318"/>
      <c r="B82" s="319">
        <v>86</v>
      </c>
      <c r="C82" s="320"/>
      <c r="D82" s="300"/>
      <c r="E82" s="323"/>
      <c r="F82" s="324"/>
      <c r="G82" s="324"/>
    </row>
    <row r="83" spans="1:7" ht="14.1" customHeight="1" x14ac:dyDescent="0.25">
      <c r="A83" s="318"/>
      <c r="B83" s="319">
        <v>87</v>
      </c>
      <c r="C83" s="320"/>
      <c r="D83" s="300"/>
      <c r="E83" s="323"/>
      <c r="F83" s="324"/>
      <c r="G83" s="324"/>
    </row>
    <row r="84" spans="1:7" ht="14.1" customHeight="1" x14ac:dyDescent="0.25">
      <c r="A84" s="318"/>
      <c r="B84" s="319">
        <v>88</v>
      </c>
      <c r="C84" s="320"/>
      <c r="D84" s="300"/>
      <c r="E84" s="323"/>
      <c r="F84" s="324"/>
      <c r="G84" s="324"/>
    </row>
    <row r="85" spans="1:7" ht="14.1" customHeight="1" x14ac:dyDescent="0.25">
      <c r="A85" s="318"/>
      <c r="B85" s="319">
        <v>89</v>
      </c>
      <c r="C85" s="320"/>
      <c r="D85" s="300"/>
      <c r="E85" s="323"/>
      <c r="F85" s="324"/>
      <c r="G85" s="324"/>
    </row>
    <row r="86" spans="1:7" ht="14.1" customHeight="1" x14ac:dyDescent="0.25">
      <c r="A86" s="318"/>
      <c r="B86" s="319">
        <v>90</v>
      </c>
      <c r="C86" s="320"/>
      <c r="D86" s="300"/>
      <c r="E86" s="323"/>
      <c r="F86" s="324"/>
      <c r="G86" s="324"/>
    </row>
    <row r="87" spans="1:7" ht="14.1" customHeight="1" x14ac:dyDescent="0.25">
      <c r="A87" s="318"/>
      <c r="B87" s="319">
        <v>91</v>
      </c>
      <c r="C87" s="320"/>
      <c r="D87" s="300"/>
      <c r="E87" s="323"/>
      <c r="F87" s="324"/>
      <c r="G87" s="324"/>
    </row>
    <row r="88" spans="1:7" ht="14.1" customHeight="1" x14ac:dyDescent="0.25">
      <c r="A88" s="318"/>
      <c r="B88" s="319">
        <v>92</v>
      </c>
      <c r="C88" s="320"/>
      <c r="D88" s="300"/>
      <c r="E88" s="323"/>
      <c r="F88" s="324"/>
      <c r="G88" s="324"/>
    </row>
    <row r="89" spans="1:7" ht="14.1" customHeight="1" x14ac:dyDescent="0.25">
      <c r="A89" s="318"/>
      <c r="B89" s="319">
        <v>93</v>
      </c>
      <c r="C89" s="320"/>
      <c r="D89" s="300"/>
      <c r="E89" s="323"/>
      <c r="F89" s="324"/>
      <c r="G89" s="324"/>
    </row>
    <row r="90" spans="1:7" ht="14.1" customHeight="1" x14ac:dyDescent="0.25">
      <c r="A90" s="318"/>
      <c r="B90" s="319">
        <v>94</v>
      </c>
      <c r="C90" s="320"/>
      <c r="D90" s="300"/>
      <c r="E90" s="323"/>
      <c r="F90" s="324"/>
      <c r="G90" s="324"/>
    </row>
    <row r="91" spans="1:7" ht="14.1" customHeight="1" x14ac:dyDescent="0.25">
      <c r="A91" s="318"/>
      <c r="B91" s="319">
        <v>95</v>
      </c>
      <c r="C91" s="320"/>
      <c r="D91" s="300"/>
      <c r="E91" s="323"/>
      <c r="F91" s="324"/>
      <c r="G91" s="324"/>
    </row>
    <row r="92" spans="1:7" ht="14.1" customHeight="1" x14ac:dyDescent="0.25">
      <c r="A92" s="318"/>
      <c r="B92" s="319">
        <v>96</v>
      </c>
      <c r="C92" s="320"/>
      <c r="D92" s="300"/>
      <c r="E92" s="323"/>
      <c r="F92" s="324"/>
      <c r="G92" s="324"/>
    </row>
    <row r="93" spans="1:7" ht="14.1" customHeight="1" x14ac:dyDescent="0.25">
      <c r="A93" s="318"/>
      <c r="B93" s="319">
        <v>97</v>
      </c>
      <c r="C93" s="320"/>
      <c r="D93" s="300"/>
      <c r="E93" s="323"/>
      <c r="F93" s="324"/>
      <c r="G93" s="328"/>
    </row>
    <row r="94" spans="1:7" ht="14.1" customHeight="1" x14ac:dyDescent="0.25">
      <c r="A94" s="318"/>
      <c r="B94" s="319">
        <v>98</v>
      </c>
      <c r="C94" s="320"/>
      <c r="D94" s="300"/>
      <c r="E94" s="323"/>
      <c r="F94" s="324"/>
      <c r="G94" s="328"/>
    </row>
    <row r="95" spans="1:7" ht="14.1" customHeight="1" x14ac:dyDescent="0.25">
      <c r="A95" s="318"/>
      <c r="B95" s="319">
        <v>99</v>
      </c>
      <c r="C95" s="320"/>
      <c r="D95" s="300"/>
      <c r="E95" s="323"/>
      <c r="F95" s="324"/>
      <c r="G95" s="328"/>
    </row>
    <row r="96" spans="1:7" ht="14.1" customHeight="1" x14ac:dyDescent="0.25">
      <c r="A96" s="318"/>
      <c r="B96" s="319">
        <v>100</v>
      </c>
      <c r="C96" s="320"/>
      <c r="D96" s="300"/>
      <c r="E96" s="323"/>
      <c r="F96" s="324"/>
      <c r="G96" s="328"/>
    </row>
    <row r="97" spans="1:7" ht="14.1" customHeight="1" x14ac:dyDescent="0.25">
      <c r="A97" s="318"/>
      <c r="B97" s="319">
        <v>101</v>
      </c>
      <c r="C97" s="320"/>
      <c r="D97" s="300"/>
      <c r="E97" s="323"/>
      <c r="F97" s="324"/>
      <c r="G97" s="328"/>
    </row>
    <row r="98" spans="1:7" ht="14.1" customHeight="1" x14ac:dyDescent="0.25">
      <c r="A98" s="318"/>
      <c r="B98" s="319">
        <v>102</v>
      </c>
      <c r="C98" s="320"/>
      <c r="D98" s="300"/>
      <c r="E98" s="323"/>
      <c r="F98" s="324"/>
      <c r="G98" s="328"/>
    </row>
    <row r="99" spans="1:7" ht="14.1" customHeight="1" x14ac:dyDescent="0.25">
      <c r="A99" s="318"/>
      <c r="B99" s="319">
        <v>103</v>
      </c>
      <c r="C99" s="320"/>
      <c r="D99" s="300"/>
      <c r="E99" s="323"/>
      <c r="F99" s="324"/>
      <c r="G99" s="328"/>
    </row>
    <row r="100" spans="1:7" ht="14.1" customHeight="1" x14ac:dyDescent="0.25">
      <c r="A100" s="318"/>
      <c r="B100" s="319">
        <v>104</v>
      </c>
      <c r="C100" s="320"/>
      <c r="D100" s="300"/>
      <c r="E100" s="323"/>
      <c r="F100" s="324"/>
      <c r="G100" s="328"/>
    </row>
    <row r="101" spans="1:7" ht="14.1" customHeight="1" x14ac:dyDescent="0.25">
      <c r="A101" s="318"/>
      <c r="B101" s="319">
        <v>105</v>
      </c>
      <c r="C101" s="320"/>
      <c r="D101" s="300"/>
      <c r="E101" s="323"/>
      <c r="F101" s="324"/>
      <c r="G101" s="328"/>
    </row>
    <row r="102" spans="1:7" ht="14.1" customHeight="1" x14ac:dyDescent="0.25">
      <c r="A102" s="318"/>
      <c r="B102" s="319">
        <v>106</v>
      </c>
      <c r="C102" s="320"/>
      <c r="D102" s="300"/>
      <c r="E102" s="323"/>
      <c r="F102" s="324"/>
      <c r="G102" s="328"/>
    </row>
    <row r="103" spans="1:7" ht="14.1" customHeight="1" x14ac:dyDescent="0.25">
      <c r="A103" s="318"/>
      <c r="B103" s="319">
        <v>107</v>
      </c>
      <c r="C103" s="320"/>
      <c r="D103" s="300"/>
      <c r="E103" s="323"/>
      <c r="F103" s="324"/>
      <c r="G103" s="328"/>
    </row>
    <row r="104" spans="1:7" ht="14.1" customHeight="1" x14ac:dyDescent="0.25">
      <c r="A104" s="318"/>
      <c r="B104" s="319">
        <v>108</v>
      </c>
      <c r="C104" s="320"/>
      <c r="D104" s="300"/>
      <c r="E104" s="323"/>
      <c r="F104" s="324"/>
      <c r="G104" s="328"/>
    </row>
    <row r="105" spans="1:7" ht="14.1" customHeight="1" x14ac:dyDescent="0.25">
      <c r="A105" s="318"/>
      <c r="B105" s="319">
        <v>109</v>
      </c>
      <c r="C105" s="320"/>
      <c r="D105" s="300"/>
      <c r="E105" s="323"/>
      <c r="F105" s="324"/>
      <c r="G105" s="328"/>
    </row>
    <row r="106" spans="1:7" ht="14.1" customHeight="1" x14ac:dyDescent="0.25">
      <c r="A106" s="318"/>
      <c r="B106" s="319">
        <v>110</v>
      </c>
      <c r="C106" s="320"/>
      <c r="D106" s="300"/>
      <c r="E106" s="323"/>
      <c r="F106" s="324"/>
      <c r="G106" s="328"/>
    </row>
    <row r="107" spans="1:7" ht="14.1" customHeight="1" x14ac:dyDescent="0.25">
      <c r="A107" s="318"/>
      <c r="B107" s="319">
        <v>111</v>
      </c>
      <c r="C107" s="320"/>
      <c r="D107" s="300"/>
      <c r="E107" s="323"/>
      <c r="F107" s="324"/>
      <c r="G107" s="328"/>
    </row>
    <row r="108" spans="1:7" ht="14.1" customHeight="1" x14ac:dyDescent="0.25">
      <c r="A108" s="318"/>
      <c r="B108" s="319">
        <v>112</v>
      </c>
      <c r="C108" s="320"/>
      <c r="D108" s="300"/>
      <c r="E108" s="323"/>
      <c r="F108" s="324"/>
      <c r="G108" s="328"/>
    </row>
    <row r="109" spans="1:7" ht="14.1" customHeight="1" x14ac:dyDescent="0.25">
      <c r="A109" s="318"/>
      <c r="B109" s="319">
        <v>113</v>
      </c>
      <c r="C109" s="320"/>
      <c r="D109" s="300"/>
      <c r="E109" s="323"/>
      <c r="F109" s="300"/>
      <c r="G109" s="328"/>
    </row>
  </sheetData>
  <sheetProtection password="F01B" sheet="1" objects="1" scenarios="1"/>
  <mergeCells count="1">
    <mergeCell ref="A1:G1"/>
  </mergeCells>
  <phoneticPr fontId="0" type="noConversion"/>
  <printOptions horizontalCentered="1" gridLines="1"/>
  <pageMargins left="0.7" right="0.7" top="0.75" bottom="0.75" header="0.3" footer="0.3"/>
  <pageSetup scale="34" orientation="landscape" blackAndWhite="1" r:id="rId1"/>
  <headerFooter alignWithMargins="0">
    <oddHeader>&amp;C&amp;"Arial,Bold"SDGE Interruptible and Price Responsive Programs
 2016 Event Summary</oddHeader>
    <oddFooter>&amp;L&amp;F&amp;R&amp;D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A81A7C3B71904D9DF67DA4ADCDEDDE" ma:contentTypeVersion="3" ma:contentTypeDescription="Create a new document." ma:contentTypeScope="" ma:versionID="ac2d340e4edad36afa7d49d55c7935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1a2eb714f8f18ab3e073234d663f1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9CE5A5-034A-44C5-96B1-1FD952A1C468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E9ECE1D-ADC2-43AA-A61E-5C61F69CE9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9BCF475-1DB9-4419-A429-5743143F8A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Program MW@ </vt:lpstr>
      <vt:lpstr>Ex ante LI &amp; Eligibility Stats</vt:lpstr>
      <vt:lpstr>Ex post LI &amp; Eligibility Stats</vt:lpstr>
      <vt:lpstr>TA-TI Distribution@</vt:lpstr>
      <vt:lpstr>TA-TI Distribution@_v2</vt:lpstr>
      <vt:lpstr>DRP Expenditures</vt:lpstr>
      <vt:lpstr>Marketing</vt:lpstr>
      <vt:lpstr>Fund Shift Log</vt:lpstr>
      <vt:lpstr>Event Summary</vt:lpstr>
      <vt:lpstr>SDGE Costs - AMDRMA Balance</vt:lpstr>
      <vt:lpstr>SDGE Costs -GRC </vt:lpstr>
      <vt:lpstr>SDGE Costs -DPDRMA</vt:lpstr>
      <vt:lpstr>'DRP Expenditures'!Print_Area</vt:lpstr>
      <vt:lpstr>'Event Summary'!Print_Area</vt:lpstr>
      <vt:lpstr>'Ex ante LI &amp; Eligibility Stats'!Print_Area</vt:lpstr>
      <vt:lpstr>'Ex post LI &amp; Eligibility Stats'!Print_Area</vt:lpstr>
      <vt:lpstr>Marketing!Print_Area</vt:lpstr>
      <vt:lpstr>'Program MW@ '!Print_Area</vt:lpstr>
      <vt:lpstr>'SDGE Costs - AMDRMA Balance'!Print_Area</vt:lpstr>
      <vt:lpstr>'SDGE Costs -DPDRMA'!Print_Area</vt:lpstr>
      <vt:lpstr>'SDGE Costs -GRC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Bode2</dc:creator>
  <cp:lastModifiedBy>Guillermo Valdivieso</cp:lastModifiedBy>
  <cp:lastPrinted>2016-08-05T21:15:46Z</cp:lastPrinted>
  <dcterms:created xsi:type="dcterms:W3CDTF">2013-01-03T17:03:43Z</dcterms:created>
  <dcterms:modified xsi:type="dcterms:W3CDTF">2016-08-18T19:23:17Z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0x010100C8A81A7C3B71904D9DF67DA4ADCDEDDE</vt:lpwstr>
  </property>
  <property fmtid="{D5CDD505-2E9C-101B-9397-08002B2CF9AE}" pid="3" name="BExAnalyzer_OldName">
    <vt:lpwstr>05 May 2016 CPUC Report.xlsx</vt:lpwstr>
  </property>
</Properties>
</file>