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gvaldivi\AppData\Local\Microsoft\Windows\INetCache\Content.Outlook\ZDDHCQYJ\"/>
    </mc:Choice>
  </mc:AlternateContent>
  <xr:revisionPtr revIDLastSave="0" documentId="13_ncr:1_{73E344D0-13BD-482E-8141-9931FB3BFB46}" xr6:coauthVersionLast="41" xr6:coauthVersionMax="41" xr10:uidLastSave="{00000000-0000-0000-0000-000000000000}"/>
  <bookViews>
    <workbookView xWindow="-120" yWindow="-120" windowWidth="29040" windowHeight="15840" tabRatio="873" xr2:uid="{00000000-000D-0000-FFFF-FFFF00000000}"/>
  </bookViews>
  <sheets>
    <sheet name="Program MW " sheetId="33" r:id="rId1"/>
    <sheet name="Ex ante LI &amp; Eligibility Stats" sheetId="34" r:id="rId2"/>
    <sheet name="Ex post LI &amp; Eligibility Stats" sheetId="35" r:id="rId3"/>
    <sheet name="TA-TI Distribution@" sheetId="36" state="hidden" r:id="rId4"/>
    <sheet name="Auto DR (TI) &amp; Tech Deployment" sheetId="131" r:id="rId5"/>
    <sheet name="DRP Expenditures" sheetId="117" r:id="rId6"/>
    <sheet name="17-18 DRP Carryover Expend" sheetId="135" r:id="rId7"/>
    <sheet name="Fund Shift Log" sheetId="29" r:id="rId8"/>
    <sheet name="Marketing" sheetId="134" r:id="rId9"/>
    <sheet name="Event Summary" sheetId="57" r:id="rId10"/>
    <sheet name="SDGE Costs - AMDRMA Balance" sheetId="119" r:id="rId11"/>
    <sheet name="SDGE Costs -GRC " sheetId="120" r:id="rId12"/>
    <sheet name="SDGE Costs -DPDRMA" sheetId="129" r:id="rId13"/>
    <sheet name="Business Unit Reporting" sheetId="136" state="hidden" r:id="rId14"/>
  </sheets>
  <externalReferences>
    <externalReference r:id="rId15"/>
    <externalReference r:id="rId16"/>
  </externalReferences>
  <definedNames>
    <definedName name="_DAT1" localSheetId="5">#REF!</definedName>
    <definedName name="_DAT1" localSheetId="8">#REF!</definedName>
    <definedName name="_DAT1" localSheetId="10">#REF!</definedName>
    <definedName name="_DAT1" localSheetId="12">#REF!</definedName>
    <definedName name="_DAT1">#REF!</definedName>
    <definedName name="_DAT10" localSheetId="5">#REF!</definedName>
    <definedName name="_DAT10" localSheetId="8">#REF!</definedName>
    <definedName name="_DAT10" localSheetId="12">#REF!</definedName>
    <definedName name="_DAT10">#REF!</definedName>
    <definedName name="_DAT11" localSheetId="5">#REF!</definedName>
    <definedName name="_DAT11" localSheetId="8">#REF!</definedName>
    <definedName name="_DAT11" localSheetId="12">#REF!</definedName>
    <definedName name="_DAT11">#REF!</definedName>
    <definedName name="_DAT12" localSheetId="5">#REF!</definedName>
    <definedName name="_DAT12" localSheetId="12">#REF!</definedName>
    <definedName name="_DAT12">#REF!</definedName>
    <definedName name="_DAT13" localSheetId="5">#REF!</definedName>
    <definedName name="_DAT13" localSheetId="12">#REF!</definedName>
    <definedName name="_DAT13">#REF!</definedName>
    <definedName name="_DAT14" localSheetId="5">#REF!</definedName>
    <definedName name="_DAT14" localSheetId="12">#REF!</definedName>
    <definedName name="_DAT14">#REF!</definedName>
    <definedName name="_DAT15" localSheetId="5">#REF!</definedName>
    <definedName name="_DAT15" localSheetId="12">#REF!</definedName>
    <definedName name="_DAT15">#REF!</definedName>
    <definedName name="_DAT16" localSheetId="5">#REF!</definedName>
    <definedName name="_DAT16" localSheetId="12">#REF!</definedName>
    <definedName name="_DAT16">#REF!</definedName>
    <definedName name="_DAT17" localSheetId="5">#REF!</definedName>
    <definedName name="_DAT17" localSheetId="12">#REF!</definedName>
    <definedName name="_DAT17">#REF!</definedName>
    <definedName name="_DAT2" localSheetId="5">#REF!</definedName>
    <definedName name="_DAT2" localSheetId="12">#REF!</definedName>
    <definedName name="_DAT2">#REF!</definedName>
    <definedName name="_DAT3" localSheetId="5">#REF!</definedName>
    <definedName name="_DAT3" localSheetId="12">#REF!</definedName>
    <definedName name="_DAT3">#REF!</definedName>
    <definedName name="_DAT4" localSheetId="5">#REF!</definedName>
    <definedName name="_DAT4" localSheetId="12">#REF!</definedName>
    <definedName name="_DAT4">#REF!</definedName>
    <definedName name="_DAT5" localSheetId="5">#REF!</definedName>
    <definedName name="_DAT5" localSheetId="12">#REF!</definedName>
    <definedName name="_DAT5">#REF!</definedName>
    <definedName name="_DAT6" localSheetId="5">#REF!</definedName>
    <definedName name="_DAT6" localSheetId="12">#REF!</definedName>
    <definedName name="_DAT6">#REF!</definedName>
    <definedName name="_DAT7" localSheetId="5">#REF!</definedName>
    <definedName name="_DAT7" localSheetId="12">#REF!</definedName>
    <definedName name="_DAT7">#REF!</definedName>
    <definedName name="_DAT8" localSheetId="5">#REF!</definedName>
    <definedName name="_DAT8" localSheetId="12">#REF!</definedName>
    <definedName name="_DAT8">#REF!</definedName>
    <definedName name="_DAT9" localSheetId="5">#REF!</definedName>
    <definedName name="_DAT9" localSheetId="12">#REF!</definedName>
    <definedName name="_DAT9">#REF!</definedName>
    <definedName name="_xlnm._FilterDatabase" localSheetId="9" hidden="1">'Event Summary'!#REF!</definedName>
    <definedName name="Achieve_GRC" localSheetId="5">#REF!</definedName>
    <definedName name="Achieve_GRC" localSheetId="1">#REF!</definedName>
    <definedName name="Achieve_GRC" localSheetId="2">#REF!</definedName>
    <definedName name="Achieve_GRC" localSheetId="0">#REF!</definedName>
    <definedName name="Achieve_GRC" localSheetId="12">#REF!</definedName>
    <definedName name="Achieve_GRC" localSheetId="3">#REF!</definedName>
    <definedName name="Achieve_GRC">#REF!</definedName>
    <definedName name="Achieve_Service_Excellenc" localSheetId="5">#REF!</definedName>
    <definedName name="Achieve_Service_Excellenc" localSheetId="1">#REF!</definedName>
    <definedName name="Achieve_Service_Excellenc" localSheetId="2">#REF!</definedName>
    <definedName name="Achieve_Service_Excellenc" localSheetId="0">#REF!</definedName>
    <definedName name="Achieve_Service_Excellenc" localSheetId="12">#REF!</definedName>
    <definedName name="Achieve_Service_Excellenc" localSheetId="3">#REF!</definedName>
    <definedName name="Achieve_Service_Excellenc">#REF!</definedName>
    <definedName name="Achieve_Service_Excellence" localSheetId="5">#REF!</definedName>
    <definedName name="Achieve_Service_Excellence" localSheetId="1">#REF!</definedName>
    <definedName name="Achieve_Service_Excellence" localSheetId="2">#REF!</definedName>
    <definedName name="Achieve_Service_Excellence" localSheetId="0">#REF!</definedName>
    <definedName name="Achieve_Service_Excellence" localSheetId="12">#REF!</definedName>
    <definedName name="Achieve_Service_Excellence" localSheetId="3">#REF!</definedName>
    <definedName name="Achieve_Service_Excellence">#REF!</definedName>
    <definedName name="Collect_Revenue" localSheetId="5">#REF!</definedName>
    <definedName name="Collect_Revenue" localSheetId="1">#REF!</definedName>
    <definedName name="Collect_Revenue" localSheetId="2">#REF!</definedName>
    <definedName name="Collect_Revenue" localSheetId="0">#REF!</definedName>
    <definedName name="Collect_Revenue" localSheetId="12">#REF!</definedName>
    <definedName name="Collect_Revenue" localSheetId="3">#REF!</definedName>
    <definedName name="Collect_Revenue">#REF!</definedName>
    <definedName name="DATA1" localSheetId="5">#REF!</definedName>
    <definedName name="DATA1" localSheetId="12">#REF!</definedName>
    <definedName name="DATA1">#REF!</definedName>
    <definedName name="DATA10" localSheetId="5">#REF!</definedName>
    <definedName name="DATA10" localSheetId="12">#REF!</definedName>
    <definedName name="DATA10">#REF!</definedName>
    <definedName name="DATA11" localSheetId="5">#REF!</definedName>
    <definedName name="DATA11" localSheetId="12">#REF!</definedName>
    <definedName name="DATA11">#REF!</definedName>
    <definedName name="DATA12" localSheetId="5">#REF!</definedName>
    <definedName name="DATA12" localSheetId="12">#REF!</definedName>
    <definedName name="DATA12">#REF!</definedName>
    <definedName name="DATA13" localSheetId="5">#REF!</definedName>
    <definedName name="DATA13" localSheetId="12">#REF!</definedName>
    <definedName name="DATA13">#REF!</definedName>
    <definedName name="DATA14" localSheetId="5">#REF!</definedName>
    <definedName name="DATA14" localSheetId="12">#REF!</definedName>
    <definedName name="DATA14">#REF!</definedName>
    <definedName name="DATA15" localSheetId="5">#REF!</definedName>
    <definedName name="DATA15" localSheetId="12">#REF!</definedName>
    <definedName name="DATA15">#REF!</definedName>
    <definedName name="DATA16" localSheetId="5">#REF!</definedName>
    <definedName name="DATA16" localSheetId="12">#REF!</definedName>
    <definedName name="DATA16">#REF!</definedName>
    <definedName name="DATA17" localSheetId="5">#REF!</definedName>
    <definedName name="DATA17" localSheetId="12">#REF!</definedName>
    <definedName name="DATA17">#REF!</definedName>
    <definedName name="DATA18" localSheetId="5">#REF!</definedName>
    <definedName name="DATA18" localSheetId="12">#REF!</definedName>
    <definedName name="DATA18">#REF!</definedName>
    <definedName name="DATA19" localSheetId="5">#REF!</definedName>
    <definedName name="DATA19" localSheetId="12">#REF!</definedName>
    <definedName name="DATA19">#REF!</definedName>
    <definedName name="DATA2" localSheetId="5">#REF!</definedName>
    <definedName name="DATA2" localSheetId="12">#REF!</definedName>
    <definedName name="DATA2">#REF!</definedName>
    <definedName name="DATA20" localSheetId="5">#REF!</definedName>
    <definedName name="DATA20" localSheetId="12">#REF!</definedName>
    <definedName name="DATA20">#REF!</definedName>
    <definedName name="DATA3" localSheetId="5">#REF!</definedName>
    <definedName name="DATA3" localSheetId="12">#REF!</definedName>
    <definedName name="DATA3">#REF!</definedName>
    <definedName name="DATA4" localSheetId="5">#REF!</definedName>
    <definedName name="DATA4" localSheetId="12">#REF!</definedName>
    <definedName name="DATA4">#REF!</definedName>
    <definedName name="DATA5" localSheetId="5">#REF!</definedName>
    <definedName name="DATA5" localSheetId="12">#REF!</definedName>
    <definedName name="DATA5">#REF!</definedName>
    <definedName name="data5000">'[1]ACTMA Detail'!$N$2:$N$102</definedName>
    <definedName name="DATA6" localSheetId="5">#REF!</definedName>
    <definedName name="DATA6" localSheetId="8">#REF!</definedName>
    <definedName name="DATA6" localSheetId="12">#REF!</definedName>
    <definedName name="DATA6">#REF!</definedName>
    <definedName name="DATA7" localSheetId="5">#REF!</definedName>
    <definedName name="DATA7" localSheetId="8">#REF!</definedName>
    <definedName name="DATA7" localSheetId="12">#REF!</definedName>
    <definedName name="DATA7">#REF!</definedName>
    <definedName name="DATA8" localSheetId="5">#REF!</definedName>
    <definedName name="DATA8" localSheetId="8">#REF!</definedName>
    <definedName name="DATA8" localSheetId="12">#REF!</definedName>
    <definedName name="DATA8">#REF!</definedName>
    <definedName name="DATA9" localSheetId="5">#REF!</definedName>
    <definedName name="DATA9" localSheetId="12">#REF!</definedName>
    <definedName name="DATA9">#REF!</definedName>
    <definedName name="DayTypeList" localSheetId="5">[2]LOOKUP!$E$2:$E$14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5">#REF!</definedName>
    <definedName name="Enhance_Delivery_Channels" localSheetId="1">#REF!</definedName>
    <definedName name="Enhance_Delivery_Channels" localSheetId="2">#REF!</definedName>
    <definedName name="Enhance_Delivery_Channels" localSheetId="0">#REF!</definedName>
    <definedName name="Enhance_Delivery_Channels" localSheetId="12">#REF!</definedName>
    <definedName name="Enhance_Delivery_Channels" localSheetId="3">#REF!</definedName>
    <definedName name="Enhance_Delivery_Channels">#REF!</definedName>
    <definedName name="Ethics_and_Compliance" localSheetId="5">#REF!</definedName>
    <definedName name="Ethics_and_Compliance" localSheetId="1">#REF!</definedName>
    <definedName name="Ethics_and_Compliance" localSheetId="2">#REF!</definedName>
    <definedName name="Ethics_and_Compliance" localSheetId="0">#REF!</definedName>
    <definedName name="Ethics_and_Compliance" localSheetId="12">#REF!</definedName>
    <definedName name="Ethics_and_Compliance" localSheetId="3">#REF!</definedName>
    <definedName name="Ethics_and_Compliance">#REF!</definedName>
    <definedName name="Launch_Refine_Market" localSheetId="5">#REF!</definedName>
    <definedName name="Launch_Refine_Market" localSheetId="1">#REF!</definedName>
    <definedName name="Launch_Refine_Market" localSheetId="2">#REF!</definedName>
    <definedName name="Launch_Refine_Market" localSheetId="0">#REF!</definedName>
    <definedName name="Launch_Refine_Market" localSheetId="12">#REF!</definedName>
    <definedName name="Launch_Refine_Market" localSheetId="3">#REF!</definedName>
    <definedName name="Launch_Refine_Market">#REF!</definedName>
    <definedName name="Manage_AMI" localSheetId="5">#REF!</definedName>
    <definedName name="Manage_AMI" localSheetId="1">#REF!</definedName>
    <definedName name="Manage_AMI" localSheetId="2">#REF!</definedName>
    <definedName name="Manage_AMI" localSheetId="0">#REF!</definedName>
    <definedName name="Manage_AMI" localSheetId="12">#REF!</definedName>
    <definedName name="Manage_AMI" localSheetId="3">#REF!</definedName>
    <definedName name="Manage_AMI">#REF!</definedName>
    <definedName name="Meet_Financial_Targets" localSheetId="5">#REF!</definedName>
    <definedName name="Meet_Financial_Targets" localSheetId="1">#REF!</definedName>
    <definedName name="Meet_Financial_Targets" localSheetId="2">#REF!</definedName>
    <definedName name="Meet_Financial_Targets" localSheetId="0">#REF!</definedName>
    <definedName name="Meet_Financial_Targets" localSheetId="12">#REF!</definedName>
    <definedName name="Meet_Financial_Targets" localSheetId="3">#REF!</definedName>
    <definedName name="Meet_Financial_Targets">#REF!</definedName>
    <definedName name="nnnnnn">'[1]ACTMA Detail'!$P$2:$P$102</definedName>
    <definedName name="_xlnm.Print_Area" localSheetId="6">'17-18 DRP Carryover Expend'!$A$1:$N$36</definedName>
    <definedName name="_xlnm.Print_Area" localSheetId="4">'Auto DR (TI) &amp; Tech Deployment'!$A$1:$P$45</definedName>
    <definedName name="_xlnm.Print_Area" localSheetId="5">'DRP Expenditures'!$A$1:$T$55</definedName>
    <definedName name="_xlnm.Print_Area" localSheetId="1">'Ex ante LI &amp; Eligibility Stats'!$A$1:$O$19</definedName>
    <definedName name="_xlnm.Print_Area" localSheetId="2">'Ex post LI &amp; Eligibility Stats'!$A$1:$O$26</definedName>
    <definedName name="_xlnm.Print_Area" localSheetId="7">'Fund Shift Log'!$A$1:$E$19</definedName>
    <definedName name="_xlnm.Print_Area" localSheetId="8">Marketing!$A$1:$Q$49</definedName>
    <definedName name="_xlnm.Print_Area" localSheetId="0">'Program MW '!$A$1:$S$60</definedName>
    <definedName name="_xlnm.Print_Area" localSheetId="10">'SDGE Costs - AMDRMA Balance'!$A$1:$N$54</definedName>
    <definedName name="_xlnm.Print_Area" localSheetId="12">'SDGE Costs -DPDRMA'!$A$2:$N$45</definedName>
    <definedName name="_xlnm.Print_Area" localSheetId="11">'SDGE Costs -GRC '!$A$1:$N$36</definedName>
    <definedName name="Reliability_Expectations" localSheetId="5">#REF!</definedName>
    <definedName name="Reliability_Expectations" localSheetId="1">#REF!</definedName>
    <definedName name="Reliability_Expectations" localSheetId="2">#REF!</definedName>
    <definedName name="Reliability_Expectations" localSheetId="8">#REF!</definedName>
    <definedName name="Reliability_Expectations" localSheetId="0">#REF!</definedName>
    <definedName name="Reliability_Expectations" localSheetId="12">#REF!</definedName>
    <definedName name="Reliability_Expectations" localSheetId="3">#REF!</definedName>
    <definedName name="Reliability_Expectations">#REF!</definedName>
    <definedName name="Stabilization_Customer_Base" localSheetId="5">#REF!</definedName>
    <definedName name="Stabilization_Customer_Base" localSheetId="1">#REF!</definedName>
    <definedName name="Stabilization_Customer_Base" localSheetId="2">#REF!</definedName>
    <definedName name="Stabilization_Customer_Base" localSheetId="8">#REF!</definedName>
    <definedName name="Stabilization_Customer_Base" localSheetId="0">#REF!</definedName>
    <definedName name="Stabilization_Customer_Base" localSheetId="12">#REF!</definedName>
    <definedName name="Stabilization_Customer_Base" localSheetId="3">#REF!</definedName>
    <definedName name="Stabilization_Customer_Base">#REF!</definedName>
    <definedName name="TEST0" localSheetId="5">#REF!</definedName>
    <definedName name="TEST0" localSheetId="8">#REF!</definedName>
    <definedName name="TEST0" localSheetId="12">#REF!</definedName>
    <definedName name="TEST0">#REF!</definedName>
    <definedName name="TEST1" localSheetId="5">#REF!</definedName>
    <definedName name="TEST1" localSheetId="12">#REF!</definedName>
    <definedName name="TEST1">#REF!</definedName>
    <definedName name="TEST10" localSheetId="5">#REF!</definedName>
    <definedName name="TEST10" localSheetId="12">#REF!</definedName>
    <definedName name="TEST10">#REF!</definedName>
    <definedName name="TEST11" localSheetId="5">#REF!</definedName>
    <definedName name="TEST11" localSheetId="12">#REF!</definedName>
    <definedName name="TEST11">#REF!</definedName>
    <definedName name="TEST12" localSheetId="5">#REF!</definedName>
    <definedName name="TEST12" localSheetId="12">#REF!</definedName>
    <definedName name="TEST12">#REF!</definedName>
    <definedName name="TEST13" localSheetId="5">#REF!</definedName>
    <definedName name="TEST13" localSheetId="12">#REF!</definedName>
    <definedName name="TEST13">#REF!</definedName>
    <definedName name="TEST14" localSheetId="5">#REF!</definedName>
    <definedName name="TEST14" localSheetId="12">#REF!</definedName>
    <definedName name="TEST14">#REF!</definedName>
    <definedName name="TEST15" localSheetId="5">#REF!</definedName>
    <definedName name="TEST15" localSheetId="12">#REF!</definedName>
    <definedName name="TEST15">#REF!</definedName>
    <definedName name="TEST16" localSheetId="5">#REF!</definedName>
    <definedName name="TEST16" localSheetId="12">#REF!</definedName>
    <definedName name="TEST16">#REF!</definedName>
    <definedName name="TEST17" localSheetId="5">#REF!</definedName>
    <definedName name="TEST17" localSheetId="12">#REF!</definedName>
    <definedName name="TEST17">#REF!</definedName>
    <definedName name="TEST18" localSheetId="5">#REF!</definedName>
    <definedName name="TEST18" localSheetId="12">#REF!</definedName>
    <definedName name="TEST18">#REF!</definedName>
    <definedName name="TEST19" localSheetId="5">#REF!</definedName>
    <definedName name="TEST19" localSheetId="12">#REF!</definedName>
    <definedName name="TEST19">#REF!</definedName>
    <definedName name="TEST2" localSheetId="5">#REF!</definedName>
    <definedName name="TEST2" localSheetId="12">#REF!</definedName>
    <definedName name="TEST2">#REF!</definedName>
    <definedName name="TEST20" localSheetId="5">#REF!</definedName>
    <definedName name="TEST20" localSheetId="12">#REF!</definedName>
    <definedName name="TEST20">#REF!</definedName>
    <definedName name="TEST21" localSheetId="5">#REF!</definedName>
    <definedName name="TEST21" localSheetId="12">#REF!</definedName>
    <definedName name="TEST21">#REF!</definedName>
    <definedName name="TEST22" localSheetId="5">#REF!</definedName>
    <definedName name="TEST22" localSheetId="12">#REF!</definedName>
    <definedName name="TEST22">#REF!</definedName>
    <definedName name="TEST23" localSheetId="5">#REF!</definedName>
    <definedName name="TEST23" localSheetId="12">#REF!</definedName>
    <definedName name="TEST23">#REF!</definedName>
    <definedName name="TEST24" localSheetId="5">#REF!</definedName>
    <definedName name="TEST24" localSheetId="12">#REF!</definedName>
    <definedName name="TEST24">#REF!</definedName>
    <definedName name="TEST25" localSheetId="5">#REF!</definedName>
    <definedName name="TEST25" localSheetId="12">#REF!</definedName>
    <definedName name="TEST25">#REF!</definedName>
    <definedName name="TEST26" localSheetId="5">#REF!</definedName>
    <definedName name="TEST26" localSheetId="12">#REF!</definedName>
    <definedName name="TEST26">#REF!</definedName>
    <definedName name="TEST27" localSheetId="5">#REF!</definedName>
    <definedName name="TEST27" localSheetId="12">#REF!</definedName>
    <definedName name="TEST27">#REF!</definedName>
    <definedName name="TEST28" localSheetId="5">#REF!</definedName>
    <definedName name="TEST28" localSheetId="12">#REF!</definedName>
    <definedName name="TEST28">#REF!</definedName>
    <definedName name="TEST3" localSheetId="5">#REF!</definedName>
    <definedName name="TEST3" localSheetId="12">#REF!</definedName>
    <definedName name="TEST3">#REF!</definedName>
    <definedName name="TEST4" localSheetId="5">#REF!</definedName>
    <definedName name="TEST4" localSheetId="12">#REF!</definedName>
    <definedName name="TEST4">#REF!</definedName>
    <definedName name="TEST5" localSheetId="5">#REF!</definedName>
    <definedName name="TEST5" localSheetId="12">#REF!</definedName>
    <definedName name="TEST5">#REF!</definedName>
    <definedName name="TEST6" localSheetId="5">#REF!</definedName>
    <definedName name="TEST6" localSheetId="12">#REF!</definedName>
    <definedName name="TEST6">#REF!</definedName>
    <definedName name="TEST7" localSheetId="5">#REF!</definedName>
    <definedName name="TEST7" localSheetId="12">#REF!</definedName>
    <definedName name="TEST7">#REF!</definedName>
    <definedName name="TEST8" localSheetId="5">#REF!</definedName>
    <definedName name="TEST8" localSheetId="12">#REF!</definedName>
    <definedName name="TEST8">#REF!</definedName>
    <definedName name="TEST9" localSheetId="5">#REF!</definedName>
    <definedName name="TEST9" localSheetId="12">#REF!</definedName>
    <definedName name="TEST9">#REF!</definedName>
    <definedName name="TESTHKEY" localSheetId="5">#REF!</definedName>
    <definedName name="TESTHKEY" localSheetId="12">#REF!</definedName>
    <definedName name="TESTHKEY">#REF!</definedName>
    <definedName name="TESTKEYS" localSheetId="5">#REF!</definedName>
    <definedName name="TESTKEYS" localSheetId="12">#REF!</definedName>
    <definedName name="TESTKEYS">#REF!</definedName>
    <definedName name="TESTVKEY" localSheetId="5">#REF!</definedName>
    <definedName name="TESTVKEY" localSheetId="12">#REF!</definedName>
    <definedName name="TESTVKEY">#REF!</definedName>
    <definedName name="Valued_Service_Provider" localSheetId="5">#REF!</definedName>
    <definedName name="Valued_Service_Provider" localSheetId="1">#REF!</definedName>
    <definedName name="Valued_Service_Provider" localSheetId="2">#REF!</definedName>
    <definedName name="Valued_Service_Provider" localSheetId="0">#REF!</definedName>
    <definedName name="Valued_Service_Provider" localSheetId="12">#REF!</definedName>
    <definedName name="Valued_Service_Provider" localSheetId="3">#REF!</definedName>
    <definedName name="Valued_Service_Provider">#REF!</definedName>
    <definedName name="Voice_of_Customer" localSheetId="5">#REF!</definedName>
    <definedName name="Voice_of_Customer" localSheetId="1">#REF!</definedName>
    <definedName name="Voice_of_Customer" localSheetId="2">#REF!</definedName>
    <definedName name="Voice_of_Customer" localSheetId="0">#REF!</definedName>
    <definedName name="Voice_of_Customer" localSheetId="12">#REF!</definedName>
    <definedName name="Voice_of_Customer" localSheetId="3">#REF!</definedName>
    <definedName name="Voice_of_Customer">#REF!</definedName>
    <definedName name="Z_E5DF83AA_DC53_4EBF_A523_33DA0FE284E8_.wvu.PrintArea" localSheetId="2" hidden="1">'Ex post LI &amp; Eligibility Stats'!$A$2:$O$22</definedName>
    <definedName name="Z_E5DF83AA_DC53_4EBF_A523_33DA0FE284E8_.wvu.PrintArea" localSheetId="0" hidden="1">'Program MW '!$A$1:$Z$50</definedName>
    <definedName name="Z_E5DF83AA_DC53_4EBF_A523_33DA0FE284E8_.wvu.PrintArea" localSheetId="3" hidden="1">'TA-TI Distribution@'!#REF!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129" l="1"/>
  <c r="I24" i="131" l="1"/>
  <c r="I23" i="131"/>
  <c r="I34" i="131"/>
  <c r="I35" i="131"/>
  <c r="I38" i="131"/>
  <c r="I37" i="131"/>
  <c r="I36" i="131"/>
  <c r="H23" i="131" l="1"/>
  <c r="N22" i="129" l="1"/>
  <c r="N21" i="129"/>
  <c r="H35" i="131" l="1"/>
  <c r="H34" i="131"/>
  <c r="H24" i="131"/>
  <c r="K32" i="131" l="1"/>
  <c r="G34" i="131" l="1"/>
  <c r="G35" i="131"/>
  <c r="G37" i="131"/>
  <c r="G38" i="131"/>
  <c r="G36" i="131"/>
  <c r="G24" i="131"/>
  <c r="G23" i="131"/>
  <c r="F38" i="131" l="1"/>
  <c r="F35" i="131"/>
  <c r="F34" i="131"/>
  <c r="F37" i="131"/>
  <c r="F36" i="131"/>
  <c r="M24" i="131"/>
  <c r="L24" i="131"/>
  <c r="K24" i="131"/>
  <c r="J24" i="131"/>
  <c r="M23" i="131"/>
  <c r="M25" i="131" s="1"/>
  <c r="L23" i="131"/>
  <c r="K23" i="131"/>
  <c r="J23" i="131"/>
  <c r="F23" i="131"/>
  <c r="F24" i="131"/>
  <c r="O11" i="35"/>
  <c r="E35" i="131"/>
  <c r="E34" i="131"/>
  <c r="E38" i="131"/>
  <c r="E37" i="131"/>
  <c r="E36" i="131"/>
  <c r="E24" i="131"/>
  <c r="E23" i="131"/>
  <c r="E22" i="131"/>
  <c r="N8" i="35"/>
  <c r="D38" i="131"/>
  <c r="D34" i="131"/>
  <c r="D37" i="131"/>
  <c r="D36" i="131"/>
  <c r="D35" i="131"/>
  <c r="J17" i="33"/>
  <c r="D33" i="131" s="1"/>
  <c r="J16" i="33"/>
  <c r="D22" i="131" s="1"/>
  <c r="D23" i="131"/>
  <c r="D24" i="131"/>
  <c r="E24" i="33"/>
  <c r="C37" i="131"/>
  <c r="C36" i="131"/>
  <c r="C35" i="131"/>
  <c r="C34" i="131"/>
  <c r="B34" i="131"/>
  <c r="C24" i="131"/>
  <c r="C23" i="131"/>
  <c r="B24" i="131"/>
  <c r="B23" i="131"/>
  <c r="C38" i="131"/>
  <c r="B38" i="131"/>
  <c r="B37" i="131"/>
  <c r="B36" i="131"/>
  <c r="B35" i="131"/>
  <c r="N15" i="129"/>
  <c r="C40" i="134"/>
  <c r="C18" i="33"/>
  <c r="C19" i="33"/>
  <c r="C16" i="33"/>
  <c r="H38" i="131"/>
  <c r="E33" i="33"/>
  <c r="C17" i="33"/>
  <c r="B48" i="119"/>
  <c r="B33" i="119"/>
  <c r="L48" i="119"/>
  <c r="L33" i="119"/>
  <c r="M48" i="119"/>
  <c r="Q15" i="134"/>
  <c r="O46" i="134"/>
  <c r="O45" i="134"/>
  <c r="O43" i="134"/>
  <c r="O44" i="134"/>
  <c r="O39" i="134"/>
  <c r="O38" i="134"/>
  <c r="O37" i="134"/>
  <c r="O36" i="134"/>
  <c r="O35" i="134"/>
  <c r="O23" i="134"/>
  <c r="O22" i="134"/>
  <c r="O21" i="134"/>
  <c r="O20" i="134"/>
  <c r="O19" i="134"/>
  <c r="O18" i="134"/>
  <c r="O17" i="134"/>
  <c r="O16" i="134"/>
  <c r="O15" i="134"/>
  <c r="O14" i="134"/>
  <c r="O13" i="134"/>
  <c r="O12" i="134"/>
  <c r="O11" i="134"/>
  <c r="O27" i="134"/>
  <c r="O28" i="134"/>
  <c r="O29" i="134"/>
  <c r="O30" i="134"/>
  <c r="O31" i="134"/>
  <c r="Q46" i="117"/>
  <c r="Q48" i="117" s="1"/>
  <c r="Q29" i="117"/>
  <c r="Q30" i="117" s="1"/>
  <c r="Q14" i="117"/>
  <c r="Q16" i="117" s="1"/>
  <c r="B20" i="117"/>
  <c r="C20" i="117"/>
  <c r="D20" i="117"/>
  <c r="E20" i="117"/>
  <c r="F20" i="117"/>
  <c r="G20" i="117"/>
  <c r="H20" i="117"/>
  <c r="I20" i="117"/>
  <c r="J20" i="117"/>
  <c r="K20" i="117"/>
  <c r="L20" i="117"/>
  <c r="M20" i="117"/>
  <c r="N50" i="117"/>
  <c r="O47" i="117"/>
  <c r="P47" i="117" s="1"/>
  <c r="S47" i="117" s="1"/>
  <c r="O34" i="117"/>
  <c r="P34" i="117" s="1"/>
  <c r="S34" i="117" s="1"/>
  <c r="O33" i="117"/>
  <c r="P33" i="117" s="1"/>
  <c r="S33" i="117" s="1"/>
  <c r="O35" i="117"/>
  <c r="P35" i="117" s="1"/>
  <c r="O36" i="117"/>
  <c r="P36" i="117" s="1"/>
  <c r="S36" i="117" s="1"/>
  <c r="Q37" i="117"/>
  <c r="O19" i="117"/>
  <c r="P19" i="117" s="1"/>
  <c r="O11" i="117"/>
  <c r="P11" i="117" s="1"/>
  <c r="S11" i="117" s="1"/>
  <c r="F17" i="33"/>
  <c r="G17" i="33"/>
  <c r="C33" i="131" s="1"/>
  <c r="I17" i="33"/>
  <c r="J18" i="33"/>
  <c r="J19" i="33"/>
  <c r="J20" i="33"/>
  <c r="H36" i="131" s="1"/>
  <c r="J21" i="33"/>
  <c r="H37" i="131" s="1"/>
  <c r="L17" i="33"/>
  <c r="M17" i="33"/>
  <c r="O17" i="33"/>
  <c r="O18" i="33"/>
  <c r="O19" i="33"/>
  <c r="O20" i="33"/>
  <c r="O21" i="33"/>
  <c r="F18" i="33"/>
  <c r="G18" i="33"/>
  <c r="I18" i="33"/>
  <c r="L18" i="33"/>
  <c r="L19" i="33"/>
  <c r="L20" i="33"/>
  <c r="L21" i="33"/>
  <c r="M18" i="33"/>
  <c r="F19" i="33"/>
  <c r="G19" i="33"/>
  <c r="I19" i="33"/>
  <c r="I20" i="33"/>
  <c r="I21" i="33"/>
  <c r="M19" i="33"/>
  <c r="F20" i="33"/>
  <c r="F21" i="33"/>
  <c r="G20" i="33"/>
  <c r="M20" i="33"/>
  <c r="G21" i="33"/>
  <c r="M21" i="33"/>
  <c r="D16" i="33"/>
  <c r="B22" i="131" s="1"/>
  <c r="F16" i="33"/>
  <c r="G16" i="33"/>
  <c r="C22" i="131" s="1"/>
  <c r="C25" i="131" s="1"/>
  <c r="I16" i="33"/>
  <c r="L16" i="33"/>
  <c r="M16" i="33"/>
  <c r="S40" i="33"/>
  <c r="S39" i="33"/>
  <c r="P39" i="33"/>
  <c r="M17" i="129"/>
  <c r="M24" i="129"/>
  <c r="M28" i="129"/>
  <c r="M33" i="129"/>
  <c r="B33" i="129"/>
  <c r="C33" i="129"/>
  <c r="D33" i="129"/>
  <c r="E33" i="129"/>
  <c r="F33" i="129"/>
  <c r="G33" i="129"/>
  <c r="H33" i="129"/>
  <c r="I33" i="129"/>
  <c r="J33" i="129"/>
  <c r="K33" i="129"/>
  <c r="L33" i="129"/>
  <c r="O46" i="117"/>
  <c r="P46" i="117" s="1"/>
  <c r="O45" i="117"/>
  <c r="P45" i="117" s="1"/>
  <c r="S45" i="117" s="1"/>
  <c r="O44" i="117"/>
  <c r="P44" i="117" s="1"/>
  <c r="S44" i="117" s="1"/>
  <c r="O39" i="33"/>
  <c r="L35" i="33"/>
  <c r="M39" i="33"/>
  <c r="M40" i="33"/>
  <c r="K13" i="131"/>
  <c r="N14" i="129"/>
  <c r="K16" i="117"/>
  <c r="I35" i="33"/>
  <c r="I46" i="33"/>
  <c r="I45" i="33"/>
  <c r="I41" i="33"/>
  <c r="J40" i="33"/>
  <c r="J39" i="33"/>
  <c r="N9" i="119"/>
  <c r="N10" i="119"/>
  <c r="N11" i="119"/>
  <c r="N12" i="119"/>
  <c r="N13" i="119"/>
  <c r="N14" i="119"/>
  <c r="N15" i="119"/>
  <c r="N16" i="119"/>
  <c r="N17" i="119"/>
  <c r="N18" i="119"/>
  <c r="N19" i="119"/>
  <c r="N20" i="119"/>
  <c r="N21" i="119"/>
  <c r="N22" i="119"/>
  <c r="N23" i="119"/>
  <c r="N24" i="119"/>
  <c r="N25" i="119"/>
  <c r="N26" i="119"/>
  <c r="N27" i="119"/>
  <c r="N28" i="119"/>
  <c r="N29" i="119"/>
  <c r="N30" i="119"/>
  <c r="N31" i="119"/>
  <c r="N32" i="119"/>
  <c r="B17" i="129"/>
  <c r="B24" i="129"/>
  <c r="B28" i="129"/>
  <c r="C24" i="129"/>
  <c r="D24" i="129"/>
  <c r="E24" i="129"/>
  <c r="F24" i="129"/>
  <c r="G24" i="129"/>
  <c r="H24" i="129"/>
  <c r="I24" i="129"/>
  <c r="J24" i="129"/>
  <c r="K24" i="129"/>
  <c r="L24" i="129"/>
  <c r="D17" i="129"/>
  <c r="D28" i="129"/>
  <c r="D36" i="129" s="1"/>
  <c r="D37" i="129" s="1"/>
  <c r="F17" i="129"/>
  <c r="F28" i="129"/>
  <c r="L17" i="129"/>
  <c r="L28" i="129"/>
  <c r="N20" i="129"/>
  <c r="B13" i="29"/>
  <c r="R48" i="117"/>
  <c r="R16" i="117"/>
  <c r="N13" i="129"/>
  <c r="O22" i="33"/>
  <c r="L22" i="33"/>
  <c r="G13" i="131"/>
  <c r="F13" i="131"/>
  <c r="E13" i="131"/>
  <c r="G48" i="117"/>
  <c r="G41" i="117"/>
  <c r="G37" i="117"/>
  <c r="G30" i="117"/>
  <c r="G24" i="117"/>
  <c r="G16" i="117"/>
  <c r="D13" i="131"/>
  <c r="D47" i="134"/>
  <c r="C13" i="131"/>
  <c r="C33" i="119"/>
  <c r="M16" i="117"/>
  <c r="L16" i="117"/>
  <c r="J16" i="117"/>
  <c r="I16" i="117"/>
  <c r="H16" i="117"/>
  <c r="F16" i="117"/>
  <c r="E16" i="117"/>
  <c r="D16" i="117"/>
  <c r="C16" i="117"/>
  <c r="N23" i="135"/>
  <c r="M24" i="135"/>
  <c r="L24" i="135"/>
  <c r="L27" i="135"/>
  <c r="L21" i="135"/>
  <c r="L18" i="135"/>
  <c r="L30" i="135"/>
  <c r="L15" i="135"/>
  <c r="L12" i="135"/>
  <c r="K24" i="135"/>
  <c r="J24" i="135"/>
  <c r="I24" i="135"/>
  <c r="H24" i="135"/>
  <c r="G24" i="135"/>
  <c r="F24" i="135"/>
  <c r="E24" i="135"/>
  <c r="B24" i="135"/>
  <c r="C24" i="135"/>
  <c r="D24" i="135"/>
  <c r="M12" i="135"/>
  <c r="K12" i="135"/>
  <c r="J12" i="135"/>
  <c r="I12" i="135"/>
  <c r="H12" i="135"/>
  <c r="G12" i="135"/>
  <c r="F12" i="135"/>
  <c r="E12" i="135"/>
  <c r="D12" i="135"/>
  <c r="B12" i="135"/>
  <c r="C12" i="135"/>
  <c r="B27" i="135"/>
  <c r="B21" i="135"/>
  <c r="B18" i="135"/>
  <c r="B30" i="135"/>
  <c r="B15" i="135"/>
  <c r="N11" i="135"/>
  <c r="Q41" i="117"/>
  <c r="Q24" i="117"/>
  <c r="Q20" i="117"/>
  <c r="R20" i="117"/>
  <c r="A40" i="119"/>
  <c r="D41" i="33"/>
  <c r="D42" i="33"/>
  <c r="C41" i="33"/>
  <c r="C42" i="33"/>
  <c r="N45" i="119"/>
  <c r="N44" i="119"/>
  <c r="N43" i="119"/>
  <c r="N42" i="119"/>
  <c r="N41" i="119"/>
  <c r="P47" i="134"/>
  <c r="M47" i="134"/>
  <c r="L47" i="134"/>
  <c r="K47" i="134"/>
  <c r="J47" i="134"/>
  <c r="I47" i="134"/>
  <c r="H47" i="134"/>
  <c r="G47" i="134"/>
  <c r="F47" i="134"/>
  <c r="E47" i="134"/>
  <c r="C47" i="134"/>
  <c r="B47" i="134"/>
  <c r="M40" i="134"/>
  <c r="L40" i="134"/>
  <c r="K40" i="134"/>
  <c r="J40" i="134"/>
  <c r="I40" i="134"/>
  <c r="H40" i="134"/>
  <c r="G40" i="134"/>
  <c r="F40" i="134"/>
  <c r="E40" i="134"/>
  <c r="D40" i="134"/>
  <c r="B40" i="134"/>
  <c r="M32" i="134"/>
  <c r="L32" i="134"/>
  <c r="K32" i="134"/>
  <c r="J32" i="134"/>
  <c r="I32" i="134"/>
  <c r="H32" i="134"/>
  <c r="G32" i="134"/>
  <c r="F32" i="134"/>
  <c r="E32" i="134"/>
  <c r="D32" i="134"/>
  <c r="C32" i="134"/>
  <c r="B32" i="134"/>
  <c r="N29" i="135"/>
  <c r="M30" i="135"/>
  <c r="K30" i="135"/>
  <c r="J30" i="135"/>
  <c r="I30" i="135"/>
  <c r="H30" i="135"/>
  <c r="G30" i="135"/>
  <c r="F30" i="135"/>
  <c r="E30" i="135"/>
  <c r="D30" i="135"/>
  <c r="C30" i="135"/>
  <c r="M21" i="135"/>
  <c r="K21" i="135"/>
  <c r="J21" i="135"/>
  <c r="I21" i="135"/>
  <c r="H21" i="135"/>
  <c r="G21" i="135"/>
  <c r="G27" i="135"/>
  <c r="G18" i="135"/>
  <c r="G15" i="135"/>
  <c r="F21" i="135"/>
  <c r="E21" i="135"/>
  <c r="D21" i="135"/>
  <c r="C21" i="135"/>
  <c r="N20" i="135"/>
  <c r="N21" i="135" s="1"/>
  <c r="N26" i="135"/>
  <c r="N27" i="135" s="1"/>
  <c r="M18" i="135"/>
  <c r="K18" i="135"/>
  <c r="J18" i="135"/>
  <c r="I18" i="135"/>
  <c r="H18" i="135"/>
  <c r="F18" i="135"/>
  <c r="E18" i="135"/>
  <c r="D18" i="135"/>
  <c r="C18" i="135"/>
  <c r="N17" i="135"/>
  <c r="N18" i="135" s="1"/>
  <c r="C15" i="135"/>
  <c r="C27" i="135"/>
  <c r="D15" i="135"/>
  <c r="D27" i="135"/>
  <c r="E15" i="135"/>
  <c r="F15" i="135"/>
  <c r="H15" i="135"/>
  <c r="I15" i="135"/>
  <c r="J15" i="135"/>
  <c r="K15" i="135"/>
  <c r="M15" i="135"/>
  <c r="M27" i="135"/>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O15" i="117"/>
  <c r="P15" i="117" s="1"/>
  <c r="S15" i="117" s="1"/>
  <c r="O14" i="117"/>
  <c r="P14" i="117" s="1"/>
  <c r="O13" i="117"/>
  <c r="P13" i="117" s="1"/>
  <c r="S13" i="117" s="1"/>
  <c r="O12" i="117"/>
  <c r="P12" i="117" s="1"/>
  <c r="N11" i="35"/>
  <c r="N12" i="35"/>
  <c r="N10" i="35"/>
  <c r="O10" i="35"/>
  <c r="O12" i="35"/>
  <c r="N13" i="35"/>
  <c r="O13" i="35"/>
  <c r="N14" i="35"/>
  <c r="O14" i="35"/>
  <c r="N15" i="35"/>
  <c r="O15" i="35"/>
  <c r="N16" i="35"/>
  <c r="O16" i="35"/>
  <c r="N17" i="35"/>
  <c r="O17" i="35"/>
  <c r="N18" i="35"/>
  <c r="O18" i="35"/>
  <c r="O9" i="35"/>
  <c r="N9" i="35"/>
  <c r="R40" i="33"/>
  <c r="P40" i="33"/>
  <c r="O40" i="33"/>
  <c r="L40" i="33"/>
  <c r="L39" i="33"/>
  <c r="L41" i="33"/>
  <c r="L42" i="33"/>
  <c r="L43" i="33"/>
  <c r="L44" i="33"/>
  <c r="L45" i="33"/>
  <c r="L46" i="33"/>
  <c r="I40" i="33"/>
  <c r="G40" i="33"/>
  <c r="I33" i="131" s="1"/>
  <c r="F40" i="33"/>
  <c r="D40" i="33"/>
  <c r="H33" i="131" s="1"/>
  <c r="C40" i="33"/>
  <c r="S17" i="33"/>
  <c r="G33" i="131" s="1"/>
  <c r="G39" i="131" s="1"/>
  <c r="R17" i="33"/>
  <c r="R12" i="33"/>
  <c r="R16" i="33"/>
  <c r="R18" i="33"/>
  <c r="R19" i="33"/>
  <c r="R20" i="33"/>
  <c r="R21" i="33"/>
  <c r="R22" i="33"/>
  <c r="R23" i="33"/>
  <c r="P17" i="33"/>
  <c r="F33" i="131" s="1"/>
  <c r="D17" i="33"/>
  <c r="B33" i="131" s="1"/>
  <c r="A38" i="33"/>
  <c r="D32" i="131"/>
  <c r="F32" i="131" s="1"/>
  <c r="H32" i="131" s="1"/>
  <c r="J32" i="131" s="1"/>
  <c r="C32" i="131"/>
  <c r="E32" i="131" s="1"/>
  <c r="G32" i="131" s="1"/>
  <c r="M32" i="131"/>
  <c r="S42" i="33"/>
  <c r="R42" i="33"/>
  <c r="P42" i="33"/>
  <c r="O42" i="33"/>
  <c r="M42" i="33"/>
  <c r="J42" i="33"/>
  <c r="I42" i="33"/>
  <c r="G42" i="33"/>
  <c r="F42" i="33"/>
  <c r="D19" i="33"/>
  <c r="S19" i="33"/>
  <c r="P19" i="33"/>
  <c r="C20" i="33"/>
  <c r="D20" i="33"/>
  <c r="P20" i="33"/>
  <c r="S20" i="33"/>
  <c r="J45" i="33"/>
  <c r="D21" i="131"/>
  <c r="F21" i="131" s="1"/>
  <c r="H21" i="131" s="1"/>
  <c r="J21" i="131" s="1"/>
  <c r="L21" i="131" s="1"/>
  <c r="C21" i="131"/>
  <c r="E21" i="131" s="1"/>
  <c r="G21" i="131" s="1"/>
  <c r="I21" i="131" s="1"/>
  <c r="K21" i="131" s="1"/>
  <c r="M21" i="131" s="1"/>
  <c r="A37" i="33"/>
  <c r="C4" i="134"/>
  <c r="L13" i="131"/>
  <c r="L24" i="117"/>
  <c r="E28" i="129"/>
  <c r="E17" i="129"/>
  <c r="I32" i="33"/>
  <c r="I33" i="33" s="1"/>
  <c r="N16" i="129"/>
  <c r="I41" i="117"/>
  <c r="I37" i="117"/>
  <c r="I30" i="117"/>
  <c r="I24" i="117"/>
  <c r="H41" i="117"/>
  <c r="H37" i="117"/>
  <c r="H30" i="117"/>
  <c r="H24" i="117"/>
  <c r="E41" i="117"/>
  <c r="D41" i="117"/>
  <c r="D37" i="117"/>
  <c r="D30" i="117"/>
  <c r="D24" i="117"/>
  <c r="C41" i="117"/>
  <c r="C37" i="117"/>
  <c r="C30" i="117"/>
  <c r="C24" i="117"/>
  <c r="E37" i="117"/>
  <c r="E30" i="117"/>
  <c r="E24" i="117"/>
  <c r="G4" i="117"/>
  <c r="O23" i="117"/>
  <c r="P23" i="117" s="1"/>
  <c r="K24" i="117"/>
  <c r="M24" i="117"/>
  <c r="R24" i="117"/>
  <c r="O27" i="117"/>
  <c r="P27" i="117" s="1"/>
  <c r="S27" i="117" s="1"/>
  <c r="O28" i="117"/>
  <c r="P28" i="117" s="1"/>
  <c r="S28" i="117" s="1"/>
  <c r="O29" i="117"/>
  <c r="P29" i="117" s="1"/>
  <c r="S29" i="117" s="1"/>
  <c r="K30" i="117"/>
  <c r="L30" i="117"/>
  <c r="M30" i="117"/>
  <c r="R30" i="117"/>
  <c r="K37" i="117"/>
  <c r="L37" i="117"/>
  <c r="M37" i="117"/>
  <c r="M41" i="117"/>
  <c r="R37" i="117"/>
  <c r="O40" i="117"/>
  <c r="P40" i="117" s="1"/>
  <c r="K41" i="117"/>
  <c r="L41" i="117"/>
  <c r="R41" i="117"/>
  <c r="D9" i="33"/>
  <c r="D10" i="33" s="1"/>
  <c r="D12" i="33"/>
  <c r="D18" i="33"/>
  <c r="D21" i="33"/>
  <c r="D22" i="33"/>
  <c r="D23" i="33"/>
  <c r="F43" i="33"/>
  <c r="C35" i="33"/>
  <c r="H13" i="131"/>
  <c r="N35" i="129"/>
  <c r="N31" i="129"/>
  <c r="K28" i="129"/>
  <c r="K17" i="129"/>
  <c r="J28" i="129"/>
  <c r="I28" i="129"/>
  <c r="H28" i="129"/>
  <c r="G28" i="129"/>
  <c r="C28" i="129"/>
  <c r="N27" i="129"/>
  <c r="N23" i="129"/>
  <c r="J17" i="129"/>
  <c r="I17" i="129"/>
  <c r="H17" i="129"/>
  <c r="G17" i="129"/>
  <c r="C17" i="129"/>
  <c r="N12" i="129"/>
  <c r="E5" i="129"/>
  <c r="N32" i="120"/>
  <c r="M30" i="120"/>
  <c r="L30" i="120"/>
  <c r="K30" i="120"/>
  <c r="J30" i="120"/>
  <c r="I30" i="120"/>
  <c r="H30" i="120"/>
  <c r="G30" i="120"/>
  <c r="F30" i="120"/>
  <c r="E30" i="120"/>
  <c r="D30" i="120"/>
  <c r="D15" i="120"/>
  <c r="D19" i="120"/>
  <c r="D23" i="120"/>
  <c r="B15" i="120"/>
  <c r="B19" i="120"/>
  <c r="B23" i="120"/>
  <c r="B30" i="120"/>
  <c r="C15" i="120"/>
  <c r="C19" i="120"/>
  <c r="C23" i="120"/>
  <c r="C30" i="120"/>
  <c r="E15" i="120"/>
  <c r="E19" i="120"/>
  <c r="E23" i="120"/>
  <c r="F15" i="120"/>
  <c r="F19" i="120"/>
  <c r="F23" i="120"/>
  <c r="G15" i="120"/>
  <c r="G19" i="120"/>
  <c r="G23" i="120"/>
  <c r="H15" i="120"/>
  <c r="H19" i="120"/>
  <c r="H23" i="120"/>
  <c r="I15" i="120"/>
  <c r="I19" i="120"/>
  <c r="I23" i="120"/>
  <c r="J15" i="120"/>
  <c r="J19" i="120"/>
  <c r="J23" i="120"/>
  <c r="K15" i="120"/>
  <c r="K19" i="120"/>
  <c r="K23" i="120"/>
  <c r="L15" i="120"/>
  <c r="L19" i="120"/>
  <c r="L23" i="120"/>
  <c r="M15" i="120"/>
  <c r="M19" i="120"/>
  <c r="M23" i="120"/>
  <c r="N29" i="120"/>
  <c r="N28" i="120"/>
  <c r="N27" i="120"/>
  <c r="N26" i="120"/>
  <c r="N22" i="120"/>
  <c r="N18" i="120"/>
  <c r="N14" i="120"/>
  <c r="N13" i="120"/>
  <c r="N12" i="120"/>
  <c r="N11" i="120"/>
  <c r="E4" i="120"/>
  <c r="K48" i="119"/>
  <c r="K33" i="119"/>
  <c r="J48" i="119"/>
  <c r="I48" i="119"/>
  <c r="H48" i="119"/>
  <c r="H33" i="119"/>
  <c r="G48" i="119"/>
  <c r="G33" i="119"/>
  <c r="F48" i="119"/>
  <c r="F33" i="119"/>
  <c r="E48" i="119"/>
  <c r="D48" i="119"/>
  <c r="D33" i="119"/>
  <c r="C48" i="119"/>
  <c r="N47" i="119"/>
  <c r="N46" i="119"/>
  <c r="N40" i="119"/>
  <c r="N39" i="119"/>
  <c r="N38" i="119"/>
  <c r="N36" i="119"/>
  <c r="N37" i="119"/>
  <c r="M33" i="119"/>
  <c r="J33" i="119"/>
  <c r="I33" i="119"/>
  <c r="I49" i="119" s="1"/>
  <c r="I51" i="119" s="1"/>
  <c r="E33" i="119"/>
  <c r="E3" i="119"/>
  <c r="C3" i="29"/>
  <c r="K27" i="135"/>
  <c r="J27" i="135"/>
  <c r="I27" i="135"/>
  <c r="H27" i="135"/>
  <c r="F27" i="135"/>
  <c r="E27" i="135"/>
  <c r="N14" i="135"/>
  <c r="G4" i="135"/>
  <c r="M13" i="131"/>
  <c r="J13" i="131"/>
  <c r="I13" i="131"/>
  <c r="B13" i="131"/>
  <c r="G4" i="131"/>
  <c r="U47" i="36"/>
  <c r="U49" i="36" s="1"/>
  <c r="Q47" i="36"/>
  <c r="Q49" i="36" s="1"/>
  <c r="M47" i="36"/>
  <c r="M49" i="36"/>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D42" i="36" s="1"/>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46" i="33"/>
  <c r="R46" i="33"/>
  <c r="P46" i="33"/>
  <c r="O46" i="33"/>
  <c r="M46" i="33"/>
  <c r="J46" i="33"/>
  <c r="G46" i="33"/>
  <c r="F46" i="33"/>
  <c r="D46" i="33"/>
  <c r="C46" i="33"/>
  <c r="S45" i="33"/>
  <c r="R45" i="33"/>
  <c r="P45" i="33"/>
  <c r="O45" i="33"/>
  <c r="M45" i="33"/>
  <c r="G45" i="33"/>
  <c r="F45" i="33"/>
  <c r="D45" i="33"/>
  <c r="C45" i="33"/>
  <c r="S35" i="33"/>
  <c r="S41" i="33"/>
  <c r="S43" i="33"/>
  <c r="S44" i="33"/>
  <c r="S32" i="33"/>
  <c r="S33" i="33" s="1"/>
  <c r="R35" i="33"/>
  <c r="R39" i="33"/>
  <c r="R41" i="33"/>
  <c r="R43" i="33"/>
  <c r="R44" i="33"/>
  <c r="R32" i="33"/>
  <c r="R33" i="33" s="1"/>
  <c r="P44" i="33"/>
  <c r="O44" i="33"/>
  <c r="M44" i="33"/>
  <c r="J44" i="33"/>
  <c r="I44" i="33"/>
  <c r="G44" i="33"/>
  <c r="F44" i="33"/>
  <c r="D44" i="33"/>
  <c r="C44" i="33"/>
  <c r="P43" i="33"/>
  <c r="O43" i="33"/>
  <c r="M43" i="33"/>
  <c r="J43" i="33"/>
  <c r="I43" i="33"/>
  <c r="G43" i="33"/>
  <c r="D43" i="33"/>
  <c r="C43" i="33"/>
  <c r="P41" i="33"/>
  <c r="O41" i="33"/>
  <c r="M41" i="33"/>
  <c r="J41" i="33"/>
  <c r="G41" i="33"/>
  <c r="F41" i="33"/>
  <c r="I39" i="33"/>
  <c r="G39" i="33"/>
  <c r="I22" i="131" s="1"/>
  <c r="I25" i="131" s="1"/>
  <c r="F39" i="33"/>
  <c r="D39" i="33"/>
  <c r="H22" i="131" s="1"/>
  <c r="H25" i="131" s="1"/>
  <c r="C39" i="33"/>
  <c r="P35" i="33"/>
  <c r="O35" i="33"/>
  <c r="M35" i="33"/>
  <c r="J35" i="33"/>
  <c r="G35" i="33"/>
  <c r="F35" i="33"/>
  <c r="D35" i="33"/>
  <c r="N33" i="33"/>
  <c r="N48" i="33" s="1"/>
  <c r="H33" i="33"/>
  <c r="H48" i="33" s="1"/>
  <c r="P32" i="33"/>
  <c r="P33" i="33" s="1"/>
  <c r="O32" i="33"/>
  <c r="O33" i="33" s="1"/>
  <c r="M32" i="33"/>
  <c r="M33" i="33" s="1"/>
  <c r="L32" i="33"/>
  <c r="L33" i="33" s="1"/>
  <c r="J32" i="33"/>
  <c r="J33" i="33" s="1"/>
  <c r="G32" i="33"/>
  <c r="G33" i="33" s="1"/>
  <c r="F32" i="33"/>
  <c r="F33" i="33" s="1"/>
  <c r="D32" i="33"/>
  <c r="D33" i="33" s="1"/>
  <c r="C32" i="33"/>
  <c r="C33" i="33" s="1"/>
  <c r="C28" i="33"/>
  <c r="Q24" i="33"/>
  <c r="Q10" i="33"/>
  <c r="N24" i="33"/>
  <c r="K24" i="33"/>
  <c r="H24" i="33"/>
  <c r="S23" i="33"/>
  <c r="P23" i="33"/>
  <c r="O23" i="33"/>
  <c r="M23" i="33"/>
  <c r="L23" i="33"/>
  <c r="J23" i="33"/>
  <c r="I23" i="33"/>
  <c r="G23" i="33"/>
  <c r="F23" i="33"/>
  <c r="C23" i="33"/>
  <c r="S22" i="33"/>
  <c r="P22" i="33"/>
  <c r="M22" i="33"/>
  <c r="J22" i="33"/>
  <c r="I22" i="33"/>
  <c r="G22" i="33"/>
  <c r="F22" i="33"/>
  <c r="B24" i="33"/>
  <c r="B10" i="33"/>
  <c r="S21" i="33"/>
  <c r="P21" i="33"/>
  <c r="C21" i="33"/>
  <c r="S18" i="33"/>
  <c r="P18" i="33"/>
  <c r="S16" i="33"/>
  <c r="G22" i="131" s="1"/>
  <c r="G25" i="131" s="1"/>
  <c r="P16" i="33"/>
  <c r="O16" i="33"/>
  <c r="F22" i="131" s="1"/>
  <c r="S12" i="33"/>
  <c r="P12" i="33"/>
  <c r="O12" i="33"/>
  <c r="M12" i="33"/>
  <c r="L12" i="33"/>
  <c r="J12" i="33"/>
  <c r="I12" i="33"/>
  <c r="G12" i="33"/>
  <c r="F12" i="33"/>
  <c r="C12" i="33"/>
  <c r="N10" i="33"/>
  <c r="N25" i="33" s="1"/>
  <c r="K10" i="33"/>
  <c r="H10" i="33"/>
  <c r="E10" i="33"/>
  <c r="S9" i="33"/>
  <c r="S10" i="33" s="1"/>
  <c r="R9" i="33"/>
  <c r="R10" i="33" s="1"/>
  <c r="P9" i="33"/>
  <c r="P10" i="33" s="1"/>
  <c r="O9" i="33"/>
  <c r="O10" i="33" s="1"/>
  <c r="M9" i="33"/>
  <c r="M10" i="33" s="1"/>
  <c r="L9" i="33"/>
  <c r="L10" i="33" s="1"/>
  <c r="J9" i="33"/>
  <c r="J10" i="33" s="1"/>
  <c r="I9" i="33"/>
  <c r="I10" i="33" s="1"/>
  <c r="G9" i="33"/>
  <c r="G10" i="33" s="1"/>
  <c r="F9" i="33"/>
  <c r="F10" i="33" s="1"/>
  <c r="C9" i="33"/>
  <c r="C10" i="33" s="1"/>
  <c r="C22" i="33"/>
  <c r="F4" i="33"/>
  <c r="D4" i="33"/>
  <c r="D28" i="33" s="1"/>
  <c r="O20" i="117"/>
  <c r="P42" i="36"/>
  <c r="E33" i="131"/>
  <c r="J25" i="131"/>
  <c r="I39" i="131"/>
  <c r="K39" i="131"/>
  <c r="J39" i="131"/>
  <c r="L25" i="131"/>
  <c r="L39" i="131"/>
  <c r="M39" i="131"/>
  <c r="S15" i="36" l="1"/>
  <c r="C42" i="36"/>
  <c r="L42" i="36"/>
  <c r="M7" i="36"/>
  <c r="M15" i="36" s="1"/>
  <c r="J50" i="117"/>
  <c r="L15" i="36"/>
  <c r="E39" i="131"/>
  <c r="E25" i="33"/>
  <c r="Q33" i="36"/>
  <c r="Q42" i="36" s="1"/>
  <c r="F25" i="131"/>
  <c r="H15" i="36"/>
  <c r="X15" i="36"/>
  <c r="G15" i="36"/>
  <c r="I32" i="135"/>
  <c r="C49" i="119"/>
  <c r="C51" i="119" s="1"/>
  <c r="E25" i="131"/>
  <c r="Y13" i="36"/>
  <c r="E33" i="36"/>
  <c r="F49" i="119"/>
  <c r="F51" i="119" s="1"/>
  <c r="D25" i="131"/>
  <c r="K25" i="131"/>
  <c r="D15" i="36"/>
  <c r="O15" i="36"/>
  <c r="L33" i="120"/>
  <c r="E36" i="129"/>
  <c r="E37" i="129" s="1"/>
  <c r="E42" i="36"/>
  <c r="E7" i="36"/>
  <c r="E15" i="36" s="1"/>
  <c r="Q7" i="36"/>
  <c r="Q15" i="36" s="1"/>
  <c r="Y7" i="36"/>
  <c r="Y15" i="36" s="1"/>
  <c r="H42" i="36"/>
  <c r="B33" i="120"/>
  <c r="H36" i="129"/>
  <c r="H37" i="129" s="1"/>
  <c r="L50" i="117"/>
  <c r="S14" i="117"/>
  <c r="N12" i="135"/>
  <c r="N33" i="129"/>
  <c r="L49" i="119"/>
  <c r="I33" i="36"/>
  <c r="K33" i="120"/>
  <c r="F33" i="120"/>
  <c r="E33" i="120"/>
  <c r="B32" i="135"/>
  <c r="B36" i="129"/>
  <c r="B37" i="129" s="1"/>
  <c r="L24" i="33"/>
  <c r="F47" i="33"/>
  <c r="F48" i="33" s="1"/>
  <c r="M36" i="129"/>
  <c r="L36" i="129"/>
  <c r="N15" i="120"/>
  <c r="O47" i="134"/>
  <c r="I50" i="117"/>
  <c r="C24" i="33"/>
  <c r="G47" i="33"/>
  <c r="P47" i="33"/>
  <c r="P48" i="33" s="1"/>
  <c r="O47" i="33"/>
  <c r="L47" i="33"/>
  <c r="M49" i="119"/>
  <c r="E49" i="119"/>
  <c r="E51" i="119" s="1"/>
  <c r="G49" i="119"/>
  <c r="G51" i="119" s="1"/>
  <c r="J49" i="119"/>
  <c r="D49" i="119"/>
  <c r="D51" i="119" s="1"/>
  <c r="K49" i="119"/>
  <c r="Q50" i="117"/>
  <c r="Q25" i="33"/>
  <c r="J47" i="33"/>
  <c r="R47" i="33"/>
  <c r="R48" i="33" s="1"/>
  <c r="C33" i="120"/>
  <c r="I36" i="129"/>
  <c r="I37" i="129" s="1"/>
  <c r="G32" i="135"/>
  <c r="E32" i="135"/>
  <c r="D50" i="117"/>
  <c r="G50" i="117"/>
  <c r="R50" i="117"/>
  <c r="I47" i="33"/>
  <c r="I48" i="33" s="1"/>
  <c r="M47" i="33"/>
  <c r="O24" i="117"/>
  <c r="G24" i="33"/>
  <c r="G25" i="33" s="1"/>
  <c r="M24" i="33"/>
  <c r="M25" i="33" s="1"/>
  <c r="B25" i="33"/>
  <c r="Q48" i="33"/>
  <c r="I7" i="36"/>
  <c r="I15" i="36" s="1"/>
  <c r="T15" i="36"/>
  <c r="Y33" i="36"/>
  <c r="Y42" i="36" s="1"/>
  <c r="M40" i="36"/>
  <c r="F32" i="135"/>
  <c r="H49" i="119"/>
  <c r="H51" i="119" s="1"/>
  <c r="M33" i="120"/>
  <c r="I33" i="120"/>
  <c r="N23" i="120"/>
  <c r="C36" i="129"/>
  <c r="C37" i="129" s="1"/>
  <c r="J36" i="129"/>
  <c r="G36" i="129"/>
  <c r="G37" i="129" s="1"/>
  <c r="K36" i="129"/>
  <c r="C32" i="135"/>
  <c r="N15" i="135"/>
  <c r="M32" i="135"/>
  <c r="H25" i="33"/>
  <c r="E50" i="117"/>
  <c r="K32" i="135"/>
  <c r="D32" i="135"/>
  <c r="O16" i="117"/>
  <c r="N30" i="120"/>
  <c r="O24" i="33"/>
  <c r="O25" i="33" s="1"/>
  <c r="K48" i="33"/>
  <c r="W15" i="36"/>
  <c r="G42" i="36"/>
  <c r="U33" i="36"/>
  <c r="U42" i="36" s="1"/>
  <c r="J33" i="120"/>
  <c r="F50" i="117"/>
  <c r="M50" i="117"/>
  <c r="P20" i="117"/>
  <c r="N30" i="135"/>
  <c r="H32" i="135"/>
  <c r="J32" i="135"/>
  <c r="N24" i="135"/>
  <c r="D39" i="131"/>
  <c r="S47" i="33"/>
  <c r="S48" i="33" s="1"/>
  <c r="K15" i="36"/>
  <c r="S42" i="36"/>
  <c r="W42" i="36"/>
  <c r="I40" i="36"/>
  <c r="I42" i="36" s="1"/>
  <c r="N19" i="120"/>
  <c r="D33" i="120"/>
  <c r="O41" i="117"/>
  <c r="K50" i="117"/>
  <c r="B49" i="119"/>
  <c r="B51" i="119" s="1"/>
  <c r="I4" i="33"/>
  <c r="F28" i="33"/>
  <c r="G4" i="33"/>
  <c r="G28" i="33" s="1"/>
  <c r="N28" i="129"/>
  <c r="N17" i="129"/>
  <c r="M33" i="36"/>
  <c r="K42" i="36"/>
  <c r="K25" i="33"/>
  <c r="U7" i="36"/>
  <c r="U15" i="36" s="1"/>
  <c r="D24" i="33"/>
  <c r="D25" i="33" s="1"/>
  <c r="F39" i="131"/>
  <c r="C50" i="117"/>
  <c r="B50" i="117"/>
  <c r="L32" i="135"/>
  <c r="F36" i="129"/>
  <c r="F37" i="129" s="1"/>
  <c r="S46" i="117"/>
  <c r="J24" i="33"/>
  <c r="J25" i="33" s="1"/>
  <c r="P24" i="33"/>
  <c r="P25" i="33" s="1"/>
  <c r="E48" i="33"/>
  <c r="B48" i="33"/>
  <c r="H33" i="120"/>
  <c r="O40" i="134"/>
  <c r="C25" i="33"/>
  <c r="L25" i="33"/>
  <c r="F24" i="33"/>
  <c r="F25" i="33" s="1"/>
  <c r="I24" i="33"/>
  <c r="I25" i="33" s="1"/>
  <c r="G48" i="33"/>
  <c r="J48" i="33"/>
  <c r="L48" i="33"/>
  <c r="M48" i="33"/>
  <c r="O48" i="33"/>
  <c r="D47" i="33"/>
  <c r="D48" i="33" s="1"/>
  <c r="C47" i="33"/>
  <c r="C48" i="33" s="1"/>
  <c r="O48" i="117"/>
  <c r="P48" i="117"/>
  <c r="S48" i="117" s="1"/>
  <c r="S40" i="117"/>
  <c r="P41" i="117"/>
  <c r="S41" i="117" s="1"/>
  <c r="N33" i="119"/>
  <c r="O32" i="134"/>
  <c r="S35" i="117"/>
  <c r="P37" i="117"/>
  <c r="S37" i="117" s="1"/>
  <c r="O37" i="117"/>
  <c r="O30" i="117"/>
  <c r="P30" i="117"/>
  <c r="S30" i="117" s="1"/>
  <c r="H50" i="117"/>
  <c r="S23" i="117"/>
  <c r="P24" i="117"/>
  <c r="S24" i="117" s="1"/>
  <c r="S12" i="117"/>
  <c r="P16" i="117"/>
  <c r="H39" i="131"/>
  <c r="B39" i="131"/>
  <c r="B25" i="131"/>
  <c r="C39" i="131"/>
  <c r="N48" i="119"/>
  <c r="G33" i="120"/>
  <c r="N24" i="129"/>
  <c r="R24" i="33"/>
  <c r="R25" i="33" s="1"/>
  <c r="S24" i="33"/>
  <c r="S25" i="33" s="1"/>
  <c r="N32" i="135" l="1"/>
  <c r="N37" i="129"/>
  <c r="N51" i="119"/>
  <c r="M42" i="36"/>
  <c r="N33" i="120"/>
  <c r="J4" i="33"/>
  <c r="J28" i="33" s="1"/>
  <c r="I28" i="33"/>
  <c r="L4" i="33"/>
  <c r="N36" i="129"/>
  <c r="O50" i="117"/>
  <c r="N49" i="119"/>
  <c r="S16" i="117"/>
  <c r="P50" i="117"/>
  <c r="S50" i="117" s="1"/>
  <c r="M4" i="33" l="1"/>
  <c r="M28" i="33" s="1"/>
  <c r="O4" i="33"/>
  <c r="L28" i="33"/>
  <c r="O28" i="33" l="1"/>
  <c r="P4" i="33"/>
  <c r="P28" i="33" s="1"/>
  <c r="R4" i="33"/>
  <c r="S4" i="33" l="1"/>
  <c r="S28" i="33" s="1"/>
  <c r="R28" i="33"/>
</calcChain>
</file>

<file path=xl/sharedStrings.xml><?xml version="1.0" encoding="utf-8"?>
<sst xmlns="http://schemas.openxmlformats.org/spreadsheetml/2006/main" count="1792" uniqueCount="375">
  <si>
    <t xml:space="preserve">SAN DIEGO GAS &amp; ELECTRIC COMPANY REPORT ON INTERRUPTIBLE LOAD AND DEMAND RESPONSE PROGRAMS </t>
  </si>
  <si>
    <t>SUBSCRIPTION STATISTICS - ENROLLED MWs</t>
  </si>
  <si>
    <t>August 2019</t>
  </si>
  <si>
    <t>January</t>
  </si>
  <si>
    <t>February</t>
  </si>
  <si>
    <t>March</t>
  </si>
  <si>
    <t>April</t>
  </si>
  <si>
    <t>May</t>
  </si>
  <si>
    <t>June</t>
  </si>
  <si>
    <t>Programs</t>
  </si>
  <si>
    <r>
      <t xml:space="preserve">Service Accounts </t>
    </r>
    <r>
      <rPr>
        <vertAlign val="superscript"/>
        <sz val="11"/>
        <color rgb="FFFF0000"/>
        <rFont val="Arial"/>
        <family val="2"/>
      </rPr>
      <t>3</t>
    </r>
  </si>
  <si>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</si>
  <si>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2, 4</t>
    </r>
  </si>
  <si>
    <t>Service Accounts</t>
  </si>
  <si>
    <r>
      <t xml:space="preserve">Ex Post Estimated MW </t>
    </r>
    <r>
      <rPr>
        <vertAlign val="superscript"/>
        <sz val="11"/>
        <color rgb="FFFF0000"/>
        <rFont val="Arial"/>
        <family val="2"/>
      </rPr>
      <t>2</t>
    </r>
  </si>
  <si>
    <t xml:space="preserve">Service Accounts </t>
  </si>
  <si>
    <t>Eligible Accounts as of Aug 31, 2012</t>
  </si>
  <si>
    <t>Interruptible/Reliability</t>
  </si>
  <si>
    <t>BIP - (20 minute option)</t>
  </si>
  <si>
    <t xml:space="preserve">  Sub-Total Interruptible</t>
  </si>
  <si>
    <t>Demand Response Programs</t>
  </si>
  <si>
    <t>CPP-D (Large and Medium customers)</t>
  </si>
  <si>
    <t xml:space="preserve">Armed Forces Pilot </t>
  </si>
  <si>
    <t>Over Generation Pilot</t>
  </si>
  <si>
    <t>Small Business Energy Management Pilot</t>
  </si>
  <si>
    <t>AC Saver Day-Ahead Residential</t>
  </si>
  <si>
    <t>AC Saver Day-Ahead Commercial</t>
  </si>
  <si>
    <t>AC Saver Day-Of Residential</t>
  </si>
  <si>
    <t>AC Saver Day-Of Commercial</t>
  </si>
  <si>
    <t xml:space="preserve">CBP - Day-Ahead </t>
  </si>
  <si>
    <t xml:space="preserve">CBP - Day-Of </t>
  </si>
  <si>
    <t>TOU-A-P Small Commercial</t>
  </si>
  <si>
    <t>TOU-DR-P Voluntary Residential</t>
  </si>
  <si>
    <t>Sub-Total Demand Response Programs</t>
  </si>
  <si>
    <t>Total All Programs</t>
  </si>
  <si>
    <t>July</t>
  </si>
  <si>
    <t xml:space="preserve">August </t>
  </si>
  <si>
    <t xml:space="preserve">September </t>
  </si>
  <si>
    <t>October</t>
  </si>
  <si>
    <t xml:space="preserve">November </t>
  </si>
  <si>
    <t>December</t>
  </si>
  <si>
    <t xml:space="preserve">Ex Ante Estimated MW </t>
  </si>
  <si>
    <t xml:space="preserve">Ex Post Estimated MW </t>
  </si>
  <si>
    <t>Notes:</t>
  </si>
  <si>
    <r>
      <rPr>
        <vertAlign val="superscript"/>
        <sz val="11"/>
        <color rgb="FFFF0000"/>
        <rFont val="Arial"/>
        <family val="2"/>
      </rPr>
      <t xml:space="preserve">1 </t>
    </r>
    <r>
      <rPr>
        <sz val="10"/>
        <rFont val="Arial"/>
        <family val="2"/>
      </rPr>
      <t>The ex-ante average per customer are based on PY17 SDG&amp;E DR Load Impacts report filed on April 2, 2018 for the months of January and February. The ex-ante average per customer are based on PY18 SDG&amp;E DR Load Impacts report filed on April 2, 2019 for the months of March thru December.</t>
    </r>
  </si>
  <si>
    <r>
      <rPr>
        <vertAlign val="superscript"/>
        <sz val="11"/>
        <color rgb="FFFF0000"/>
        <rFont val="Arial"/>
        <family val="2"/>
      </rPr>
      <t xml:space="preserve">2 </t>
    </r>
    <r>
      <rPr>
        <sz val="10"/>
        <rFont val="Arial"/>
        <family val="2"/>
      </rPr>
      <t>The ex-post average per customer are based on PY17 SDG&amp;E DR Load Impacts report filed on April 2, 2018 for the months of January and February.  The ex-post average per customer are based on PY18 SDG&amp;E DR Load  Impacts report filed on April 2, 2019 for the months of March thru December.</t>
    </r>
  </si>
  <si>
    <r>
      <rPr>
        <vertAlign val="superscript"/>
        <sz val="11"/>
        <color rgb="FFFF0000"/>
        <rFont val="Arial"/>
        <family val="2"/>
      </rPr>
      <t xml:space="preserve">3 </t>
    </r>
    <r>
      <rPr>
        <sz val="10"/>
        <rFont val="Arial"/>
        <family val="2"/>
      </rPr>
      <t>Service Accounts numbers for AC Saver Day-Of Commercial and Residential previously filed in the January, February and March 2019 reports were higher due to closed accounts inadvertently being included in the totals. Service Account numbers for   January, February and March 2019 have been corrected in all subsequent monthly reports, beginning in April 2019.</t>
    </r>
  </si>
  <si>
    <r>
      <rPr>
        <vertAlign val="superscript"/>
        <sz val="11"/>
        <color rgb="FFFF0000"/>
        <rFont val="Arial"/>
        <family val="2"/>
      </rPr>
      <t xml:space="preserve">4 </t>
    </r>
    <r>
      <rPr>
        <sz val="10"/>
        <rFont val="Arial"/>
        <family val="2"/>
      </rPr>
      <t xml:space="preserve">The Ex Post Estimated MW were updated for January-March slightly decreased for AC Saver Day Of Commercial and Residential.  Reference footnote no.3 above. </t>
    </r>
  </si>
  <si>
    <t>-  Capacity Bidding Program reports the number of nominations not enrollments.</t>
  </si>
  <si>
    <t>-  The resource adequacy measurement hours were modified to HE17-HE21 (4:00 p.m. – 9:00 p.m.) for each month of the year beginning in 2019.</t>
  </si>
  <si>
    <t>-  PTR Residential Program ended December 31, 2018.</t>
  </si>
  <si>
    <t>(End of page)</t>
  </si>
  <si>
    <t>Average Ex Ante Load Impact kW / Customer</t>
  </si>
  <si>
    <t>Program</t>
  </si>
  <si>
    <t>Eligible Accounts as of January</t>
  </si>
  <si>
    <t>Eligibility Criteria (Refer to tariff for specifics)</t>
  </si>
  <si>
    <t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t>
  </si>
  <si>
    <t>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</si>
  <si>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</si>
  <si>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</si>
  <si>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</si>
  <si>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</si>
  <si>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 xml:space="preserve">The CBP Schedule is available to commercial and industrial Utility customers receiving Bundled Utility service, DA service or CCA service, and being billed on a Utility commercial, industrial or agricultural rate schedule. </t>
  </si>
  <si>
    <t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t>
  </si>
  <si>
    <t>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t>
  </si>
  <si>
    <t>-  The Estimated Average Ex-Ante Load Impact kW/Customer = Average kW / Customer, under 1-in-2 weather conditions, of an event that would occur from 4 - 9 pm year around.</t>
  </si>
  <si>
    <t>-  The Ex-Ante average per customer are based on PY17 SDG&amp;E DR Load Impacts report filed on April 2, 2018 for the months of January and February.</t>
  </si>
  <si>
    <t>-  The Ex-Ante average per customer are based on PY18 SDG&amp;E DR Load Impacts report filed on April 2, 2019 for the months of March-December.</t>
  </si>
  <si>
    <t>-  The Resource Adequacy measurement hours were modified to HE17-HE21 (4:00 p.m. – 9:00 p.m.) for each month of the year beginning in 2019.</t>
  </si>
  <si>
    <t>-  CPP-D (Large and Medium customers Program Year 2018 Ex-Ante per customer impacts received negative estimates for the months of January-April and November-December. Therefore, the estimates are showing as zero.</t>
  </si>
  <si>
    <t>Average Ex Post Load Impact kW / Customer</t>
  </si>
  <si>
    <t xml:space="preserve">Notes: </t>
  </si>
  <si>
    <t xml:space="preserve">-  Estimated Average Ex-Post Load Impact kW / Customer = Average kW / Customer service account over all actual event hours for the preceding year if events occurred. </t>
  </si>
  <si>
    <t>-  The Ex-Post average per customer are based on PY17 SDG&amp;E DR Load Impacts report filed on April 2, 2018 for the months of January and February.</t>
  </si>
  <si>
    <t>-  The Ex-Post average per customer are based on PY18 SDG&amp;E DR Load Impacts report filed on April 2, 2019 for the months of March thru December.</t>
  </si>
  <si>
    <t>Detailed Breakdown of MWs To Date in TA/Auto DR/TI Programs (A)</t>
  </si>
  <si>
    <t>Price Responsive</t>
  </si>
  <si>
    <t>TA Identified MWs</t>
  </si>
  <si>
    <t>Auto DR Verified MWs</t>
  </si>
  <si>
    <t>TI Verified MWs</t>
  </si>
  <si>
    <t>Total Technology MWs</t>
  </si>
  <si>
    <t>CPP-D</t>
  </si>
  <si>
    <t>CBP</t>
  </si>
  <si>
    <t>Total</t>
  </si>
  <si>
    <t>BIP</t>
  </si>
  <si>
    <t xml:space="preserve"> </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</si>
  <si>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</si>
  <si>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</si>
  <si>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</si>
  <si>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</si>
  <si>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</si>
  <si>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</si>
  <si>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</si>
  <si>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</si>
  <si>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</si>
  <si>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</si>
  <si>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</si>
  <si>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</si>
  <si>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</si>
  <si>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</si>
  <si>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</si>
  <si>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</si>
  <si>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</si>
  <si>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</si>
  <si>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</si>
  <si>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</si>
  <si>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</si>
  <si>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</si>
  <si>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</si>
  <si>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Jan</t>
  </si>
  <si>
    <t>Feb</t>
  </si>
  <si>
    <t xml:space="preserve">May </t>
  </si>
  <si>
    <t>Eligible Programs</t>
  </si>
  <si>
    <t xml:space="preserve">Auto DR Verified MWs </t>
  </si>
  <si>
    <t>AFP</t>
  </si>
  <si>
    <t>DRAM</t>
  </si>
  <si>
    <t>-  Auto DR Verified MWs: Represent the verified/tested MW for service accounts from completed TI (i.e. must be enrolled in DR).</t>
  </si>
  <si>
    <t>-  All accounts in the TI program have completed their 3 year program commitments.</t>
  </si>
  <si>
    <t>Technology Deployment- Residential MWs</t>
  </si>
  <si>
    <t>-  Technology Deployment (TD) Verified MWs: Represents the average load reduction expected on an event day based on the ex-post results for customers with qualifying technology.</t>
  </si>
  <si>
    <t>Technology Deployment- Commercial MWs</t>
  </si>
  <si>
    <r>
      <t xml:space="preserve">Technology Deployment- Commercial MWs </t>
    </r>
    <r>
      <rPr>
        <b/>
        <vertAlign val="superscript"/>
        <sz val="11"/>
        <color rgb="FFFF0000"/>
        <rFont val="Arial"/>
        <family val="2"/>
      </rPr>
      <t>1</t>
    </r>
  </si>
  <si>
    <r>
      <rPr>
        <vertAlign val="superscript"/>
        <sz val="12"/>
        <color rgb="FFFF0000"/>
        <rFont val="Arial"/>
        <family val="2"/>
      </rPr>
      <t xml:space="preserve">1  </t>
    </r>
    <r>
      <rPr>
        <sz val="12"/>
        <rFont val="Arial"/>
        <family val="2"/>
      </rPr>
      <t>In May's 2019 report August and November inadvertently included MW’s for some of the Eligible Programs listed but should have been zero (0) MWs.</t>
    </r>
  </si>
  <si>
    <t xml:space="preserve">SAN DIEGO GAS &amp; ELECTRIC REPORT COMPANY ON INTERRUPTIBLE LOAD AND DEMAND RESPONSE PROGRAMS </t>
  </si>
  <si>
    <t>YEAR TO DATE PROGRAM EXPENDITURES</t>
  </si>
  <si>
    <t>Cost Item</t>
  </si>
  <si>
    <t>2018 Expenditures</t>
  </si>
  <si>
    <t>Year-to Date 2019 Expenditures</t>
  </si>
  <si>
    <t>Program Cycle-to-Date Total Expenditures (2018-2019)</t>
  </si>
  <si>
    <t>5-Year Funding (2018-2022)</t>
  </si>
  <si>
    <t xml:space="preserve">Fund shift Adjustments </t>
  </si>
  <si>
    <t>Percent Funding</t>
  </si>
  <si>
    <t>Category 1: Supply Side DR Programs</t>
  </si>
  <si>
    <t>AC Saver Day-Ahead</t>
  </si>
  <si>
    <t xml:space="preserve">AC Saver Day-Of </t>
  </si>
  <si>
    <r>
      <t xml:space="preserve">Base Interruptible Program (BIP) </t>
    </r>
    <r>
      <rPr>
        <vertAlign val="superscript"/>
        <sz val="10"/>
        <color rgb="FFFF0000"/>
        <rFont val="Arial"/>
        <family val="2"/>
      </rPr>
      <t>1,7</t>
    </r>
  </si>
  <si>
    <t xml:space="preserve">Capacity Bidding Program (CBP) </t>
  </si>
  <si>
    <r>
      <t>Peak Time Rebate (PTR)</t>
    </r>
    <r>
      <rPr>
        <vertAlign val="superscript"/>
        <sz val="10"/>
        <color rgb="FFFF0000"/>
        <rFont val="Arial"/>
        <family val="2"/>
      </rPr>
      <t xml:space="preserve"> 1, 2</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</si>
  <si>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</si>
  <si>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</si>
  <si>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</si>
  <si>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</si>
  <si>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</si>
  <si>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</si>
  <si>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</si>
  <si>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</si>
  <si>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</si>
  <si>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r>
      <t xml:space="preserve">Technology Incentives (TI) </t>
    </r>
    <r>
      <rPr>
        <vertAlign val="superscript"/>
        <sz val="10"/>
        <color rgb="FFFF0000"/>
        <rFont val="Arial"/>
        <family val="2"/>
      </rPr>
      <t>7</t>
    </r>
  </si>
  <si>
    <t xml:space="preserve"> Budget Category 4 Total</t>
  </si>
  <si>
    <t xml:space="preserve">Category 5:  Pilots </t>
  </si>
  <si>
    <t xml:space="preserve">Armed Forces Pilot (AFP) </t>
  </si>
  <si>
    <t xml:space="preserve">Constrained Local Capacity Program (CLCP) </t>
  </si>
  <si>
    <r>
      <t xml:space="preserve">   Over Generation Pilot (OGP) </t>
    </r>
    <r>
      <rPr>
        <vertAlign val="superscript"/>
        <sz val="10"/>
        <color rgb="FFFF0000"/>
        <rFont val="Arial"/>
        <family val="2"/>
      </rPr>
      <t>8</t>
    </r>
  </si>
  <si>
    <r>
      <t xml:space="preserve">   Small Business Energy Management Pilot (SBEMP) </t>
    </r>
    <r>
      <rPr>
        <vertAlign val="superscript"/>
        <sz val="10"/>
        <color rgb="FFFF0000"/>
        <rFont val="Arial"/>
        <family val="2"/>
      </rPr>
      <t>6</t>
    </r>
    <r>
      <rPr>
        <sz val="10"/>
        <rFont val="Arial"/>
        <family val="2"/>
      </rPr>
      <t xml:space="preserve"> </t>
    </r>
  </si>
  <si>
    <t xml:space="preserve"> Budget Category 5 Total</t>
  </si>
  <si>
    <t>Category 6:  Marketing, Education, and Outreach</t>
  </si>
  <si>
    <r>
      <t xml:space="preserve">Local Marketing Education &amp; Outreach (LME&amp;O) </t>
    </r>
    <r>
      <rPr>
        <vertAlign val="superscript"/>
        <sz val="10"/>
        <color rgb="FFFF0000"/>
        <rFont val="Arial"/>
        <family val="2"/>
      </rPr>
      <t>4</t>
    </r>
  </si>
  <si>
    <t xml:space="preserve"> Budget Category 6 Total</t>
  </si>
  <si>
    <t>Category 7:  Portfolio Support</t>
  </si>
  <si>
    <t>Regulatory Policy &amp; Program Support (Gen. Admin.)</t>
  </si>
  <si>
    <r>
      <t xml:space="preserve">IT Infrastructure &amp; Systems Support </t>
    </r>
    <r>
      <rPr>
        <vertAlign val="superscript"/>
        <sz val="10"/>
        <color rgb="FFFF0000"/>
        <rFont val="Arial"/>
        <family val="2"/>
      </rPr>
      <t>3</t>
    </r>
  </si>
  <si>
    <r>
      <t xml:space="preserve">EM&amp;V </t>
    </r>
    <r>
      <rPr>
        <vertAlign val="superscript"/>
        <sz val="10"/>
        <color rgb="FFFF0000"/>
        <rFont val="Arial"/>
        <family val="2"/>
      </rPr>
      <t>5</t>
    </r>
  </si>
  <si>
    <t>DR Potential Study</t>
  </si>
  <si>
    <t xml:space="preserve"> Budget Category 7 Total</t>
  </si>
  <si>
    <t>Total Incremental Cost</t>
  </si>
  <si>
    <r>
      <rPr>
        <vertAlign val="superscript"/>
        <sz val="11"/>
        <color rgb="FFFF0000"/>
        <rFont val="Arial"/>
        <family val="2"/>
      </rPr>
      <t xml:space="preserve">1  </t>
    </r>
    <r>
      <rPr>
        <sz val="11"/>
        <rFont val="Arial"/>
        <family val="2"/>
      </rPr>
      <t>Credits are related to accrual reversals which occurred in a prior reporting period (Dec 2018).</t>
    </r>
  </si>
  <si>
    <r>
      <rPr>
        <vertAlign val="superscript"/>
        <sz val="11"/>
        <color rgb="FFFF0000"/>
        <rFont val="Arial"/>
        <family val="2"/>
      </rPr>
      <t xml:space="preserve">2 </t>
    </r>
    <r>
      <rPr>
        <sz val="11"/>
        <color indexed="8"/>
        <rFont val="Arial"/>
        <family val="2"/>
      </rPr>
      <t xml:space="preserve"> PTR Residential Program ended December 31, 2018.ended.</t>
    </r>
  </si>
  <si>
    <r>
      <rPr>
        <vertAlign val="superscript"/>
        <sz val="11"/>
        <color rgb="FFFF0000"/>
        <rFont val="Arial"/>
        <family val="2"/>
      </rPr>
      <t>3</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</si>
  <si>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4</t>
    </r>
    <r>
      <rPr>
        <sz val="11"/>
        <color indexed="8"/>
        <rFont val="Arial"/>
        <family val="2"/>
      </rPr>
      <t xml:space="preserve"> April and May Credits are a result of a Journal Entry to move charges to the correct program.</t>
    </r>
  </si>
  <si>
    <r>
      <rPr>
        <vertAlign val="superscript"/>
        <sz val="11"/>
        <color rgb="FFFF0000"/>
        <rFont val="Arial"/>
        <family val="2"/>
      </rPr>
      <t>5</t>
    </r>
    <r>
      <rPr>
        <sz val="11"/>
        <rFont val="Arial"/>
        <family val="2"/>
      </rPr>
      <t xml:space="preserve"> April and July Credits are related to accrual reversals which occurred in a prior reporting month.</t>
    </r>
  </si>
  <si>
    <r>
      <rPr>
        <vertAlign val="superscript"/>
        <sz val="11"/>
        <color rgb="FFFF0000"/>
        <rFont val="Arial"/>
        <family val="2"/>
      </rPr>
      <t>6</t>
    </r>
    <r>
      <rPr>
        <sz val="11"/>
        <rFont val="Arial"/>
        <family val="2"/>
      </rPr>
      <t xml:space="preserve"> May and August credits are a result of the labor reversals to clear out Admin. charges from January thru April. Additional labor reversals will be posted by the end of 3rd Quarter.</t>
    </r>
  </si>
  <si>
    <r>
      <rPr>
        <vertAlign val="superscript"/>
        <sz val="11"/>
        <color rgb="FFFF0000"/>
        <rFont val="Arial"/>
        <family val="2"/>
      </rPr>
      <t xml:space="preserve">7 </t>
    </r>
    <r>
      <rPr>
        <sz val="11"/>
        <rFont val="Arial"/>
        <family val="2"/>
      </rPr>
      <t>July Credit is a result of a Journal Entry to move non-labor charges to the correct Base Interrutiple Program (BIP) and Technical Incentives (TI) to Information Technology (TI).</t>
    </r>
  </si>
  <si>
    <r>
      <rPr>
        <vertAlign val="superscript"/>
        <sz val="11"/>
        <color rgb="FFFF0000"/>
        <rFont val="Arial"/>
        <family val="2"/>
      </rPr>
      <t xml:space="preserve">8 </t>
    </r>
    <r>
      <rPr>
        <sz val="11"/>
        <rFont val="Arial"/>
        <family val="2"/>
      </rPr>
      <t>August credits are a result of labor accrual reversals and labor allocation corrections.</t>
    </r>
  </si>
  <si>
    <t>CARRY-OVER EXPENDITURES FROM (2017) PROGRAM CYCLE</t>
  </si>
  <si>
    <t>Total Carry Over Expenditures 2017-2018</t>
  </si>
  <si>
    <t xml:space="preserve">  Capacity Bidding Program </t>
  </si>
  <si>
    <t>Budget Category 1 Total</t>
  </si>
  <si>
    <t xml:space="preserve">  Summer Saver</t>
  </si>
  <si>
    <t>Budget Category 2 Total</t>
  </si>
  <si>
    <r>
      <t xml:space="preserve">  Small Commercial Technology Deployment (SCTD) </t>
    </r>
    <r>
      <rPr>
        <vertAlign val="superscript"/>
        <sz val="10"/>
        <color rgb="FFFF0000"/>
        <rFont val="Arial"/>
        <family val="2"/>
      </rPr>
      <t>2</t>
    </r>
  </si>
  <si>
    <t>Budget Category 4 Total</t>
  </si>
  <si>
    <t xml:space="preserve">  Summer Saver PCT Pilot </t>
  </si>
  <si>
    <t>Budget Category 5 Total</t>
  </si>
  <si>
    <t xml:space="preserve">  Local Marketing Education &amp; Outreach (LMEO)</t>
  </si>
  <si>
    <t>Budget Category 6 Total</t>
  </si>
  <si>
    <r>
      <t xml:space="preserve">  Permanent Load Shifting (PLS) </t>
    </r>
    <r>
      <rPr>
        <vertAlign val="superscript"/>
        <sz val="10"/>
        <color rgb="FFFF0000"/>
        <rFont val="Arial"/>
        <family val="2"/>
      </rPr>
      <t>1</t>
    </r>
  </si>
  <si>
    <t>Budget Category 10 Total</t>
  </si>
  <si>
    <t xml:space="preserve">  Celerity</t>
  </si>
  <si>
    <t>General Rate Case (GRC)</t>
  </si>
  <si>
    <r>
      <rPr>
        <vertAlign val="superscript"/>
        <sz val="11"/>
        <color rgb="FFFF0000"/>
        <rFont val="Arial"/>
        <family val="2"/>
      </rPr>
      <t xml:space="preserve">1 </t>
    </r>
    <r>
      <rPr>
        <sz val="10"/>
        <rFont val="Arial"/>
        <family val="2"/>
      </rPr>
      <t>Credit is a result of an expense accrued at a higher dollar amount versus what was paid.  This project is the last of the PLS projects that were commited 2017 through 2018.</t>
    </r>
  </si>
  <si>
    <r>
      <rPr>
        <vertAlign val="superscript"/>
        <sz val="10"/>
        <color rgb="FFFF0000"/>
        <rFont val="Arial"/>
        <family val="2"/>
      </rPr>
      <t>2</t>
    </r>
    <r>
      <rPr>
        <sz val="10"/>
        <rFont val="Arial"/>
        <family val="2"/>
      </rPr>
      <t xml:space="preserve"> April Credit it a result of a Journal Entry to move charges to the correct program.</t>
    </r>
  </si>
  <si>
    <t>FUND SHIFT LOG</t>
  </si>
  <si>
    <t>Program Category</t>
  </si>
  <si>
    <t>Fund Shift</t>
  </si>
  <si>
    <t>Programs Impacted</t>
  </si>
  <si>
    <t>Date</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</si>
  <si>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</si>
  <si>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</si>
  <si>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</si>
  <si>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</si>
  <si>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</si>
  <si>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</si>
  <si>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</si>
  <si>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</si>
  <si>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</si>
  <si>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</si>
  <si>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  All Fund Shifting Rules remain in effect as adopted in D.12-04-045 as referenced in D.17-12-003 at page 131.</t>
  </si>
  <si>
    <t>MARKETING, EDUCATION &amp; OUTREACH</t>
  </si>
  <si>
    <t>2019 Expenditures for Marketing, Education and Outreach</t>
  </si>
  <si>
    <t>Year-to Date 2018 Expenditures</t>
  </si>
  <si>
    <t>Program Cycle-to Date 2018-2019 Expenditures</t>
  </si>
  <si>
    <r>
      <t xml:space="preserve">Authorized Budget (if Applicable) </t>
    </r>
    <r>
      <rPr>
        <b/>
        <vertAlign val="superscript"/>
        <sz val="10"/>
        <color rgb="FFFF0000"/>
        <rFont val="Calibri"/>
        <family val="2"/>
      </rPr>
      <t>1</t>
    </r>
  </si>
  <si>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</si>
  <si>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</si>
  <si>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</si>
  <si>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</si>
  <si>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</si>
  <si>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r>
      <t xml:space="preserve">Back Up Generators (BUGs) </t>
    </r>
    <r>
      <rPr>
        <vertAlign val="superscript"/>
        <sz val="10"/>
        <color rgb="FFFF0000"/>
        <rFont val="Arial"/>
        <family val="2"/>
      </rPr>
      <t>3</t>
    </r>
  </si>
  <si>
    <t>Capacity Bidding Program</t>
  </si>
  <si>
    <t>AC Saver Day Ahead</t>
  </si>
  <si>
    <t>AC Saver Day Of</t>
  </si>
  <si>
    <r>
      <t xml:space="preserve">Technology Deployment </t>
    </r>
    <r>
      <rPr>
        <vertAlign val="superscript"/>
        <sz val="10"/>
        <color rgb="FFFF0000"/>
        <rFont val="Arial"/>
        <family val="2"/>
      </rPr>
      <t>3</t>
    </r>
  </si>
  <si>
    <t xml:space="preserve">Technology Incentives </t>
  </si>
  <si>
    <r>
      <t xml:space="preserve">CPP-D </t>
    </r>
    <r>
      <rPr>
        <vertAlign val="superscript"/>
        <sz val="10"/>
        <color rgb="FFFF0000"/>
        <rFont val="Arial"/>
        <family val="2"/>
      </rPr>
      <t>2</t>
    </r>
  </si>
  <si>
    <r>
      <t>Smart Pricing</t>
    </r>
    <r>
      <rPr>
        <vertAlign val="superscript"/>
        <sz val="10"/>
        <color rgb="FFFF0000"/>
        <rFont val="Arial"/>
        <family val="2"/>
      </rPr>
      <t xml:space="preserve"> 3</t>
    </r>
  </si>
  <si>
    <t xml:space="preserve">Small Customer Technology Deployment (SCTD) </t>
  </si>
  <si>
    <t xml:space="preserve">Small Business Energy Management Pilot (SBEMP) </t>
  </si>
  <si>
    <t>Permanent Load Shifting</t>
  </si>
  <si>
    <r>
      <t>PROGRAMS &amp; RATES WHICH REQUIRE ITEMIZED ACCOUNTING</t>
    </r>
    <r>
      <rPr>
        <b/>
        <vertAlign val="superscript"/>
        <sz val="10"/>
        <rFont val="Arial"/>
        <family val="2"/>
      </rPr>
      <t xml:space="preserve"> </t>
    </r>
  </si>
  <si>
    <t xml:space="preserve">Reduce Your Use (PTR) </t>
  </si>
  <si>
    <t>Customer Research</t>
  </si>
  <si>
    <t>Collateral- Development, Printing, Distribution etc. (all non-labor costs)</t>
  </si>
  <si>
    <t>Labor</t>
  </si>
  <si>
    <t>Paid Media</t>
  </si>
  <si>
    <t>Other Costs</t>
  </si>
  <si>
    <t>I. TOTAL UTILITY MARKETING BY ACTIVITY</t>
  </si>
  <si>
    <t xml:space="preserve">II. UTILITY MARKETING BY ITEMIZED COST </t>
  </si>
  <si>
    <t xml:space="preserve">Paid Media </t>
  </si>
  <si>
    <r>
      <t xml:space="preserve">Other Costs </t>
    </r>
    <r>
      <rPr>
        <vertAlign val="superscript"/>
        <sz val="10"/>
        <color rgb="FFFF0000"/>
        <rFont val="Arial"/>
        <family val="2"/>
      </rPr>
      <t>3</t>
    </r>
  </si>
  <si>
    <t xml:space="preserve">II. TOTAL UTILITY MARKETING BY ITEMIZED COST </t>
  </si>
  <si>
    <t>III. UTILITY MARKETING BY CUSTOMER SEGMENT</t>
  </si>
  <si>
    <r>
      <t>Agricultural</t>
    </r>
    <r>
      <rPr>
        <vertAlign val="superscript"/>
        <sz val="10"/>
        <color rgb="FFFF0000"/>
        <rFont val="Arial"/>
        <family val="2"/>
      </rPr>
      <t xml:space="preserve"> 3</t>
    </r>
  </si>
  <si>
    <t xml:space="preserve">Large Commercial and Industrial </t>
  </si>
  <si>
    <r>
      <t xml:space="preserve">Small and Medium Commercial </t>
    </r>
    <r>
      <rPr>
        <vertAlign val="superscript"/>
        <sz val="10"/>
        <color rgb="FFFF0000"/>
        <rFont val="Arial"/>
        <family val="2"/>
      </rPr>
      <t>3</t>
    </r>
  </si>
  <si>
    <r>
      <t xml:space="preserve">Residential </t>
    </r>
    <r>
      <rPr>
        <vertAlign val="superscript"/>
        <sz val="10"/>
        <color rgb="FFFF0000"/>
        <rFont val="Arial"/>
        <family val="2"/>
      </rPr>
      <t>3</t>
    </r>
  </si>
  <si>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</si>
  <si>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</si>
  <si>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February Credit is related to labor accrual reversal.</t>
    </r>
  </si>
  <si>
    <r>
      <rPr>
        <vertAlign val="superscript"/>
        <sz val="11"/>
        <color rgb="FFFF0000"/>
        <rFont val="Arial"/>
        <family val="2"/>
      </rPr>
      <t xml:space="preserve">3 </t>
    </r>
    <r>
      <rPr>
        <sz val="11"/>
        <rFont val="Arial"/>
        <family val="2"/>
      </rPr>
      <t>April and May Credits are a result of a Journal Entry to move charges to the correct program.</t>
    </r>
  </si>
  <si>
    <t>EVENT SUMMARY</t>
  </si>
  <si>
    <t>April-August 2019</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</si>
  <si>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</si>
  <si>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</si>
  <si>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</si>
  <si>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</si>
  <si>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</si>
  <si>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</si>
  <si>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 (thermostats)</t>
  </si>
  <si>
    <t>Heat Rate</t>
  </si>
  <si>
    <t>7:00pm-9:00pm</t>
  </si>
  <si>
    <t>AC Saver DA Commercial (thermostats)</t>
  </si>
  <si>
    <t>CBP DA 1pm-9pm</t>
  </si>
  <si>
    <t>Market Price</t>
  </si>
  <si>
    <t>AC Saver DO (Summer Saver) Commercial &amp; Residential</t>
  </si>
  <si>
    <t>CBP DO 1pm-9pm</t>
  </si>
  <si>
    <t>6:00pm-8:00pm</t>
  </si>
  <si>
    <t>6:00pm-9:00pm</t>
  </si>
  <si>
    <t>5:00pm-8:00pm</t>
  </si>
  <si>
    <t>CBP DA 11am-7pm</t>
  </si>
  <si>
    <t>5:00pm-7:00pm</t>
  </si>
  <si>
    <t>CBP DO 11am-7pm</t>
  </si>
  <si>
    <r>
      <rPr>
        <vertAlign val="superscript"/>
        <sz val="12"/>
        <color rgb="FFFF0000"/>
        <rFont val="Arial"/>
        <family val="2"/>
      </rPr>
      <t>1</t>
    </r>
    <r>
      <rPr>
        <b/>
        <vertAlign val="superscript"/>
        <sz val="12"/>
        <color rgb="FFFF0000"/>
        <rFont val="Arial"/>
        <family val="2"/>
      </rPr>
      <t xml:space="preserve">  </t>
    </r>
    <r>
      <rPr>
        <sz val="12"/>
        <rFont val="Arial"/>
        <family val="2"/>
      </rPr>
      <t>If the MW</t>
    </r>
    <r>
      <rPr>
        <sz val="12"/>
        <color theme="1"/>
        <rFont val="Arial"/>
        <family val="2"/>
      </rPr>
      <t xml:space="preserve"> Load Re</t>
    </r>
    <r>
      <rPr>
        <sz val="12"/>
        <rFont val="Arial"/>
        <family val="2"/>
      </rPr>
      <t>duction is 0.00, there was no actual load reduction. If the MW Load Reduction is negative, there was an increase of load during the event hours.</t>
    </r>
  </si>
  <si>
    <r>
      <rPr>
        <vertAlign val="superscript"/>
        <sz val="12"/>
        <color rgb="FFFF0000"/>
        <rFont val="Arial"/>
        <family val="2"/>
      </rPr>
      <t>2</t>
    </r>
    <r>
      <rPr>
        <b/>
        <vertAlign val="superscript"/>
        <sz val="12"/>
        <color rgb="FFFF0000"/>
        <rFont val="Arial"/>
        <family val="2"/>
      </rPr>
      <t xml:space="preserve">  </t>
    </r>
    <r>
      <rPr>
        <sz val="12"/>
        <rFont val="Arial"/>
        <family val="2"/>
      </rPr>
      <t>Program Total Hours (Annual) is cumulative</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</si>
  <si>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</si>
  <si>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</si>
  <si>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</si>
  <si>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</si>
  <si>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</si>
  <si>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</si>
  <si>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r>
      <rPr>
        <vertAlign val="superscript"/>
        <sz val="10"/>
        <color rgb="FFFF0000"/>
        <rFont val="Arial"/>
        <family val="2"/>
      </rPr>
      <t>1,11</t>
    </r>
  </si>
  <si>
    <t>Back Up Generators (BUGs)</t>
  </si>
  <si>
    <r>
      <t xml:space="preserve">Capacity Bidding Program (CBP) </t>
    </r>
    <r>
      <rPr>
        <vertAlign val="superscript"/>
        <sz val="9"/>
        <color rgb="FFFF0000"/>
        <rFont val="Arial"/>
        <family val="2"/>
      </rPr>
      <t>11</t>
    </r>
  </si>
  <si>
    <r>
      <t xml:space="preserve">Peak Time Rebate (PTR) </t>
    </r>
    <r>
      <rPr>
        <vertAlign val="superscript"/>
        <sz val="10"/>
        <color rgb="FFFF0000"/>
        <rFont val="Arial"/>
        <family val="2"/>
      </rPr>
      <t>1</t>
    </r>
  </si>
  <si>
    <t>Demand Response Auction Mechanism (DRAM)</t>
  </si>
  <si>
    <t>Emerging Tech (ET)</t>
  </si>
  <si>
    <r>
      <t xml:space="preserve">Technology Deployment (TD) </t>
    </r>
    <r>
      <rPr>
        <vertAlign val="superscript"/>
        <sz val="10"/>
        <color rgb="FFFF0000"/>
        <rFont val="Arial"/>
        <family val="2"/>
      </rPr>
      <t>12</t>
    </r>
  </si>
  <si>
    <r>
      <t xml:space="preserve">Technology Incentives (TI) </t>
    </r>
    <r>
      <rPr>
        <vertAlign val="superscript"/>
        <sz val="10"/>
        <color rgb="FFFF0000"/>
        <rFont val="Arial"/>
        <family val="2"/>
      </rPr>
      <t>11</t>
    </r>
  </si>
  <si>
    <t>Armed Forces Pilot</t>
  </si>
  <si>
    <r>
      <t>Over Gen Pilot</t>
    </r>
    <r>
      <rPr>
        <vertAlign val="superscript"/>
        <sz val="9"/>
        <color rgb="FFFF0000"/>
        <rFont val="Arial"/>
        <family val="2"/>
      </rPr>
      <t xml:space="preserve"> </t>
    </r>
    <r>
      <rPr>
        <vertAlign val="superscript"/>
        <sz val="10"/>
        <color rgb="FFFF0000"/>
        <rFont val="Arial"/>
        <family val="2"/>
      </rPr>
      <t>13</t>
    </r>
  </si>
  <si>
    <r>
      <t xml:space="preserve">Small Business Energy Management Pilot (SBEMP) </t>
    </r>
    <r>
      <rPr>
        <vertAlign val="superscript"/>
        <sz val="10"/>
        <color rgb="FFFF0000"/>
        <rFont val="Arial"/>
        <family val="2"/>
      </rPr>
      <t>9</t>
    </r>
  </si>
  <si>
    <t>Constrained Local Capacity Program (CLCP)</t>
  </si>
  <si>
    <r>
      <t>Local Marketing Education &amp; Outreach (LMEO)</t>
    </r>
    <r>
      <rPr>
        <vertAlign val="superscript"/>
        <sz val="9"/>
        <color rgb="FFFF0000"/>
        <rFont val="Arial"/>
        <family val="2"/>
      </rPr>
      <t xml:space="preserve"> </t>
    </r>
    <r>
      <rPr>
        <vertAlign val="superscript"/>
        <sz val="10"/>
        <color rgb="FFFF0000"/>
        <rFont val="Arial"/>
        <family val="2"/>
      </rPr>
      <t>7</t>
    </r>
  </si>
  <si>
    <t>General Admin</t>
  </si>
  <si>
    <r>
      <t xml:space="preserve">IT </t>
    </r>
    <r>
      <rPr>
        <vertAlign val="superscript"/>
        <sz val="10"/>
        <color rgb="FFFF0000"/>
        <rFont val="Arial"/>
        <family val="2"/>
      </rPr>
      <t>6</t>
    </r>
  </si>
  <si>
    <r>
      <t>EM&amp;V</t>
    </r>
    <r>
      <rPr>
        <vertAlign val="superscript"/>
        <sz val="9"/>
        <color rgb="FFFF0000"/>
        <rFont val="Arial"/>
        <family val="2"/>
      </rPr>
      <t xml:space="preserve"> </t>
    </r>
    <r>
      <rPr>
        <vertAlign val="superscript"/>
        <sz val="10"/>
        <color rgb="FFFF0000"/>
        <rFont val="Arial"/>
        <family val="2"/>
      </rPr>
      <t>8</t>
    </r>
  </si>
  <si>
    <r>
      <t>SW-COM</t>
    </r>
    <r>
      <rPr>
        <vertAlign val="superscript"/>
        <sz val="9"/>
        <color rgb="FFFF0000"/>
        <rFont val="Arial"/>
        <family val="2"/>
      </rPr>
      <t xml:space="preserve"> </t>
    </r>
  </si>
  <si>
    <r>
      <t xml:space="preserve">SW-IND </t>
    </r>
    <r>
      <rPr>
        <vertAlign val="superscript"/>
        <sz val="10"/>
        <color rgb="FFFF0000"/>
        <rFont val="Arial"/>
        <family val="2"/>
      </rPr>
      <t>2,4</t>
    </r>
    <r>
      <rPr>
        <vertAlign val="superscript"/>
        <sz val="9"/>
        <color rgb="FFFF0000"/>
        <rFont val="Arial"/>
        <family val="2"/>
      </rPr>
      <t>,</t>
    </r>
    <r>
      <rPr>
        <vertAlign val="superscript"/>
        <sz val="10"/>
        <color rgb="FFFF0000"/>
        <rFont val="Arial"/>
        <family val="2"/>
      </rPr>
      <t xml:space="preserve"> 7, 12</t>
    </r>
  </si>
  <si>
    <r>
      <t>SW-AG</t>
    </r>
    <r>
      <rPr>
        <vertAlign val="superscript"/>
        <sz val="9"/>
        <color rgb="FFFF0000"/>
        <rFont val="Arial"/>
        <family val="2"/>
      </rPr>
      <t xml:space="preserve"> </t>
    </r>
    <r>
      <rPr>
        <vertAlign val="superscript"/>
        <sz val="10"/>
        <color rgb="FFFF0000"/>
        <rFont val="Arial"/>
        <family val="2"/>
      </rPr>
      <t>4</t>
    </r>
  </si>
  <si>
    <t xml:space="preserve">Local Marketing Res and Non-Res </t>
  </si>
  <si>
    <r>
      <t xml:space="preserve">Behavioral </t>
    </r>
    <r>
      <rPr>
        <vertAlign val="superscript"/>
        <sz val="10"/>
        <color rgb="FFFF0000"/>
        <rFont val="Arial"/>
        <family val="2"/>
      </rPr>
      <t>10</t>
    </r>
  </si>
  <si>
    <t xml:space="preserve">  Total Administrative (O&amp;M) </t>
  </si>
  <si>
    <t>Customer Incentives</t>
  </si>
  <si>
    <r>
      <t>AC Saver Day‐Of</t>
    </r>
    <r>
      <rPr>
        <vertAlign val="superscript"/>
        <sz val="10"/>
        <color rgb="FFFF0000"/>
        <rFont val="Arial"/>
        <family val="2"/>
      </rPr>
      <t xml:space="preserve"> 5</t>
    </r>
  </si>
  <si>
    <t xml:space="preserve">Base Interruptible Program (BIP) </t>
  </si>
  <si>
    <t>Technology Deployment (TD)</t>
  </si>
  <si>
    <t>Small Business Energy Management Pilot (SBEMP)</t>
  </si>
  <si>
    <t>CPPD</t>
  </si>
  <si>
    <r>
      <t xml:space="preserve">SCTD </t>
    </r>
    <r>
      <rPr>
        <vertAlign val="superscript"/>
        <sz val="10"/>
        <color rgb="FFFF0000"/>
        <rFont val="Arial"/>
        <family val="2"/>
      </rPr>
      <t>7</t>
    </r>
  </si>
  <si>
    <r>
      <t xml:space="preserve">PLS </t>
    </r>
    <r>
      <rPr>
        <vertAlign val="superscript"/>
        <sz val="10"/>
        <color rgb="FFFF0000"/>
        <rFont val="Arial"/>
        <family val="2"/>
      </rPr>
      <t>3</t>
    </r>
  </si>
  <si>
    <t>Total Customer Incentives</t>
  </si>
  <si>
    <t xml:space="preserve">Total </t>
  </si>
  <si>
    <t>AMDRMA Account End of Month Balance for Monthly Activity with Interest</t>
  </si>
  <si>
    <r>
      <rPr>
        <vertAlign val="superscript"/>
        <sz val="11"/>
        <color rgb="FFFF0000"/>
        <rFont val="Arial"/>
        <family val="2"/>
      </rPr>
      <t xml:space="preserve">2  </t>
    </r>
    <r>
      <rPr>
        <sz val="11"/>
        <rFont val="Arial"/>
        <family val="2"/>
      </rPr>
      <t>January Credit is a result of accrual reversals and a refund of an overpayment to vendor.</t>
    </r>
  </si>
  <si>
    <r>
      <rPr>
        <vertAlign val="superscript"/>
        <sz val="11"/>
        <color rgb="FFFF0000"/>
        <rFont val="Arial"/>
        <family val="2"/>
      </rPr>
      <t>3</t>
    </r>
    <r>
      <rPr>
        <sz val="11"/>
        <rFont val="Arial"/>
        <family val="2"/>
      </rPr>
      <t xml:space="preserve">  Credit is a result of an expense accrued at a higher dollar amount versus what was paid.</t>
    </r>
  </si>
  <si>
    <r>
      <rPr>
        <vertAlign val="superscript"/>
        <sz val="11"/>
        <color rgb="FFFF0000"/>
        <rFont val="Arial"/>
        <family val="2"/>
      </rPr>
      <t>4</t>
    </r>
    <r>
      <rPr>
        <sz val="11"/>
        <rFont val="Arial"/>
        <family val="2"/>
      </rPr>
      <t xml:space="preserve">  February and May Credit is related to labor accrual reversal.</t>
    </r>
  </si>
  <si>
    <r>
      <rPr>
        <vertAlign val="superscript"/>
        <sz val="11"/>
        <color rgb="FFFF0000"/>
        <rFont val="Arial"/>
        <family val="2"/>
      </rPr>
      <t xml:space="preserve">5 </t>
    </r>
    <r>
      <rPr>
        <sz val="11"/>
        <rFont val="Arial"/>
        <family val="2"/>
      </rPr>
      <t xml:space="preserve"> February Credit is a result of a rejected bill credit due to final account status.</t>
    </r>
  </si>
  <si>
    <r>
      <rPr>
        <vertAlign val="superscript"/>
        <sz val="11"/>
        <color rgb="FFFF0000"/>
        <rFont val="Arial"/>
        <family val="2"/>
      </rPr>
      <t xml:space="preserve">6 </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</si>
  <si>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7</t>
    </r>
    <r>
      <rPr>
        <sz val="11"/>
        <rFont val="Arial"/>
        <family val="2"/>
      </rPr>
      <t xml:space="preserve">  April and May Credits are a result of a Journal Entry to move charges to the correct program.</t>
    </r>
  </si>
  <si>
    <r>
      <rPr>
        <vertAlign val="superscript"/>
        <sz val="11"/>
        <color rgb="FFFF0000"/>
        <rFont val="Arial"/>
        <family val="2"/>
      </rPr>
      <t xml:space="preserve">8 </t>
    </r>
    <r>
      <rPr>
        <sz val="11"/>
        <rFont val="Arial"/>
        <family val="2"/>
      </rPr>
      <t xml:space="preserve"> April and July Credits are related to accrual reversals which occurred in a prior reporting month.</t>
    </r>
  </si>
  <si>
    <r>
      <rPr>
        <vertAlign val="superscript"/>
        <sz val="11"/>
        <color rgb="FFFF0000"/>
        <rFont val="Arial"/>
        <family val="2"/>
      </rPr>
      <t>9</t>
    </r>
    <r>
      <rPr>
        <sz val="11"/>
        <rFont val="Arial"/>
        <family val="2"/>
      </rPr>
      <t xml:space="preserve">  May and August credit is a result of the labor reversals to clear out Admin Charges from January thru April.
</t>
    </r>
  </si>
  <si>
    <r>
      <rPr>
        <vertAlign val="superscript"/>
        <sz val="11"/>
        <color rgb="FFFF0000"/>
        <rFont val="Arial"/>
        <family val="2"/>
      </rPr>
      <t>10</t>
    </r>
    <r>
      <rPr>
        <sz val="11"/>
        <rFont val="Arial"/>
        <family val="2"/>
      </rPr>
      <t xml:space="preserve"> June credit is a result of a Journal Entry to reflect the correct allocation split between Energy Efficiency and Demand Response.</t>
    </r>
  </si>
  <si>
    <r>
      <rPr>
        <vertAlign val="superscript"/>
        <sz val="11"/>
        <color rgb="FFFF0000"/>
        <rFont val="Arial"/>
        <family val="2"/>
      </rPr>
      <t xml:space="preserve">11 </t>
    </r>
    <r>
      <rPr>
        <sz val="11"/>
        <rFont val="Arial"/>
        <family val="2"/>
      </rPr>
      <t>July Credit is a result of a Journal Entry to move non-labor charges to the correct Base Interrutiple Program (BIP) and Technical Incentives (TI) to Information Technology (TI).</t>
    </r>
  </si>
  <si>
    <r>
      <rPr>
        <vertAlign val="superscript"/>
        <sz val="11"/>
        <color rgb="FFFF0000"/>
        <rFont val="Arial"/>
        <family val="2"/>
      </rPr>
      <t>12</t>
    </r>
    <r>
      <rPr>
        <sz val="11"/>
        <rFont val="Arial"/>
        <family val="2"/>
      </rPr>
      <t xml:space="preserve"> August Credit is a result of a Journal Entry to move non-labor charges to reflect the correct cost allocation.</t>
    </r>
  </si>
  <si>
    <r>
      <rPr>
        <vertAlign val="superscript"/>
        <sz val="11"/>
        <color rgb="FFFF0000"/>
        <rFont val="Arial"/>
        <family val="2"/>
      </rPr>
      <t>13</t>
    </r>
    <r>
      <rPr>
        <sz val="11"/>
        <rFont val="Arial"/>
        <family val="2"/>
      </rPr>
      <t xml:space="preserve"> August credits are a result of labor accrual reversals and labor allocation corrections.</t>
    </r>
  </si>
  <si>
    <t>GENERAL RATE CASE PROGRAMS ($000)</t>
  </si>
  <si>
    <t>Year-to-Date Total Cost</t>
  </si>
  <si>
    <t>Programs in General Rate Case</t>
  </si>
  <si>
    <t xml:space="preserve">AL-TOU-CP </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</si>
  <si>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</si>
  <si>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</si>
  <si>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</si>
  <si>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</si>
  <si>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</si>
  <si>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</si>
  <si>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</si>
  <si>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</si>
  <si>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</si>
  <si>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AL-TOU-CP</t>
  </si>
  <si>
    <t xml:space="preserve">Revenue from Penalties </t>
  </si>
  <si>
    <t>Total GRC Program Costs</t>
  </si>
  <si>
    <t>DIRECT PARTICIPATION DR MEMO ACCOUNT ($000)</t>
  </si>
  <si>
    <t>Programs in Direct Participation Demand Response Memorandum Account (DPDRMA)</t>
  </si>
  <si>
    <t xml:space="preserve">Rule 32 </t>
  </si>
  <si>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</si>
  <si>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</si>
  <si>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3,5</t>
    </r>
  </si>
  <si>
    <r>
      <t xml:space="preserve">Rule 32 Click-Through </t>
    </r>
    <r>
      <rPr>
        <vertAlign val="superscript"/>
        <sz val="10"/>
        <color rgb="FFFF0000"/>
        <rFont val="Arial"/>
        <family val="2"/>
      </rPr>
      <t>1, 4</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</si>
  <si>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</si>
  <si>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</si>
  <si>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</si>
  <si>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</si>
  <si>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</si>
  <si>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</si>
  <si>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</si>
  <si>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</si>
  <si>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</si>
  <si>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</si>
  <si>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0"/>
        <color rgb="FFFF0000"/>
        <rFont val="Arial"/>
        <family val="2"/>
      </rPr>
      <t xml:space="preserve">4 </t>
    </r>
    <r>
      <rPr>
        <sz val="10"/>
        <rFont val="Arial"/>
        <family val="2"/>
      </rPr>
      <t>May Credit is related to labor accrual reversal.</t>
    </r>
  </si>
  <si>
    <r>
      <rPr>
        <vertAlign val="superscript"/>
        <sz val="10"/>
        <color rgb="FFFF0000"/>
        <rFont val="Arial"/>
        <family val="2"/>
      </rPr>
      <t xml:space="preserve">5 </t>
    </r>
    <r>
      <rPr>
        <sz val="10"/>
        <rFont val="Arial"/>
        <family val="2"/>
      </rPr>
      <t>Credit is related to labor annd accounting accrual reversals.</t>
    </r>
  </si>
  <si>
    <t>Period</t>
  </si>
  <si>
    <t>Month</t>
  </si>
  <si>
    <t>Ex Ante Estimated MW</t>
  </si>
  <si>
    <t>Mar</t>
  </si>
  <si>
    <t>Apr</t>
  </si>
  <si>
    <t>Jun</t>
  </si>
  <si>
    <t>Jul</t>
  </si>
  <si>
    <t>Aug</t>
  </si>
  <si>
    <t>Sep</t>
  </si>
  <si>
    <t>Oct</t>
  </si>
  <si>
    <t>Nov</t>
  </si>
  <si>
    <t>Dec</t>
  </si>
  <si>
    <t>Type</t>
  </si>
  <si>
    <t>c</t>
  </si>
  <si>
    <t>r</t>
  </si>
  <si>
    <t>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</si>
</sst>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s>
  <fonts count="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vertAlign val="superscript"/>
      <sz val="12"/>
      <color rgb="FFFF0000"/>
      <name val="Arial"/>
      <family val="2"/>
    </font>
    <font>
      <b/>
      <sz val="11"/>
      <name val="Arial"/>
      <family val="2"/>
    </font>
    <font>
      <sz val="12"/>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vertAlign val="superscript"/>
      <sz val="12"/>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theme="1"/>
      <name val="Arial"/>
      <family val="2"/>
    </font>
    <font>
      <sz val="10"/>
      <name val="Century Gothic"/>
      <family val="2"/>
    </font>
    <font>
      <sz val="11"/>
      <name val="Calibri"/>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vertAlign val="superscript"/>
      <sz val="11"/>
      <color rgb="FFFF0000"/>
      <name val="Arial"/>
      <family val="2"/>
    </font>
    <font>
      <sz val="10"/>
      <color theme="1"/>
      <name val="Century Gothic"/>
      <family val="2"/>
    </font>
    <font>
      <b/>
      <sz val="10"/>
      <color rgb="FFFFFFFF"/>
      <name val="Arial"/>
      <family val="2"/>
    </font>
  </fonts>
  <fills count="52">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bottom style="medium">
        <color theme="1"/>
      </bottom>
      <diagonal/>
    </border>
  </borders>
  <cellStyleXfs count="888">
    <xf numFmtId="175" fontId="0"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5" borderId="0" applyNumberFormat="0" applyBorder="0" applyAlignment="0" applyProtection="0"/>
    <xf numFmtId="175" fontId="18" fillId="16" borderId="0" applyNumberFormat="0" applyBorder="0" applyAlignment="0" applyProtection="0"/>
    <xf numFmtId="175" fontId="19" fillId="17" borderId="0" applyNumberFormat="0" applyBorder="0" applyAlignment="0" applyProtection="0"/>
    <xf numFmtId="175" fontId="19" fillId="18" borderId="0" applyNumberFormat="0" applyBorder="0" applyAlignment="0" applyProtection="0"/>
    <xf numFmtId="175" fontId="18" fillId="19" borderId="0" applyNumberFormat="0" applyBorder="0" applyAlignment="0" applyProtection="0"/>
    <xf numFmtId="175" fontId="18" fillId="19" borderId="0" applyNumberFormat="0" applyBorder="0" applyAlignment="0" applyProtection="0"/>
    <xf numFmtId="175" fontId="19" fillId="20" borderId="0" applyNumberFormat="0" applyBorder="0" applyAlignment="0" applyProtection="0"/>
    <xf numFmtId="175" fontId="19" fillId="21" borderId="0" applyNumberFormat="0" applyBorder="0" applyAlignment="0" applyProtection="0"/>
    <xf numFmtId="175" fontId="18" fillId="22" borderId="0" applyNumberFormat="0" applyBorder="0" applyAlignment="0" applyProtection="0"/>
    <xf numFmtId="175" fontId="18" fillId="23" borderId="0" applyNumberFormat="0" applyBorder="0" applyAlignment="0" applyProtection="0"/>
    <xf numFmtId="175" fontId="19" fillId="21" borderId="0" applyNumberFormat="0" applyBorder="0" applyAlignment="0" applyProtection="0"/>
    <xf numFmtId="175" fontId="19" fillId="22" borderId="0" applyNumberFormat="0" applyBorder="0" applyAlignment="0" applyProtection="0"/>
    <xf numFmtId="175" fontId="18" fillId="22" borderId="0" applyNumberFormat="0" applyBorder="0" applyAlignment="0" applyProtection="0"/>
    <xf numFmtId="175" fontId="18" fillId="24"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4" borderId="0" applyNumberFormat="0" applyBorder="0" applyAlignment="0" applyProtection="0"/>
    <xf numFmtId="175" fontId="18" fillId="25" borderId="0" applyNumberFormat="0" applyBorder="0" applyAlignment="0" applyProtection="0"/>
    <xf numFmtId="175" fontId="19" fillId="26" borderId="0" applyNumberFormat="0" applyBorder="0" applyAlignment="0" applyProtection="0"/>
    <xf numFmtId="175" fontId="19" fillId="18" borderId="0" applyNumberFormat="0" applyBorder="0" applyAlignment="0" applyProtection="0"/>
    <xf numFmtId="175" fontId="18" fillId="27"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175" fontId="23" fillId="29" borderId="0" applyNumberFormat="0" applyBorder="0" applyAlignment="0" applyProtection="0"/>
    <xf numFmtId="175" fontId="23" fillId="30" borderId="0" applyNumberFormat="0" applyBorder="0" applyAlignment="0" applyProtection="0"/>
    <xf numFmtId="175" fontId="23" fillId="31" borderId="0" applyNumberFormat="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0" borderId="0"/>
    <xf numFmtId="175" fontId="14" fillId="0" borderId="0"/>
    <xf numFmtId="175" fontId="12" fillId="26" borderId="7" applyNumberFormat="0" applyFont="0" applyAlignment="0" applyProtection="0"/>
    <xf numFmtId="175" fontId="32" fillId="28" borderId="8" applyNumberFormat="0" applyAlignment="0" applyProtection="0"/>
    <xf numFmtId="9" fontId="47" fillId="0" borderId="0" applyFont="0" applyFill="0" applyBorder="0" applyAlignment="0" applyProtection="0"/>
    <xf numFmtId="9" fontId="12" fillId="0" borderId="0" applyFont="0" applyFill="0" applyBorder="0" applyAlignment="0" applyProtection="0"/>
    <xf numFmtId="4" fontId="33" fillId="33" borderId="9" applyNumberFormat="0" applyProtection="0">
      <alignment vertical="center"/>
    </xf>
    <xf numFmtId="4" fontId="34" fillId="33" borderId="9" applyNumberFormat="0" applyProtection="0">
      <alignment vertical="center"/>
    </xf>
    <xf numFmtId="4" fontId="33" fillId="33" borderId="9" applyNumberFormat="0" applyProtection="0">
      <alignment horizontal="left" vertical="center" indent="1"/>
    </xf>
    <xf numFmtId="175" fontId="33" fillId="33" borderId="9" applyNumberFormat="0" applyProtection="0">
      <alignment horizontal="left" vertical="top" indent="1"/>
    </xf>
    <xf numFmtId="4" fontId="33" fillId="2" borderId="0" applyNumberFormat="0" applyProtection="0">
      <alignment horizontal="left" vertical="center" indent="1"/>
    </xf>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33" fillId="40" borderId="10" applyNumberFormat="0" applyProtection="0">
      <alignment horizontal="left" vertical="center" indent="1"/>
    </xf>
    <xf numFmtId="4" fontId="16" fillId="41" borderId="0" applyNumberFormat="0" applyProtection="0">
      <alignment horizontal="left" vertical="center" indent="1"/>
    </xf>
    <xf numFmtId="4" fontId="35" fillId="8" borderId="0" applyNumberFormat="0" applyProtection="0">
      <alignment horizontal="left" vertical="center" indent="1"/>
    </xf>
    <xf numFmtId="4" fontId="16" fillId="2" borderId="9" applyNumberFormat="0" applyProtection="0">
      <alignment horizontal="right" vertical="center"/>
    </xf>
    <xf numFmtId="4" fontId="14" fillId="41" borderId="0" applyNumberFormat="0" applyProtection="0">
      <alignment horizontal="left" vertical="center" indent="1"/>
    </xf>
    <xf numFmtId="4" fontId="14" fillId="2" borderId="0" applyNumberFormat="0" applyProtection="0">
      <alignment horizontal="left" vertical="center" indent="1"/>
    </xf>
    <xf numFmtId="175" fontId="12" fillId="8" borderId="9" applyNumberFormat="0" applyProtection="0">
      <alignment horizontal="left" vertical="center" indent="1"/>
    </xf>
    <xf numFmtId="175" fontId="12" fillId="8" borderId="9" applyNumberFormat="0" applyProtection="0">
      <alignment horizontal="left" vertical="top" indent="1"/>
    </xf>
    <xf numFmtId="175" fontId="12" fillId="2" borderId="9" applyNumberFormat="0" applyProtection="0">
      <alignment horizontal="left" vertical="center" indent="1"/>
    </xf>
    <xf numFmtId="175" fontId="12" fillId="2" borderId="9" applyNumberFormat="0" applyProtection="0">
      <alignment horizontal="left" vertical="top" indent="1"/>
    </xf>
    <xf numFmtId="175" fontId="12" fillId="6" borderId="9" applyNumberFormat="0" applyProtection="0">
      <alignment horizontal="left" vertical="center" indent="1"/>
    </xf>
    <xf numFmtId="175" fontId="12" fillId="6" borderId="9" applyNumberFormat="0" applyProtection="0">
      <alignment horizontal="left" vertical="top" indent="1"/>
    </xf>
    <xf numFmtId="175" fontId="12" fillId="41" borderId="9" applyNumberFormat="0" applyProtection="0">
      <alignment horizontal="left" vertical="center" indent="1"/>
    </xf>
    <xf numFmtId="175" fontId="12" fillId="41" borderId="9" applyNumberFormat="0" applyProtection="0">
      <alignment horizontal="left" vertical="top" indent="1"/>
    </xf>
    <xf numFmtId="175" fontId="12" fillId="5" borderId="11" applyNumberFormat="0">
      <protection locked="0"/>
    </xf>
    <xf numFmtId="4" fontId="16" fillId="4" borderId="9" applyNumberFormat="0" applyProtection="0">
      <alignment vertical="center"/>
    </xf>
    <xf numFmtId="4" fontId="3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3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4" fontId="37" fillId="42" borderId="0" applyNumberFormat="0" applyProtection="0">
      <alignment horizontal="left" vertical="center" indent="1"/>
    </xf>
    <xf numFmtId="4" fontId="38" fillId="41" borderId="9" applyNumberFormat="0" applyProtection="0">
      <alignment horizontal="right" vertical="center"/>
    </xf>
    <xf numFmtId="175" fontId="39" fillId="0" borderId="0" applyNumberFormat="0" applyFill="0" applyBorder="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44" fontId="12" fillId="0" borderId="0" applyFont="0" applyFill="0" applyBorder="0" applyAlignment="0" applyProtection="0"/>
    <xf numFmtId="4" fontId="14" fillId="7" borderId="9" applyNumberFormat="0" applyProtection="0">
      <alignment horizontal="right" vertical="center"/>
    </xf>
    <xf numFmtId="4" fontId="14" fillId="3" borderId="9" applyNumberFormat="0" applyProtection="0">
      <alignment horizontal="right" vertical="center"/>
    </xf>
    <xf numFmtId="4" fontId="14" fillId="34" borderId="9" applyNumberFormat="0" applyProtection="0">
      <alignment horizontal="right" vertical="center"/>
    </xf>
    <xf numFmtId="4" fontId="14" fillId="35" borderId="9" applyNumberFormat="0" applyProtection="0">
      <alignment horizontal="right" vertical="center"/>
    </xf>
    <xf numFmtId="4" fontId="14" fillId="36" borderId="9" applyNumberFormat="0" applyProtection="0">
      <alignment horizontal="right" vertical="center"/>
    </xf>
    <xf numFmtId="4" fontId="14" fillId="37" borderId="9" applyNumberFormat="0" applyProtection="0">
      <alignment horizontal="right" vertical="center"/>
    </xf>
    <xf numFmtId="4" fontId="14" fillId="9" borderId="9" applyNumberFormat="0" applyProtection="0">
      <alignment horizontal="right" vertical="center"/>
    </xf>
    <xf numFmtId="4" fontId="14" fillId="38" borderId="9" applyNumberFormat="0" applyProtection="0">
      <alignment horizontal="right" vertical="center"/>
    </xf>
    <xf numFmtId="4" fontId="14" fillId="39" borderId="9" applyNumberFormat="0" applyProtection="0">
      <alignment horizontal="right" vertical="center"/>
    </xf>
    <xf numFmtId="4" fontId="14" fillId="41" borderId="0" applyNumberFormat="0" applyProtection="0">
      <alignment horizontal="left" vertical="center" indent="1"/>
    </xf>
    <xf numFmtId="4" fontId="14" fillId="2" borderId="9" applyNumberFormat="0" applyProtection="0">
      <alignment horizontal="right" vertical="center"/>
    </xf>
    <xf numFmtId="4" fontId="14" fillId="4" borderId="9" applyNumberFormat="0" applyProtection="0">
      <alignment vertical="center"/>
    </xf>
    <xf numFmtId="4" fontId="14" fillId="4" borderId="9" applyNumberFormat="0" applyProtection="0">
      <alignment horizontal="left" vertical="center" indent="1"/>
    </xf>
    <xf numFmtId="175" fontId="14" fillId="4" borderId="9" applyNumberFormat="0" applyProtection="0">
      <alignment horizontal="left" vertical="top" indent="1"/>
    </xf>
    <xf numFmtId="4" fontId="14" fillId="41" borderId="9" applyNumberFormat="0" applyProtection="0">
      <alignment horizontal="right" vertical="center"/>
    </xf>
    <xf numFmtId="4" fontId="14" fillId="2" borderId="9" applyNumberFormat="0" applyProtection="0">
      <alignment horizontal="left" vertical="center" indent="1"/>
    </xf>
    <xf numFmtId="175" fontId="14" fillId="2" borderId="9" applyNumberFormat="0" applyProtection="0">
      <alignment horizontal="left" vertical="top" indent="1"/>
    </xf>
    <xf numFmtId="9" fontId="54" fillId="0" borderId="0" applyFont="0" applyFill="0" applyBorder="0" applyAlignment="0" applyProtection="0"/>
    <xf numFmtId="175" fontId="56" fillId="0" borderId="0"/>
    <xf numFmtId="175" fontId="11"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2" fillId="0" borderId="0"/>
    <xf numFmtId="175" fontId="10" fillId="0" borderId="0"/>
    <xf numFmtId="175" fontId="57"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0" fillId="0" borderId="0"/>
    <xf numFmtId="175" fontId="9"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9" fillId="0" borderId="0"/>
    <xf numFmtId="175" fontId="9" fillId="0" borderId="0"/>
    <xf numFmtId="175" fontId="12" fillId="0" borderId="0"/>
    <xf numFmtId="175" fontId="9" fillId="0" borderId="0"/>
    <xf numFmtId="175" fontId="8"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7" fillId="0" borderId="0"/>
    <xf numFmtId="175" fontId="6" fillId="0" borderId="0"/>
    <xf numFmtId="175" fontId="59"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2" fillId="0" borderId="0"/>
    <xf numFmtId="175" fontId="5" fillId="0" borderId="0"/>
    <xf numFmtId="0" fontId="4"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12"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3"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2" fillId="0" borderId="0"/>
    <xf numFmtId="175" fontId="73"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73"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175" fontId="12"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2" fillId="0" borderId="0"/>
  </cellStyleXfs>
  <cellXfs count="751">
    <xf numFmtId="175" fontId="0" fillId="0" borderId="0" xfId="0"/>
    <xf numFmtId="3" fontId="12" fillId="0" borderId="24" xfId="0" applyNumberFormat="1" applyFont="1" applyBorder="1" applyAlignment="1">
      <alignment horizontal="center"/>
    </xf>
    <xf numFmtId="3" fontId="12" fillId="0" borderId="31" xfId="0" applyNumberFormat="1" applyFont="1" applyBorder="1" applyAlignment="1">
      <alignment horizontal="center"/>
    </xf>
    <xf numFmtId="3" fontId="12" fillId="0" borderId="33" xfId="0" applyNumberFormat="1" applyFont="1" applyBorder="1" applyAlignment="1">
      <alignment horizontal="center"/>
    </xf>
    <xf numFmtId="3" fontId="12" fillId="0" borderId="42" xfId="0" applyNumberFormat="1" applyFont="1" applyBorder="1" applyAlignment="1" applyProtection="1">
      <alignment wrapText="1"/>
      <protection locked="0"/>
    </xf>
    <xf numFmtId="165" fontId="12" fillId="0" borderId="25" xfId="0" applyNumberFormat="1" applyFont="1" applyBorder="1" applyAlignment="1" applyProtection="1">
      <alignment horizontal="center"/>
      <protection locked="0"/>
    </xf>
    <xf numFmtId="165" fontId="12" fillId="0" borderId="0" xfId="0" applyNumberFormat="1" applyFont="1" applyProtection="1">
      <protection locked="0"/>
    </xf>
    <xf numFmtId="3" fontId="12" fillId="0" borderId="55" xfId="0" applyNumberFormat="1" applyFont="1" applyBorder="1" applyAlignment="1" applyProtection="1">
      <alignment wrapText="1"/>
      <protection locked="0"/>
    </xf>
    <xf numFmtId="165" fontId="12" fillId="0" borderId="32" xfId="0" applyNumberFormat="1" applyFont="1" applyBorder="1" applyAlignment="1" applyProtection="1">
      <alignment horizontal="center"/>
      <protection locked="0"/>
    </xf>
    <xf numFmtId="165" fontId="12" fillId="0" borderId="0" xfId="0" applyNumberFormat="1" applyFont="1" applyAlignment="1" applyProtection="1">
      <alignment horizontal="center"/>
      <protection locked="0"/>
    </xf>
    <xf numFmtId="175" fontId="12" fillId="0" borderId="0" xfId="0" applyFont="1" applyProtection="1">
      <protection locked="0"/>
    </xf>
    <xf numFmtId="175" fontId="13" fillId="0" borderId="0" xfId="0" applyFont="1" applyAlignment="1" applyProtection="1">
      <alignment horizontal="center" wrapText="1"/>
      <protection locked="0"/>
    </xf>
    <xf numFmtId="3" fontId="12" fillId="0" borderId="0" xfId="0" applyNumberFormat="1" applyFont="1" applyProtection="1">
      <protection locked="0"/>
    </xf>
    <xf numFmtId="175" fontId="13" fillId="0" borderId="0" xfId="0" applyFont="1" applyAlignment="1" applyProtection="1">
      <alignment wrapText="1"/>
      <protection locked="0"/>
    </xf>
    <xf numFmtId="3" fontId="44" fillId="0" borderId="17" xfId="0" applyNumberFormat="1" applyFont="1" applyBorder="1" applyAlignment="1">
      <alignment horizontal="center"/>
    </xf>
    <xf numFmtId="6" fontId="12" fillId="0" borderId="0" xfId="66" applyNumberFormat="1"/>
    <xf numFmtId="6" fontId="12" fillId="0" borderId="13" xfId="66" applyNumberFormat="1" applyBorder="1"/>
    <xf numFmtId="6" fontId="12" fillId="0" borderId="13" xfId="66" applyNumberFormat="1" applyBorder="1" applyAlignment="1">
      <alignment horizontal="right"/>
    </xf>
    <xf numFmtId="6" fontId="12" fillId="0" borderId="18" xfId="66" applyNumberFormat="1" applyBorder="1"/>
    <xf numFmtId="6" fontId="12" fillId="0" borderId="11" xfId="66" applyNumberFormat="1" applyBorder="1"/>
    <xf numFmtId="175" fontId="12" fillId="0" borderId="0" xfId="66"/>
    <xf numFmtId="175" fontId="14" fillId="0" borderId="0" xfId="67"/>
    <xf numFmtId="175" fontId="33" fillId="0" borderId="11" xfId="67" applyFont="1" applyBorder="1" applyAlignment="1">
      <alignment horizontal="center"/>
    </xf>
    <xf numFmtId="175" fontId="33" fillId="0" borderId="0" xfId="67" applyFont="1" applyAlignment="1">
      <alignment horizontal="center"/>
    </xf>
    <xf numFmtId="175" fontId="13" fillId="0" borderId="44" xfId="66" applyFont="1" applyBorder="1"/>
    <xf numFmtId="175" fontId="13" fillId="0" borderId="48" xfId="66" applyFont="1" applyBorder="1" applyAlignment="1">
      <alignment wrapText="1"/>
    </xf>
    <xf numFmtId="175" fontId="42" fillId="0" borderId="0" xfId="66" applyFont="1"/>
    <xf numFmtId="175" fontId="13" fillId="44" borderId="35" xfId="66" applyFont="1" applyFill="1" applyBorder="1" applyAlignment="1">
      <alignment horizontal="center"/>
    </xf>
    <xf numFmtId="175" fontId="13" fillId="0" borderId="36" xfId="66" applyFont="1" applyBorder="1" applyAlignment="1">
      <alignment horizontal="center"/>
    </xf>
    <xf numFmtId="175" fontId="13" fillId="0" borderId="51" xfId="66" applyFont="1" applyBorder="1" applyAlignment="1">
      <alignment horizontal="center" wrapText="1"/>
    </xf>
    <xf numFmtId="175" fontId="43" fillId="0" borderId="46" xfId="66" applyFont="1" applyBorder="1" applyAlignment="1">
      <alignment horizontal="center"/>
    </xf>
    <xf numFmtId="175" fontId="12" fillId="0" borderId="47" xfId="66" applyBorder="1"/>
    <xf numFmtId="175" fontId="13" fillId="0" borderId="46" xfId="66" applyFont="1" applyBorder="1" applyAlignment="1">
      <alignment horizontal="center"/>
    </xf>
    <xf numFmtId="175" fontId="12" fillId="0" borderId="46" xfId="66" applyBorder="1"/>
    <xf numFmtId="164" fontId="12" fillId="0" borderId="0" xfId="66" applyNumberFormat="1"/>
    <xf numFmtId="164" fontId="12" fillId="0" borderId="47" xfId="66" applyNumberFormat="1" applyBorder="1"/>
    <xf numFmtId="164" fontId="12" fillId="0" borderId="18" xfId="66" applyNumberFormat="1" applyBorder="1"/>
    <xf numFmtId="164" fontId="12" fillId="0" borderId="45" xfId="66" applyNumberFormat="1" applyBorder="1"/>
    <xf numFmtId="175" fontId="13" fillId="0" borderId="46" xfId="66" applyFont="1" applyBorder="1"/>
    <xf numFmtId="164" fontId="12" fillId="0" borderId="0" xfId="66" applyNumberFormat="1" applyAlignment="1">
      <alignment horizontal="right"/>
    </xf>
    <xf numFmtId="175" fontId="13" fillId="0" borderId="46" xfId="66" applyFont="1" applyBorder="1" applyAlignment="1">
      <alignment horizontal="left" indent="1"/>
    </xf>
    <xf numFmtId="164" fontId="12" fillId="0" borderId="27" xfId="66" applyNumberFormat="1" applyBorder="1"/>
    <xf numFmtId="175" fontId="13" fillId="0" borderId="46" xfId="66" applyFont="1" applyBorder="1" applyAlignment="1">
      <alignment horizontal="center" wrapText="1"/>
    </xf>
    <xf numFmtId="175" fontId="13" fillId="0" borderId="44" xfId="66" applyFont="1" applyBorder="1" applyAlignment="1">
      <alignment horizontal="left" indent="1"/>
    </xf>
    <xf numFmtId="175" fontId="13" fillId="0" borderId="52" xfId="66" applyFont="1" applyBorder="1" applyAlignment="1">
      <alignment horizontal="left" indent="1"/>
    </xf>
    <xf numFmtId="164" fontId="12" fillId="0" borderId="53" xfId="66" applyNumberFormat="1" applyBorder="1"/>
    <xf numFmtId="175" fontId="13" fillId="0" borderId="11" xfId="66" applyFont="1" applyBorder="1"/>
    <xf numFmtId="164" fontId="12" fillId="44" borderId="18" xfId="66" applyNumberFormat="1" applyFill="1" applyBorder="1"/>
    <xf numFmtId="164" fontId="12" fillId="44" borderId="45" xfId="66" applyNumberFormat="1" applyFill="1" applyBorder="1" applyAlignment="1">
      <alignment horizontal="right"/>
    </xf>
    <xf numFmtId="164" fontId="12" fillId="44" borderId="0" xfId="66" applyNumberFormat="1" applyFill="1"/>
    <xf numFmtId="164" fontId="13" fillId="0" borderId="49" xfId="66" applyNumberFormat="1" applyFont="1" applyBorder="1"/>
    <xf numFmtId="164" fontId="13" fillId="0" borderId="50" xfId="66" applyNumberFormat="1" applyFont="1" applyBorder="1"/>
    <xf numFmtId="175" fontId="13" fillId="0" borderId="37" xfId="66" applyFont="1" applyBorder="1" applyAlignment="1">
      <alignment wrapText="1"/>
    </xf>
    <xf numFmtId="164" fontId="13" fillId="0" borderId="37" xfId="66" applyNumberFormat="1" applyFont="1" applyBorder="1"/>
    <xf numFmtId="175" fontId="13" fillId="0" borderId="0" xfId="0" applyFont="1"/>
    <xf numFmtId="175" fontId="0" fillId="0" borderId="15" xfId="0" applyBorder="1"/>
    <xf numFmtId="175" fontId="13" fillId="0" borderId="34" xfId="0" applyFont="1" applyBorder="1"/>
    <xf numFmtId="175" fontId="12" fillId="0" borderId="0" xfId="0" applyFont="1"/>
    <xf numFmtId="175" fontId="12" fillId="0" borderId="13" xfId="0" applyFont="1" applyBorder="1"/>
    <xf numFmtId="175" fontId="33" fillId="0" borderId="0" xfId="0" applyFont="1" applyProtection="1">
      <protection locked="0"/>
    </xf>
    <xf numFmtId="175" fontId="14" fillId="0" borderId="0" xfId="0" applyFont="1" applyProtection="1">
      <protection locked="0"/>
    </xf>
    <xf numFmtId="165" fontId="14" fillId="0" borderId="0" xfId="0" applyNumberFormat="1" applyFont="1" applyProtection="1">
      <protection locked="0"/>
    </xf>
    <xf numFmtId="175" fontId="45" fillId="0" borderId="0" xfId="0" applyFont="1" applyProtection="1">
      <protection locked="0"/>
    </xf>
    <xf numFmtId="172" fontId="33" fillId="0" borderId="0" xfId="0" applyNumberFormat="1" applyFont="1" applyAlignment="1" applyProtection="1">
      <alignment horizontal="right"/>
      <protection locked="0"/>
    </xf>
    <xf numFmtId="172" fontId="33" fillId="0" borderId="0" xfId="0" applyNumberFormat="1" applyFont="1" applyAlignment="1" applyProtection="1">
      <alignment horizontal="center"/>
      <protection locked="0"/>
    </xf>
    <xf numFmtId="38" fontId="46" fillId="0" borderId="0" xfId="0" applyNumberFormat="1" applyFont="1" applyProtection="1">
      <protection locked="0"/>
    </xf>
    <xf numFmtId="165" fontId="46" fillId="0" borderId="0" xfId="0" applyNumberFormat="1" applyFont="1" applyProtection="1">
      <protection locked="0"/>
    </xf>
    <xf numFmtId="175" fontId="46" fillId="0" borderId="0" xfId="0" applyFont="1" applyProtection="1">
      <protection locked="0"/>
    </xf>
    <xf numFmtId="175" fontId="14" fillId="0" borderId="0" xfId="0" applyFont="1" applyAlignment="1" applyProtection="1">
      <alignment horizontal="left" indent="1"/>
      <protection locked="0"/>
    </xf>
    <xf numFmtId="175" fontId="14" fillId="0" borderId="0" xfId="0" applyFont="1"/>
    <xf numFmtId="175" fontId="33" fillId="0" borderId="11" xfId="0" applyFont="1" applyBorder="1" applyAlignment="1">
      <alignment horizontal="center" wrapText="1"/>
    </xf>
    <xf numFmtId="175" fontId="14" fillId="0" borderId="11" xfId="0" applyFont="1" applyBorder="1"/>
    <xf numFmtId="172" fontId="14" fillId="0" borderId="11" xfId="0" applyNumberFormat="1" applyFont="1" applyBorder="1"/>
    <xf numFmtId="172" fontId="14" fillId="0" borderId="11" xfId="46" applyNumberFormat="1" applyFont="1" applyBorder="1" applyAlignment="1">
      <alignment horizontal="right"/>
    </xf>
    <xf numFmtId="166" fontId="14" fillId="0" borderId="11" xfId="46" applyNumberFormat="1" applyFont="1" applyBorder="1" applyAlignment="1">
      <alignment horizontal="right"/>
    </xf>
    <xf numFmtId="172" fontId="33" fillId="0" borderId="11" xfId="46" applyNumberFormat="1" applyFont="1" applyBorder="1" applyAlignment="1">
      <alignment horizontal="right" wrapText="1"/>
    </xf>
    <xf numFmtId="166" fontId="33" fillId="0" borderId="11" xfId="0" applyNumberFormat="1" applyFont="1" applyBorder="1"/>
    <xf numFmtId="166" fontId="14" fillId="0" borderId="11" xfId="46" applyNumberFormat="1" applyFont="1" applyBorder="1" applyAlignment="1">
      <alignment horizontal="right" wrapText="1"/>
    </xf>
    <xf numFmtId="166" fontId="14" fillId="0" borderId="11" xfId="0" applyNumberFormat="1" applyFont="1" applyBorder="1"/>
    <xf numFmtId="175" fontId="33" fillId="0" borderId="20" xfId="0" applyFont="1" applyBorder="1"/>
    <xf numFmtId="166" fontId="33" fillId="0" borderId="20" xfId="0" applyNumberFormat="1" applyFont="1" applyBorder="1"/>
    <xf numFmtId="175" fontId="33" fillId="0" borderId="20" xfId="0" applyFont="1" applyBorder="1" applyAlignment="1">
      <alignment horizontal="center"/>
    </xf>
    <xf numFmtId="166" fontId="33" fillId="0" borderId="11" xfId="0" applyNumberFormat="1" applyFont="1" applyBorder="1" applyAlignment="1">
      <alignment horizontal="center" wrapText="1"/>
    </xf>
    <xf numFmtId="166" fontId="33" fillId="0" borderId="11" xfId="0" applyNumberFormat="1" applyFont="1" applyBorder="1" applyAlignment="1">
      <alignment horizontal="center"/>
    </xf>
    <xf numFmtId="166" fontId="33" fillId="0" borderId="20" xfId="0" applyNumberFormat="1" applyFont="1" applyBorder="1" applyAlignment="1">
      <alignment horizontal="center"/>
    </xf>
    <xf numFmtId="166" fontId="14" fillId="0" borderId="27" xfId="0" applyNumberFormat="1" applyFont="1" applyBorder="1"/>
    <xf numFmtId="166" fontId="33" fillId="0" borderId="27" xfId="0" applyNumberFormat="1" applyFont="1" applyBorder="1"/>
    <xf numFmtId="166" fontId="14" fillId="0" borderId="18" xfId="46" applyNumberFormat="1" applyFont="1" applyBorder="1" applyAlignment="1">
      <alignment horizontal="right"/>
    </xf>
    <xf numFmtId="166" fontId="14" fillId="0" borderId="18" xfId="0" applyNumberFormat="1" applyFont="1" applyBorder="1"/>
    <xf numFmtId="166" fontId="14" fillId="0" borderId="19" xfId="0" applyNumberFormat="1" applyFont="1" applyBorder="1"/>
    <xf numFmtId="172" fontId="33" fillId="0" borderId="11" xfId="0" applyNumberFormat="1" applyFont="1" applyBorder="1"/>
    <xf numFmtId="166" fontId="33" fillId="0" borderId="11" xfId="46" applyNumberFormat="1" applyFont="1" applyBorder="1" applyAlignment="1">
      <alignment horizontal="right"/>
    </xf>
    <xf numFmtId="172" fontId="33" fillId="0" borderId="20" xfId="0" applyNumberFormat="1" applyFont="1" applyBorder="1" applyAlignment="1">
      <alignment horizontal="right"/>
    </xf>
    <xf numFmtId="172" fontId="33" fillId="0" borderId="20" xfId="0" applyNumberFormat="1" applyFont="1" applyBorder="1" applyAlignment="1">
      <alignment horizontal="center"/>
    </xf>
    <xf numFmtId="166" fontId="14" fillId="0" borderId="11" xfId="0" quotePrefix="1" applyNumberFormat="1" applyFont="1" applyBorder="1" applyAlignment="1">
      <alignment horizontal="center"/>
    </xf>
    <xf numFmtId="166" fontId="14" fillId="0" borderId="11" xfId="46" applyNumberFormat="1" applyFont="1" applyBorder="1" applyAlignment="1">
      <alignment horizontal="center"/>
    </xf>
    <xf numFmtId="166" fontId="33" fillId="0" borderId="20" xfId="0" applyNumberFormat="1" applyFont="1" applyBorder="1" applyAlignment="1">
      <alignment horizontal="right"/>
    </xf>
    <xf numFmtId="175" fontId="33" fillId="0" borderId="27" xfId="0" applyFont="1" applyBorder="1"/>
    <xf numFmtId="175" fontId="33" fillId="0" borderId="0" xfId="0" applyFont="1"/>
    <xf numFmtId="38" fontId="14" fillId="0" borderId="0" xfId="0" applyNumberFormat="1" applyFont="1"/>
    <xf numFmtId="165" fontId="14" fillId="0" borderId="0" xfId="0" applyNumberFormat="1" applyFont="1"/>
    <xf numFmtId="175" fontId="12" fillId="0" borderId="13" xfId="0" applyFont="1" applyBorder="1" applyProtection="1">
      <protection locked="0"/>
    </xf>
    <xf numFmtId="9" fontId="12" fillId="0" borderId="0" xfId="145" applyFont="1" applyProtection="1">
      <protection locked="0"/>
    </xf>
    <xf numFmtId="175" fontId="13" fillId="0" borderId="14" xfId="0" applyFont="1" applyBorder="1" applyAlignment="1" applyProtection="1">
      <alignment horizontal="center"/>
      <protection locked="0"/>
    </xf>
    <xf numFmtId="175" fontId="12" fillId="0" borderId="16" xfId="0" applyFont="1" applyBorder="1" applyProtection="1">
      <protection locked="0"/>
    </xf>
    <xf numFmtId="175" fontId="13" fillId="0" borderId="11" xfId="0" applyFont="1" applyBorder="1" applyAlignment="1" applyProtection="1">
      <alignment horizontal="center"/>
      <protection locked="0"/>
    </xf>
    <xf numFmtId="175" fontId="13" fillId="0" borderId="34" xfId="0" applyFont="1" applyBorder="1" applyAlignment="1" applyProtection="1">
      <alignment horizontal="center"/>
      <protection locked="0"/>
    </xf>
    <xf numFmtId="166" fontId="12" fillId="0" borderId="0" xfId="0" applyNumberFormat="1" applyFont="1" applyAlignment="1">
      <alignment horizontal="center"/>
    </xf>
    <xf numFmtId="173" fontId="12" fillId="0" borderId="0" xfId="0" applyNumberFormat="1" applyFont="1" applyAlignment="1">
      <alignment horizontal="center"/>
    </xf>
    <xf numFmtId="3" fontId="12" fillId="0" borderId="0" xfId="0" applyNumberFormat="1" applyFont="1" applyAlignment="1">
      <alignment horizontal="center"/>
    </xf>
    <xf numFmtId="165" fontId="12" fillId="0" borderId="0" xfId="0" applyNumberFormat="1" applyFont="1" applyAlignment="1">
      <alignment horizontal="center"/>
    </xf>
    <xf numFmtId="175" fontId="33" fillId="0" borderId="16" xfId="0" applyFont="1" applyBorder="1" applyAlignment="1" applyProtection="1">
      <alignment horizontal="center"/>
      <protection locked="0"/>
    </xf>
    <xf numFmtId="175" fontId="14" fillId="0" borderId="11" xfId="0" applyFont="1" applyBorder="1" applyProtection="1">
      <protection locked="0"/>
    </xf>
    <xf numFmtId="175" fontId="33" fillId="0" borderId="20" xfId="0" applyFont="1" applyBorder="1" applyProtection="1">
      <protection locked="0"/>
    </xf>
    <xf numFmtId="175" fontId="33" fillId="0" borderId="20" xfId="0" applyFont="1" applyBorder="1" applyAlignment="1" applyProtection="1">
      <alignment horizontal="center"/>
      <protection locked="0"/>
    </xf>
    <xf numFmtId="175" fontId="33" fillId="0" borderId="22" xfId="0" applyFont="1" applyBorder="1" applyProtection="1">
      <protection locked="0"/>
    </xf>
    <xf numFmtId="175" fontId="14" fillId="0" borderId="11" xfId="0" applyFont="1" applyBorder="1" applyAlignment="1" applyProtection="1">
      <alignment wrapText="1" shrinkToFit="1"/>
      <protection locked="0"/>
    </xf>
    <xf numFmtId="175" fontId="33" fillId="0" borderId="11" xfId="0" applyFont="1" applyBorder="1" applyProtection="1">
      <protection locked="0"/>
    </xf>
    <xf numFmtId="175" fontId="14" fillId="0" borderId="16" xfId="0" applyFont="1" applyBorder="1" applyProtection="1">
      <protection locked="0"/>
    </xf>
    <xf numFmtId="38" fontId="52" fillId="0" borderId="17" xfId="0" applyNumberFormat="1" applyFont="1" applyBorder="1" applyAlignment="1">
      <alignment horizontal="center"/>
    </xf>
    <xf numFmtId="172" fontId="14" fillId="0" borderId="11" xfId="0" quotePrefix="1" applyNumberFormat="1" applyFont="1" applyBorder="1" applyAlignment="1">
      <alignment horizontal="center"/>
    </xf>
    <xf numFmtId="172" fontId="14" fillId="0" borderId="11" xfId="0" quotePrefix="1" applyNumberFormat="1" applyFont="1" applyBorder="1" applyAlignment="1">
      <alignment horizontal="right"/>
    </xf>
    <xf numFmtId="172" fontId="33" fillId="0" borderId="20" xfId="0" quotePrefix="1" applyNumberFormat="1" applyFont="1" applyBorder="1" applyAlignment="1">
      <alignment horizontal="center"/>
    </xf>
    <xf numFmtId="172" fontId="33" fillId="0" borderId="20" xfId="0" applyNumberFormat="1" applyFont="1" applyBorder="1"/>
    <xf numFmtId="38" fontId="14" fillId="0" borderId="11" xfId="0" applyNumberFormat="1" applyFont="1" applyBorder="1"/>
    <xf numFmtId="165" fontId="33" fillId="0" borderId="11" xfId="0" applyNumberFormat="1" applyFont="1" applyBorder="1"/>
    <xf numFmtId="172" fontId="33" fillId="0" borderId="11" xfId="46" applyNumberFormat="1" applyFont="1" applyBorder="1" applyAlignment="1">
      <alignment horizontal="right"/>
    </xf>
    <xf numFmtId="38" fontId="14" fillId="0" borderId="27" xfId="0" applyNumberFormat="1" applyFont="1" applyBorder="1"/>
    <xf numFmtId="165" fontId="33" fillId="0" borderId="27" xfId="0" applyNumberFormat="1" applyFont="1" applyBorder="1"/>
    <xf numFmtId="175" fontId="14" fillId="0" borderId="20" xfId="0" applyFont="1" applyBorder="1"/>
    <xf numFmtId="170" fontId="14" fillId="0" borderId="18" xfId="46" applyNumberFormat="1" applyFont="1" applyBorder="1" applyAlignment="1">
      <alignment horizontal="right"/>
    </xf>
    <xf numFmtId="169" fontId="33" fillId="0" borderId="18" xfId="46" applyNumberFormat="1" applyFont="1" applyBorder="1" applyAlignment="1">
      <alignment horizontal="right"/>
    </xf>
    <xf numFmtId="170" fontId="14" fillId="0" borderId="11" xfId="46" applyNumberFormat="1" applyFont="1" applyBorder="1" applyAlignment="1">
      <alignment horizontal="right"/>
    </xf>
    <xf numFmtId="169" fontId="33" fillId="0" borderId="11" xfId="46" applyNumberFormat="1" applyFont="1" applyBorder="1" applyAlignment="1">
      <alignment horizontal="right"/>
    </xf>
    <xf numFmtId="166" fontId="33" fillId="0" borderId="11" xfId="46" applyNumberFormat="1" applyFont="1" applyBorder="1" applyAlignment="1">
      <alignment horizontal="right" wrapText="1"/>
    </xf>
    <xf numFmtId="166" fontId="14" fillId="0" borderId="11" xfId="0" quotePrefix="1" applyNumberFormat="1" applyFont="1" applyBorder="1" applyAlignment="1">
      <alignment horizontal="right"/>
    </xf>
    <xf numFmtId="166" fontId="33" fillId="0" borderId="20" xfId="0" quotePrefix="1" applyNumberFormat="1" applyFont="1" applyBorder="1" applyAlignment="1">
      <alignment horizontal="center"/>
    </xf>
    <xf numFmtId="166" fontId="14" fillId="0" borderId="20" xfId="0" applyNumberFormat="1" applyFont="1" applyBorder="1"/>
    <xf numFmtId="166" fontId="33" fillId="0" borderId="18" xfId="46" applyNumberFormat="1" applyFont="1" applyBorder="1" applyAlignment="1">
      <alignment horizontal="right"/>
    </xf>
    <xf numFmtId="175" fontId="14" fillId="0" borderId="18" xfId="0" applyFont="1" applyBorder="1"/>
    <xf numFmtId="175" fontId="58" fillId="0" borderId="0" xfId="0" applyFont="1"/>
    <xf numFmtId="3" fontId="44" fillId="0" borderId="17" xfId="0" applyNumberFormat="1" applyFont="1" applyBorder="1" applyAlignment="1" applyProtection="1">
      <alignment horizontal="center"/>
      <protection locked="0"/>
    </xf>
    <xf numFmtId="3" fontId="12" fillId="0" borderId="24" xfId="0" applyNumberFormat="1" applyFont="1" applyBorder="1" applyAlignment="1" applyProtection="1">
      <alignment horizontal="center"/>
      <protection locked="0"/>
    </xf>
    <xf numFmtId="3" fontId="44" fillId="0" borderId="20" xfId="0" applyNumberFormat="1" applyFont="1" applyBorder="1" applyAlignment="1" applyProtection="1">
      <alignment horizontal="center"/>
      <protection locked="0"/>
    </xf>
    <xf numFmtId="38" fontId="52" fillId="0" borderId="11" xfId="146" applyNumberFormat="1" applyFont="1" applyBorder="1" applyAlignment="1" applyProtection="1">
      <alignment horizontal="center"/>
      <protection locked="0"/>
    </xf>
    <xf numFmtId="175" fontId="33" fillId="0" borderId="11" xfId="0" applyFont="1" applyBorder="1" applyAlignment="1" applyProtection="1">
      <alignment horizontal="center" wrapText="1"/>
      <protection locked="0"/>
    </xf>
    <xf numFmtId="175" fontId="13" fillId="0" borderId="0" xfId="66" applyFont="1" applyProtection="1">
      <protection locked="0"/>
    </xf>
    <xf numFmtId="175" fontId="12" fillId="0" borderId="0" xfId="66" applyProtection="1">
      <protection locked="0"/>
    </xf>
    <xf numFmtId="175" fontId="13" fillId="0" borderId="35" xfId="66" applyFont="1" applyBorder="1" applyProtection="1">
      <protection locked="0"/>
    </xf>
    <xf numFmtId="175" fontId="12" fillId="0" borderId="36" xfId="66" applyBorder="1" applyProtection="1">
      <protection locked="0"/>
    </xf>
    <xf numFmtId="175" fontId="12" fillId="0" borderId="37" xfId="66" applyBorder="1" applyProtection="1">
      <protection locked="0"/>
    </xf>
    <xf numFmtId="175" fontId="12" fillId="0" borderId="38" xfId="66" applyBorder="1" applyProtection="1">
      <protection locked="0"/>
    </xf>
    <xf numFmtId="175" fontId="13" fillId="0" borderId="39" xfId="66" applyFont="1" applyBorder="1" applyProtection="1">
      <protection locked="0"/>
    </xf>
    <xf numFmtId="175" fontId="12" fillId="0" borderId="14" xfId="66" applyBorder="1" applyProtection="1">
      <protection locked="0"/>
    </xf>
    <xf numFmtId="175" fontId="12" fillId="0" borderId="18" xfId="66" applyBorder="1" applyProtection="1">
      <protection locked="0"/>
    </xf>
    <xf numFmtId="175" fontId="12" fillId="0" borderId="19" xfId="66" applyBorder="1" applyProtection="1">
      <protection locked="0"/>
    </xf>
    <xf numFmtId="175" fontId="13" fillId="0" borderId="40" xfId="66" applyFont="1" applyBorder="1" applyAlignment="1" applyProtection="1">
      <alignment horizontal="center"/>
      <protection locked="0"/>
    </xf>
    <xf numFmtId="175" fontId="13" fillId="0" borderId="11" xfId="66" applyFont="1" applyBorder="1" applyAlignment="1" applyProtection="1">
      <alignment horizontal="center" wrapText="1"/>
      <protection locked="0"/>
    </xf>
    <xf numFmtId="175" fontId="13" fillId="0" borderId="14" xfId="66" applyFont="1" applyBorder="1" applyAlignment="1" applyProtection="1">
      <alignment horizontal="center"/>
      <protection locked="0"/>
    </xf>
    <xf numFmtId="6" fontId="12" fillId="0" borderId="0" xfId="66" applyNumberFormat="1" applyProtection="1">
      <protection locked="0"/>
    </xf>
    <xf numFmtId="175" fontId="13" fillId="0" borderId="13" xfId="66" applyFont="1" applyBorder="1" applyAlignment="1" applyProtection="1">
      <alignment horizontal="center" wrapText="1"/>
      <protection locked="0"/>
    </xf>
    <xf numFmtId="175" fontId="12" fillId="0" borderId="13" xfId="66" applyBorder="1" applyProtection="1">
      <protection locked="0"/>
    </xf>
    <xf numFmtId="6" fontId="12" fillId="0" borderId="18" xfId="66" applyNumberFormat="1" applyBorder="1" applyProtection="1">
      <protection locked="0"/>
    </xf>
    <xf numFmtId="164" fontId="12" fillId="0" borderId="43" xfId="66" applyNumberFormat="1" applyBorder="1" applyProtection="1">
      <protection locked="0"/>
    </xf>
    <xf numFmtId="175" fontId="12" fillId="0" borderId="43" xfId="66" applyBorder="1" applyProtection="1">
      <protection locked="0"/>
    </xf>
    <xf numFmtId="6" fontId="12" fillId="0" borderId="0" xfId="66" applyNumberFormat="1" applyAlignment="1" applyProtection="1">
      <alignment horizontal="right"/>
      <protection locked="0"/>
    </xf>
    <xf numFmtId="168" fontId="12" fillId="0" borderId="0" xfId="50" applyNumberFormat="1" applyProtection="1">
      <protection locked="0"/>
    </xf>
    <xf numFmtId="168" fontId="12" fillId="0" borderId="0" xfId="66" applyNumberFormat="1" applyProtection="1">
      <protection locked="0"/>
    </xf>
    <xf numFmtId="175" fontId="14" fillId="0" borderId="0" xfId="67" applyProtection="1">
      <protection locked="0"/>
    </xf>
    <xf numFmtId="175" fontId="14" fillId="0" borderId="11" xfId="67" applyBorder="1" applyProtection="1">
      <protection locked="0"/>
    </xf>
    <xf numFmtId="175" fontId="33" fillId="0" borderId="11" xfId="67" applyFont="1" applyBorder="1" applyProtection="1">
      <protection locked="0"/>
    </xf>
    <xf numFmtId="175" fontId="51" fillId="0" borderId="0" xfId="0" applyFont="1" applyProtection="1">
      <protection locked="0"/>
    </xf>
    <xf numFmtId="175" fontId="13" fillId="0" borderId="0" xfId="0" applyFont="1" applyProtection="1">
      <protection locked="0"/>
    </xf>
    <xf numFmtId="175" fontId="13" fillId="0" borderId="14" xfId="66" quotePrefix="1" applyFont="1" applyBorder="1" applyAlignment="1" applyProtection="1">
      <alignment horizontal="center"/>
      <protection locked="0"/>
    </xf>
    <xf numFmtId="175" fontId="62" fillId="0" borderId="0" xfId="0" applyFont="1" applyAlignment="1">
      <alignment horizontal="left" vertical="center" indent="4"/>
    </xf>
    <xf numFmtId="175" fontId="13" fillId="0" borderId="0" xfId="0" applyFont="1" applyAlignment="1" applyProtection="1">
      <alignment horizontal="center"/>
      <protection locked="0"/>
    </xf>
    <xf numFmtId="17" fontId="13" fillId="0" borderId="0" xfId="0" quotePrefix="1" applyNumberFormat="1" applyFont="1" applyAlignment="1" applyProtection="1">
      <alignment horizontal="center"/>
      <protection locked="0"/>
    </xf>
    <xf numFmtId="175" fontId="0" fillId="47" borderId="0" xfId="0" applyFill="1"/>
    <xf numFmtId="17" fontId="13" fillId="47" borderId="0" xfId="0" quotePrefix="1" applyNumberFormat="1" applyFont="1" applyFill="1" applyAlignment="1" applyProtection="1">
      <alignment horizontal="center"/>
      <protection locked="0"/>
    </xf>
    <xf numFmtId="175" fontId="12" fillId="47" borderId="0" xfId="0" applyFont="1" applyFill="1" applyProtection="1">
      <protection locked="0"/>
    </xf>
    <xf numFmtId="175" fontId="50" fillId="0" borderId="0" xfId="0" applyFont="1" applyAlignment="1">
      <alignment horizontal="center"/>
    </xf>
    <xf numFmtId="38" fontId="12" fillId="0" borderId="24" xfId="0" applyNumberFormat="1" applyFont="1" applyBorder="1" applyAlignment="1">
      <alignment horizontal="center"/>
    </xf>
    <xf numFmtId="38" fontId="12" fillId="0" borderId="24" xfId="0" applyNumberFormat="1" applyFont="1" applyBorder="1" applyAlignment="1" applyProtection="1">
      <alignment horizontal="center"/>
      <protection locked="0"/>
    </xf>
    <xf numFmtId="175" fontId="12" fillId="0" borderId="17" xfId="0" applyFont="1" applyBorder="1" applyProtection="1">
      <protection locked="0"/>
    </xf>
    <xf numFmtId="3" fontId="12" fillId="0" borderId="29" xfId="0" applyNumberFormat="1" applyFont="1" applyBorder="1" applyAlignment="1">
      <alignment horizontal="center"/>
    </xf>
    <xf numFmtId="3" fontId="52" fillId="0" borderId="22" xfId="0" applyNumberFormat="1" applyFont="1" applyBorder="1" applyAlignment="1">
      <alignment horizontal="center"/>
    </xf>
    <xf numFmtId="3" fontId="52" fillId="0" borderId="17" xfId="0" applyNumberFormat="1" applyFont="1" applyBorder="1" applyAlignment="1">
      <alignment horizontal="center"/>
    </xf>
    <xf numFmtId="175" fontId="12" fillId="47" borderId="0" xfId="66" applyFill="1"/>
    <xf numFmtId="175" fontId="13" fillId="47" borderId="0" xfId="0" applyFont="1" applyFill="1" applyAlignment="1" applyProtection="1">
      <alignment horizontal="center"/>
      <protection locked="0"/>
    </xf>
    <xf numFmtId="175" fontId="13" fillId="0" borderId="11" xfId="0" applyFont="1" applyBorder="1" applyAlignment="1" applyProtection="1">
      <alignment horizontal="left"/>
      <protection locked="0"/>
    </xf>
    <xf numFmtId="175" fontId="12" fillId="0" borderId="17" xfId="0" applyFont="1" applyBorder="1"/>
    <xf numFmtId="17" fontId="14" fillId="0" borderId="0" xfId="0" applyNumberFormat="1" applyFont="1" applyAlignment="1" applyProtection="1">
      <alignment horizontal="center"/>
      <protection locked="0"/>
    </xf>
    <xf numFmtId="175" fontId="33" fillId="48" borderId="20" xfId="0" applyFont="1" applyFill="1" applyBorder="1" applyAlignment="1" applyProtection="1">
      <alignment horizontal="center" vertical="center"/>
      <protection locked="0"/>
    </xf>
    <xf numFmtId="175" fontId="33" fillId="48" borderId="11" xfId="0" applyFont="1" applyFill="1" applyBorder="1" applyAlignment="1" applyProtection="1">
      <alignment horizontal="center" vertical="center"/>
      <protection locked="0"/>
    </xf>
    <xf numFmtId="175" fontId="33" fillId="0" borderId="20" xfId="0" applyFont="1" applyBorder="1" applyAlignment="1" applyProtection="1">
      <alignment horizontal="right"/>
      <protection locked="0"/>
    </xf>
    <xf numFmtId="175" fontId="14" fillId="0" borderId="11" xfId="0" applyFont="1" applyBorder="1" applyAlignment="1" applyProtection="1">
      <alignment horizontal="left"/>
      <protection locked="0"/>
    </xf>
    <xf numFmtId="175" fontId="13" fillId="0" borderId="19" xfId="0" applyFont="1" applyBorder="1" applyAlignment="1" applyProtection="1">
      <alignment horizontal="center" wrapText="1"/>
      <protection locked="0"/>
    </xf>
    <xf numFmtId="172" fontId="0" fillId="0" borderId="0" xfId="0" applyNumberFormat="1"/>
    <xf numFmtId="3" fontId="13" fillId="0" borderId="26" xfId="0" applyNumberFormat="1" applyFont="1" applyBorder="1" applyAlignment="1">
      <alignment horizontal="center" wrapText="1"/>
    </xf>
    <xf numFmtId="174" fontId="12" fillId="0" borderId="24" xfId="0" applyNumberFormat="1" applyFont="1" applyBorder="1"/>
    <xf numFmtId="3" fontId="13" fillId="0" borderId="27" xfId="0" applyNumberFormat="1" applyFont="1" applyBorder="1" applyAlignment="1">
      <alignment horizontal="center" wrapText="1"/>
    </xf>
    <xf numFmtId="175" fontId="13" fillId="0" borderId="57" xfId="0" applyFont="1" applyBorder="1" applyAlignment="1">
      <alignment horizontal="center"/>
    </xf>
    <xf numFmtId="4" fontId="12" fillId="0" borderId="32" xfId="0" applyNumberFormat="1" applyFont="1" applyBorder="1" applyAlignment="1">
      <alignment horizontal="right"/>
    </xf>
    <xf numFmtId="4" fontId="12" fillId="0" borderId="29" xfId="0" applyNumberFormat="1" applyFont="1" applyBorder="1" applyAlignment="1">
      <alignment horizontal="right"/>
    </xf>
    <xf numFmtId="175" fontId="13" fillId="0" borderId="17" xfId="0" applyFont="1" applyBorder="1" applyProtection="1">
      <protection locked="0"/>
    </xf>
    <xf numFmtId="175" fontId="13" fillId="0" borderId="11" xfId="0" applyFont="1" applyBorder="1" applyProtection="1">
      <protection locked="0"/>
    </xf>
    <xf numFmtId="175" fontId="13" fillId="0" borderId="18" xfId="0" applyFont="1" applyBorder="1" applyAlignment="1" applyProtection="1">
      <alignment horizontal="center" wrapText="1"/>
      <protection locked="0"/>
    </xf>
    <xf numFmtId="175" fontId="13" fillId="0" borderId="11" xfId="0" applyFont="1" applyBorder="1" applyAlignment="1" applyProtection="1">
      <alignment horizontal="center" wrapText="1"/>
      <protection locked="0"/>
    </xf>
    <xf numFmtId="175" fontId="13" fillId="0" borderId="20" xfId="0" applyFont="1" applyBorder="1" applyAlignment="1" applyProtection="1">
      <alignment horizontal="center" wrapText="1"/>
      <protection locked="0"/>
    </xf>
    <xf numFmtId="175" fontId="13" fillId="0" borderId="21" xfId="0" applyFont="1" applyBorder="1" applyAlignment="1" applyProtection="1">
      <alignment horizontal="center" wrapText="1"/>
      <protection locked="0"/>
    </xf>
    <xf numFmtId="175" fontId="13" fillId="0" borderId="18" xfId="0" applyFont="1" applyBorder="1" applyAlignment="1">
      <alignment horizontal="center" wrapText="1"/>
    </xf>
    <xf numFmtId="175" fontId="13" fillId="0" borderId="18" xfId="0" applyFont="1" applyBorder="1" applyAlignment="1">
      <alignment horizontal="center"/>
    </xf>
    <xf numFmtId="175" fontId="13" fillId="0" borderId="20" xfId="0" applyFont="1" applyBorder="1" applyAlignment="1">
      <alignment horizontal="center" wrapText="1"/>
    </xf>
    <xf numFmtId="175" fontId="13" fillId="0" borderId="19" xfId="0" applyFont="1" applyBorder="1" applyAlignment="1">
      <alignment horizontal="center"/>
    </xf>
    <xf numFmtId="175" fontId="13" fillId="0" borderId="19" xfId="0" applyFont="1" applyBorder="1" applyAlignment="1" applyProtection="1">
      <alignment horizontal="center"/>
      <protection locked="0"/>
    </xf>
    <xf numFmtId="175" fontId="13" fillId="0" borderId="23" xfId="0" applyFont="1" applyBorder="1" applyProtection="1">
      <protection locked="0"/>
    </xf>
    <xf numFmtId="3" fontId="13" fillId="0" borderId="20" xfId="0" applyNumberFormat="1" applyFont="1" applyBorder="1" applyAlignment="1">
      <alignment horizontal="center" wrapText="1"/>
    </xf>
    <xf numFmtId="2" fontId="13" fillId="0" borderId="18" xfId="0" applyNumberFormat="1" applyFont="1" applyBorder="1" applyAlignment="1">
      <alignment horizontal="center" wrapText="1"/>
    </xf>
    <xf numFmtId="175" fontId="13" fillId="0" borderId="26" xfId="0" applyFont="1" applyBorder="1" applyAlignment="1">
      <alignment horizontal="center"/>
    </xf>
    <xf numFmtId="3" fontId="13" fillId="0" borderId="18" xfId="0" applyNumberFormat="1" applyFont="1" applyBorder="1" applyAlignment="1">
      <alignment horizontal="center" wrapText="1"/>
    </xf>
    <xf numFmtId="3" fontId="13" fillId="0" borderId="20" xfId="0" applyNumberFormat="1" applyFont="1" applyBorder="1" applyAlignment="1" applyProtection="1">
      <alignment horizontal="center" wrapText="1"/>
      <protection locked="0"/>
    </xf>
    <xf numFmtId="175" fontId="13" fillId="0" borderId="56" xfId="0" applyFont="1" applyBorder="1" applyAlignment="1">
      <alignment horizontal="center"/>
    </xf>
    <xf numFmtId="175" fontId="13" fillId="0" borderId="28" xfId="0" applyFont="1" applyBorder="1" applyProtection="1">
      <protection locked="0"/>
    </xf>
    <xf numFmtId="175" fontId="13" fillId="0" borderId="11" xfId="0" applyFont="1" applyBorder="1" applyAlignment="1">
      <alignment horizontal="center" wrapText="1"/>
    </xf>
    <xf numFmtId="175" fontId="13" fillId="0" borderId="19" xfId="0" applyFont="1" applyBorder="1" applyAlignment="1">
      <alignment horizontal="center" wrapText="1"/>
    </xf>
    <xf numFmtId="175" fontId="38" fillId="0" borderId="0" xfId="0" applyFont="1" applyProtection="1">
      <protection locked="0"/>
    </xf>
    <xf numFmtId="3" fontId="38" fillId="0" borderId="0" xfId="0" applyNumberFormat="1" applyFont="1" applyProtection="1">
      <protection locked="0"/>
    </xf>
    <xf numFmtId="1" fontId="38" fillId="0" borderId="0" xfId="0" applyNumberFormat="1" applyFont="1" applyProtection="1">
      <protection locked="0"/>
    </xf>
    <xf numFmtId="175" fontId="13" fillId="47" borderId="18" xfId="0" applyFont="1" applyFill="1" applyBorder="1" applyAlignment="1" applyProtection="1">
      <alignment horizontal="center" wrapText="1"/>
      <protection locked="0"/>
    </xf>
    <xf numFmtId="175" fontId="14" fillId="47" borderId="0" xfId="67" applyFill="1" applyProtection="1">
      <protection locked="0"/>
    </xf>
    <xf numFmtId="175" fontId="12" fillId="47" borderId="0" xfId="66" applyFill="1" applyProtection="1">
      <protection locked="0"/>
    </xf>
    <xf numFmtId="17" fontId="13" fillId="47" borderId="0" xfId="0" applyNumberFormat="1" applyFont="1" applyFill="1" applyAlignment="1" applyProtection="1">
      <alignment horizontal="center"/>
      <protection locked="0"/>
    </xf>
    <xf numFmtId="175" fontId="14" fillId="47" borderId="0" xfId="0" applyFont="1" applyFill="1" applyProtection="1">
      <protection locked="0"/>
    </xf>
    <xf numFmtId="164" fontId="12" fillId="0" borderId="58" xfId="66" applyNumberFormat="1" applyBorder="1" applyProtection="1">
      <protection locked="0"/>
    </xf>
    <xf numFmtId="175" fontId="50" fillId="47" borderId="0" xfId="0" applyFont="1" applyFill="1" applyAlignment="1">
      <alignment horizontal="center"/>
    </xf>
    <xf numFmtId="3" fontId="12" fillId="47" borderId="0" xfId="0" applyNumberFormat="1" applyFont="1" applyFill="1" applyAlignment="1">
      <alignment horizontal="center" wrapText="1"/>
    </xf>
    <xf numFmtId="175" fontId="13" fillId="0" borderId="58" xfId="66" applyFont="1" applyBorder="1" applyProtection="1">
      <protection locked="0"/>
    </xf>
    <xf numFmtId="175" fontId="13" fillId="47" borderId="0" xfId="0" applyFont="1" applyFill="1" applyProtection="1">
      <protection locked="0"/>
    </xf>
    <xf numFmtId="6" fontId="12" fillId="0" borderId="19" xfId="66" applyNumberFormat="1" applyBorder="1"/>
    <xf numFmtId="175" fontId="0" fillId="0" borderId="0" xfId="0" quotePrefix="1"/>
    <xf numFmtId="175" fontId="12" fillId="47" borderId="17" xfId="0" applyFont="1" applyFill="1" applyBorder="1"/>
    <xf numFmtId="3" fontId="52" fillId="47" borderId="17" xfId="0" applyNumberFormat="1" applyFont="1" applyFill="1" applyBorder="1" applyAlignment="1">
      <alignment horizontal="center"/>
    </xf>
    <xf numFmtId="175" fontId="13" fillId="0" borderId="44" xfId="66" quotePrefix="1" applyFont="1" applyBorder="1" applyAlignment="1">
      <alignment horizontal="left" wrapText="1" indent="1"/>
    </xf>
    <xf numFmtId="175" fontId="14" fillId="0" borderId="0" xfId="0" quotePrefix="1" applyFont="1" applyProtection="1">
      <protection locked="0"/>
    </xf>
    <xf numFmtId="175" fontId="64" fillId="0" borderId="0" xfId="0" applyFont="1" applyAlignment="1" applyProtection="1">
      <alignment horizontal="center"/>
      <protection locked="0"/>
    </xf>
    <xf numFmtId="168" fontId="49" fillId="0" borderId="0" xfId="52" applyNumberFormat="1" applyFont="1"/>
    <xf numFmtId="175" fontId="65" fillId="43" borderId="0" xfId="66" applyFont="1" applyFill="1"/>
    <xf numFmtId="44" fontId="65" fillId="43" borderId="0" xfId="50" applyFont="1" applyFill="1"/>
    <xf numFmtId="175" fontId="65" fillId="47" borderId="0" xfId="66" applyFont="1" applyFill="1"/>
    <xf numFmtId="17" fontId="64" fillId="47" borderId="0" xfId="0" applyNumberFormat="1" applyFont="1" applyFill="1" applyAlignment="1" applyProtection="1">
      <alignment horizontal="center"/>
      <protection locked="0"/>
    </xf>
    <xf numFmtId="175" fontId="64" fillId="44" borderId="35" xfId="66" applyFont="1" applyFill="1" applyBorder="1"/>
    <xf numFmtId="175" fontId="65" fillId="43" borderId="37" xfId="66" applyFont="1" applyFill="1" applyBorder="1"/>
    <xf numFmtId="44" fontId="65" fillId="43" borderId="37" xfId="50" applyFont="1" applyFill="1" applyBorder="1"/>
    <xf numFmtId="175" fontId="64" fillId="44" borderId="44" xfId="66" applyFont="1" applyFill="1" applyBorder="1" applyAlignment="1">
      <alignment horizontal="center"/>
    </xf>
    <xf numFmtId="175" fontId="64" fillId="43" borderId="18" xfId="66" applyFont="1" applyFill="1" applyBorder="1" applyAlignment="1">
      <alignment horizontal="center"/>
    </xf>
    <xf numFmtId="44" fontId="64" fillId="43" borderId="18" xfId="50" applyFont="1" applyFill="1" applyBorder="1" applyAlignment="1">
      <alignment horizontal="center"/>
    </xf>
    <xf numFmtId="175" fontId="64" fillId="44" borderId="46" xfId="66" applyFont="1" applyFill="1" applyBorder="1" applyAlignment="1">
      <alignment horizontal="center"/>
    </xf>
    <xf numFmtId="175" fontId="64" fillId="43" borderId="0" xfId="66" applyFont="1" applyFill="1" applyAlignment="1">
      <alignment horizontal="center"/>
    </xf>
    <xf numFmtId="44" fontId="64" fillId="43" borderId="0" xfId="50" applyFont="1" applyFill="1" applyAlignment="1">
      <alignment horizontal="center"/>
    </xf>
    <xf numFmtId="175" fontId="64" fillId="0" borderId="46" xfId="66" applyFont="1" applyBorder="1" applyAlignment="1">
      <alignment horizontal="center"/>
    </xf>
    <xf numFmtId="164" fontId="65" fillId="0" borderId="0" xfId="66" applyNumberFormat="1" applyFont="1"/>
    <xf numFmtId="175" fontId="65" fillId="0" borderId="0" xfId="66" applyFont="1"/>
    <xf numFmtId="164" fontId="64" fillId="43" borderId="18" xfId="66" applyNumberFormat="1" applyFont="1" applyFill="1" applyBorder="1"/>
    <xf numFmtId="175" fontId="64" fillId="0" borderId="44" xfId="66" applyFont="1" applyBorder="1" applyAlignment="1">
      <alignment wrapText="1"/>
    </xf>
    <xf numFmtId="175" fontId="64" fillId="0" borderId="20" xfId="66" applyFont="1" applyBorder="1"/>
    <xf numFmtId="44" fontId="64" fillId="43" borderId="18" xfId="50" applyFont="1" applyFill="1" applyBorder="1"/>
    <xf numFmtId="175" fontId="64" fillId="0" borderId="59" xfId="66" applyFont="1" applyBorder="1" applyAlignment="1">
      <alignment wrapText="1"/>
    </xf>
    <xf numFmtId="164" fontId="64" fillId="43" borderId="58" xfId="66" applyNumberFormat="1" applyFont="1" applyFill="1" applyBorder="1"/>
    <xf numFmtId="164" fontId="64" fillId="43" borderId="43" xfId="66" applyNumberFormat="1" applyFont="1" applyFill="1" applyBorder="1"/>
    <xf numFmtId="43" fontId="12" fillId="0" borderId="24" xfId="0" applyNumberFormat="1" applyFont="1" applyBorder="1" applyAlignment="1">
      <alignment horizontal="right"/>
    </xf>
    <xf numFmtId="175" fontId="12" fillId="47" borderId="13" xfId="0" applyFont="1" applyFill="1" applyBorder="1"/>
    <xf numFmtId="164" fontId="12" fillId="0" borderId="54" xfId="66" applyNumberFormat="1" applyBorder="1" applyProtection="1">
      <protection locked="0"/>
    </xf>
    <xf numFmtId="175" fontId="12" fillId="47" borderId="11" xfId="66" applyFill="1" applyBorder="1" applyAlignment="1">
      <alignment horizontal="left" indent="1"/>
    </xf>
    <xf numFmtId="175" fontId="13" fillId="47" borderId="0" xfId="0" quotePrefix="1" applyFont="1" applyFill="1" applyAlignment="1" applyProtection="1">
      <alignment horizontal="center"/>
      <protection locked="0"/>
    </xf>
    <xf numFmtId="6" fontId="12" fillId="0" borderId="34" xfId="66" applyNumberFormat="1" applyBorder="1"/>
    <xf numFmtId="43" fontId="12" fillId="0" borderId="24" xfId="0" applyNumberFormat="1" applyFont="1" applyBorder="1" applyAlignment="1">
      <alignment horizontal="center"/>
    </xf>
    <xf numFmtId="6" fontId="33" fillId="0" borderId="11" xfId="67" applyNumberFormat="1" applyFont="1" applyBorder="1" applyAlignment="1" applyProtection="1">
      <alignment horizontal="center"/>
      <protection locked="0"/>
    </xf>
    <xf numFmtId="4" fontId="12" fillId="0" borderId="24" xfId="0" applyNumberFormat="1" applyFont="1" applyBorder="1" applyAlignment="1">
      <alignment horizontal="right"/>
    </xf>
    <xf numFmtId="4" fontId="12" fillId="0" borderId="25" xfId="0" applyNumberFormat="1" applyFont="1" applyBorder="1" applyAlignment="1">
      <alignment horizontal="right"/>
    </xf>
    <xf numFmtId="2" fontId="12" fillId="0" borderId="24" xfId="0" applyNumberFormat="1" applyFont="1" applyBorder="1" applyAlignment="1">
      <alignment horizontal="right"/>
    </xf>
    <xf numFmtId="2" fontId="12" fillId="0" borderId="29" xfId="0" applyNumberFormat="1" applyFont="1" applyBorder="1" applyAlignment="1">
      <alignment horizontal="right"/>
    </xf>
    <xf numFmtId="165" fontId="12" fillId="0" borderId="32" xfId="0" applyNumberFormat="1" applyFont="1" applyBorder="1" applyAlignment="1">
      <alignment horizontal="right"/>
    </xf>
    <xf numFmtId="165" fontId="12" fillId="0" borderId="25" xfId="0" applyNumberFormat="1" applyFont="1" applyBorder="1" applyAlignment="1">
      <alignment horizontal="right"/>
    </xf>
    <xf numFmtId="175" fontId="68" fillId="0" borderId="0" xfId="0" applyFont="1" applyAlignment="1">
      <alignment vertical="center"/>
    </xf>
    <xf numFmtId="175" fontId="13" fillId="0" borderId="0" xfId="0" applyFont="1" applyAlignment="1">
      <alignment vertical="center"/>
    </xf>
    <xf numFmtId="164" fontId="12" fillId="0" borderId="0" xfId="66" applyNumberFormat="1" applyAlignment="1">
      <alignment horizontal="center"/>
    </xf>
    <xf numFmtId="164" fontId="12" fillId="0" borderId="18" xfId="66" applyNumberFormat="1" applyBorder="1" applyAlignment="1">
      <alignment horizontal="center"/>
    </xf>
    <xf numFmtId="164" fontId="12" fillId="0" borderId="27" xfId="66" applyNumberFormat="1" applyBorder="1" applyAlignment="1">
      <alignment horizontal="center"/>
    </xf>
    <xf numFmtId="164" fontId="12" fillId="44" borderId="18" xfId="66" applyNumberFormat="1" applyFill="1" applyBorder="1" applyAlignment="1">
      <alignment horizontal="center"/>
    </xf>
    <xf numFmtId="164" fontId="13" fillId="0" borderId="49" xfId="66" applyNumberFormat="1" applyFont="1" applyBorder="1" applyAlignment="1">
      <alignment horizontal="center"/>
    </xf>
    <xf numFmtId="164" fontId="13" fillId="0" borderId="37" xfId="66" applyNumberFormat="1" applyFont="1" applyBorder="1" applyAlignment="1">
      <alignment horizontal="center"/>
    </xf>
    <xf numFmtId="164" fontId="12" fillId="0" borderId="0" xfId="66" applyNumberFormat="1" applyAlignment="1" applyProtection="1">
      <alignment horizontal="center"/>
      <protection locked="0"/>
    </xf>
    <xf numFmtId="175" fontId="12" fillId="0" borderId="0" xfId="66" applyAlignment="1">
      <alignment horizontal="center"/>
    </xf>
    <xf numFmtId="164" fontId="12" fillId="0" borderId="14" xfId="66" applyNumberFormat="1" applyBorder="1" applyAlignment="1" applyProtection="1">
      <alignment horizontal="center"/>
      <protection locked="0"/>
    </xf>
    <xf numFmtId="164" fontId="12" fillId="44" borderId="19" xfId="66" applyNumberFormat="1" applyFill="1" applyBorder="1" applyAlignment="1">
      <alignment horizontal="center"/>
    </xf>
    <xf numFmtId="2" fontId="12" fillId="0" borderId="24" xfId="0" applyNumberFormat="1" applyFont="1" applyBorder="1"/>
    <xf numFmtId="43" fontId="12" fillId="0" borderId="25" xfId="0" applyNumberFormat="1" applyFont="1" applyBorder="1" applyAlignment="1">
      <alignment horizontal="right"/>
    </xf>
    <xf numFmtId="43" fontId="12" fillId="0" borderId="24" xfId="0" applyNumberFormat="1" applyFont="1" applyBorder="1"/>
    <xf numFmtId="2" fontId="12" fillId="0" borderId="25" xfId="0" applyNumberFormat="1" applyFont="1" applyBorder="1" applyAlignment="1">
      <alignment horizontal="right"/>
    </xf>
    <xf numFmtId="2" fontId="12" fillId="0" borderId="32" xfId="0" applyNumberFormat="1" applyFont="1" applyBorder="1" applyAlignment="1">
      <alignment horizontal="right"/>
    </xf>
    <xf numFmtId="2" fontId="12" fillId="0" borderId="29" xfId="0" applyNumberFormat="1" applyFont="1" applyBorder="1"/>
    <xf numFmtId="175" fontId="13" fillId="47" borderId="0" xfId="66" applyFont="1" applyFill="1" applyAlignment="1" applyProtection="1">
      <alignment horizontal="center"/>
      <protection locked="0"/>
    </xf>
    <xf numFmtId="171" fontId="13"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14" fillId="47" borderId="0" xfId="0" quotePrefix="1" applyFont="1" applyFill="1" applyProtection="1">
      <protection locked="0"/>
    </xf>
    <xf numFmtId="175" fontId="70" fillId="0" borderId="0" xfId="0" applyFont="1" applyProtection="1">
      <protection locked="0"/>
    </xf>
    <xf numFmtId="175" fontId="71" fillId="0" borderId="0" xfId="0" applyFont="1" applyAlignment="1" applyProtection="1">
      <alignment horizontal="left"/>
      <protection locked="0"/>
    </xf>
    <xf numFmtId="175" fontId="71" fillId="0" borderId="0" xfId="0" applyFont="1" applyAlignment="1">
      <alignment horizontal="left" vertical="top"/>
    </xf>
    <xf numFmtId="4" fontId="12" fillId="0" borderId="0" xfId="66" applyNumberFormat="1" applyProtection="1">
      <protection locked="0"/>
    </xf>
    <xf numFmtId="175" fontId="64" fillId="0" borderId="0" xfId="66" applyFont="1" applyAlignment="1">
      <alignment wrapText="1"/>
    </xf>
    <xf numFmtId="164" fontId="64" fillId="43" borderId="0" xfId="66" applyNumberFormat="1" applyFont="1" applyFill="1"/>
    <xf numFmtId="164" fontId="64" fillId="0" borderId="0" xfId="66" applyNumberFormat="1" applyFont="1" applyAlignment="1">
      <alignment horizontal="right"/>
    </xf>
    <xf numFmtId="165" fontId="12" fillId="0" borderId="24" xfId="0" applyNumberFormat="1" applyFont="1" applyBorder="1" applyAlignment="1">
      <alignment horizontal="right"/>
    </xf>
    <xf numFmtId="165" fontId="12" fillId="0" borderId="30" xfId="0" applyNumberFormat="1" applyFont="1" applyBorder="1" applyAlignment="1">
      <alignment horizontal="right"/>
    </xf>
    <xf numFmtId="39" fontId="13" fillId="0" borderId="11" xfId="0" applyNumberFormat="1" applyFont="1" applyBorder="1" applyAlignment="1">
      <alignment horizontal="center"/>
    </xf>
    <xf numFmtId="6" fontId="12" fillId="0" borderId="0" xfId="66" applyNumberFormat="1" applyAlignment="1" applyProtection="1">
      <alignment horizontal="center"/>
      <protection locked="0"/>
    </xf>
    <xf numFmtId="6" fontId="12" fillId="0" borderId="0" xfId="66" applyNumberFormat="1" applyAlignment="1">
      <alignment horizontal="center"/>
    </xf>
    <xf numFmtId="175" fontId="65" fillId="43" borderId="60" xfId="66" applyFont="1" applyFill="1" applyBorder="1"/>
    <xf numFmtId="175" fontId="64" fillId="43" borderId="40" xfId="66" applyFont="1" applyFill="1" applyBorder="1" applyAlignment="1">
      <alignment horizontal="center" wrapText="1"/>
    </xf>
    <xf numFmtId="175" fontId="64" fillId="43" borderId="61" xfId="66" applyFont="1" applyFill="1" applyBorder="1" applyAlignment="1">
      <alignment horizontal="center" wrapText="1"/>
    </xf>
    <xf numFmtId="175" fontId="64" fillId="0" borderId="61" xfId="66" applyFont="1" applyBorder="1" applyAlignment="1">
      <alignment horizontal="center" wrapText="1"/>
    </xf>
    <xf numFmtId="164" fontId="65" fillId="0" borderId="61" xfId="66" applyNumberFormat="1" applyFont="1" applyBorder="1"/>
    <xf numFmtId="164" fontId="64" fillId="0" borderId="62" xfId="66" applyNumberFormat="1" applyFont="1" applyBorder="1" applyAlignment="1">
      <alignment horizontal="right"/>
    </xf>
    <xf numFmtId="40" fontId="12" fillId="0" borderId="24" xfId="0" applyNumberFormat="1" applyFont="1" applyBorder="1" applyAlignment="1">
      <alignment horizontal="right"/>
    </xf>
    <xf numFmtId="40" fontId="12" fillId="0" borderId="25" xfId="0" applyNumberFormat="1" applyFont="1" applyBorder="1" applyAlignment="1">
      <alignment horizontal="right"/>
    </xf>
    <xf numFmtId="6" fontId="12" fillId="0" borderId="11" xfId="66" applyNumberFormat="1" applyBorder="1" applyAlignment="1">
      <alignment horizontal="center"/>
    </xf>
    <xf numFmtId="6" fontId="12" fillId="0" borderId="17" xfId="66" applyNumberFormat="1" applyBorder="1" applyAlignment="1">
      <alignment horizontal="center"/>
    </xf>
    <xf numFmtId="175" fontId="12" fillId="0" borderId="0" xfId="66" applyAlignment="1" applyProtection="1">
      <alignment horizontal="center"/>
      <protection locked="0"/>
    </xf>
    <xf numFmtId="165" fontId="12" fillId="0" borderId="24" xfId="0" applyNumberFormat="1" applyFont="1" applyBorder="1"/>
    <xf numFmtId="165" fontId="12" fillId="0" borderId="25" xfId="0" applyNumberFormat="1" applyFont="1" applyBorder="1"/>
    <xf numFmtId="165" fontId="12" fillId="0" borderId="30" xfId="0" applyNumberFormat="1" applyFont="1" applyBorder="1"/>
    <xf numFmtId="165" fontId="12" fillId="0" borderId="32" xfId="0" applyNumberFormat="1" applyFont="1" applyBorder="1"/>
    <xf numFmtId="40" fontId="12" fillId="0" borderId="24" xfId="0" applyNumberFormat="1" applyFont="1" applyBorder="1"/>
    <xf numFmtId="40" fontId="12" fillId="0" borderId="25" xfId="0" applyNumberFormat="1" applyFont="1" applyBorder="1"/>
    <xf numFmtId="175" fontId="13" fillId="0" borderId="14" xfId="66" applyFont="1" applyBorder="1" applyAlignment="1" applyProtection="1">
      <alignment horizontal="right"/>
      <protection locked="0"/>
    </xf>
    <xf numFmtId="175" fontId="13" fillId="0" borderId="14" xfId="66" quotePrefix="1" applyFont="1" applyBorder="1" applyAlignment="1" applyProtection="1">
      <alignment horizontal="right"/>
      <protection locked="0"/>
    </xf>
    <xf numFmtId="6" fontId="12" fillId="0" borderId="17" xfId="66" applyNumberFormat="1" applyBorder="1" applyAlignment="1" applyProtection="1">
      <alignment horizontal="center"/>
      <protection locked="0"/>
    </xf>
    <xf numFmtId="6" fontId="12" fillId="0" borderId="0" xfId="66" applyNumberFormat="1" applyAlignment="1">
      <alignment horizontal="right"/>
    </xf>
    <xf numFmtId="6" fontId="12" fillId="0" borderId="18" xfId="66" applyNumberFormat="1" applyBorder="1" applyAlignment="1">
      <alignment horizontal="right"/>
    </xf>
    <xf numFmtId="6" fontId="49" fillId="0" borderId="0" xfId="520" applyNumberFormat="1" applyFont="1"/>
    <xf numFmtId="175" fontId="68" fillId="47" borderId="0" xfId="66" applyFont="1" applyFill="1" applyProtection="1">
      <protection locked="0"/>
    </xf>
    <xf numFmtId="0" fontId="49" fillId="0" borderId="0" xfId="520" applyFont="1"/>
    <xf numFmtId="0" fontId="12" fillId="0" borderId="0" xfId="522"/>
    <xf numFmtId="0" fontId="49" fillId="47" borderId="0" xfId="520" applyFont="1" applyFill="1"/>
    <xf numFmtId="168" fontId="49" fillId="0" borderId="0" xfId="520" applyNumberFormat="1" applyFont="1"/>
    <xf numFmtId="4" fontId="12" fillId="0" borderId="30" xfId="0" applyNumberFormat="1" applyFont="1" applyBorder="1" applyAlignment="1">
      <alignment horizontal="right"/>
    </xf>
    <xf numFmtId="44" fontId="65" fillId="47" borderId="0" xfId="50" applyFont="1" applyFill="1"/>
    <xf numFmtId="175" fontId="33" fillId="0" borderId="0" xfId="67" applyFont="1"/>
    <xf numFmtId="3" fontId="52" fillId="47" borderId="21" xfId="0" applyNumberFormat="1" applyFont="1" applyFill="1" applyBorder="1" applyAlignment="1">
      <alignment horizontal="center"/>
    </xf>
    <xf numFmtId="175" fontId="12" fillId="47" borderId="17" xfId="0" applyFont="1" applyFill="1" applyBorder="1" applyProtection="1">
      <protection locked="0"/>
    </xf>
    <xf numFmtId="175" fontId="12" fillId="47" borderId="13" xfId="0" applyFont="1" applyFill="1" applyBorder="1" applyProtection="1">
      <protection locked="0"/>
    </xf>
    <xf numFmtId="175" fontId="12" fillId="0" borderId="11" xfId="0" applyFont="1" applyBorder="1" applyAlignment="1">
      <alignment vertical="center"/>
    </xf>
    <xf numFmtId="2" fontId="12" fillId="0" borderId="11" xfId="0" applyNumberFormat="1" applyFont="1" applyBorder="1" applyAlignment="1">
      <alignment horizontal="right" vertical="center"/>
    </xf>
    <xf numFmtId="2" fontId="12" fillId="0" borderId="11" xfId="0" applyNumberFormat="1" applyFont="1" applyBorder="1" applyAlignment="1">
      <alignment vertical="center"/>
    </xf>
    <xf numFmtId="2" fontId="12" fillId="0" borderId="11" xfId="0" applyNumberFormat="1" applyFont="1" applyBorder="1" applyAlignment="1" applyProtection="1">
      <alignment vertical="center"/>
      <protection locked="0"/>
    </xf>
    <xf numFmtId="2" fontId="12" fillId="0" borderId="11" xfId="0" applyNumberFormat="1" applyFont="1" applyBorder="1" applyAlignment="1" applyProtection="1">
      <alignment horizontal="right" vertical="center"/>
      <protection locked="0"/>
    </xf>
    <xf numFmtId="2" fontId="12" fillId="47" borderId="11" xfId="0" applyNumberFormat="1" applyFont="1" applyFill="1" applyBorder="1" applyAlignment="1">
      <alignment horizontal="right" vertical="center"/>
    </xf>
    <xf numFmtId="175" fontId="0" fillId="0" borderId="11" xfId="0" applyBorder="1" applyAlignment="1">
      <alignment vertical="center"/>
    </xf>
    <xf numFmtId="2" fontId="14" fillId="47" borderId="11" xfId="0" applyNumberFormat="1" applyFont="1" applyFill="1" applyBorder="1" applyAlignment="1">
      <alignment horizontal="right" vertical="center"/>
    </xf>
    <xf numFmtId="2" fontId="14" fillId="47" borderId="11" xfId="0" applyNumberFormat="1" applyFont="1" applyFill="1" applyBorder="1" applyAlignment="1" applyProtection="1">
      <alignment horizontal="right" vertical="center"/>
      <protection locked="0"/>
    </xf>
    <xf numFmtId="2" fontId="14" fillId="47" borderId="11" xfId="0" applyNumberFormat="1" applyFont="1" applyFill="1" applyBorder="1" applyAlignment="1">
      <alignment vertical="center"/>
    </xf>
    <xf numFmtId="2" fontId="14" fillId="47" borderId="11" xfId="0" applyNumberFormat="1" applyFont="1" applyFill="1" applyBorder="1" applyAlignment="1" applyProtection="1">
      <alignment vertical="center"/>
      <protection locked="0"/>
    </xf>
    <xf numFmtId="2" fontId="55" fillId="0" borderId="11" xfId="0" applyNumberFormat="1" applyFont="1" applyBorder="1" applyAlignment="1">
      <alignment horizontal="right" vertical="center"/>
    </xf>
    <xf numFmtId="3" fontId="12" fillId="47" borderId="11" xfId="0" applyNumberFormat="1" applyFont="1" applyFill="1" applyBorder="1" applyAlignment="1">
      <alignment horizontal="center" vertical="center" wrapText="1"/>
    </xf>
    <xf numFmtId="2" fontId="55" fillId="47" borderId="11" xfId="0" applyNumberFormat="1" applyFont="1" applyFill="1" applyBorder="1" applyAlignment="1">
      <alignment horizontal="right" vertical="center"/>
    </xf>
    <xf numFmtId="2" fontId="55" fillId="0" borderId="11" xfId="0" applyNumberFormat="1" applyFont="1" applyBorder="1" applyAlignment="1" applyProtection="1">
      <alignment horizontal="right" vertical="center"/>
      <protection locked="0"/>
    </xf>
    <xf numFmtId="2" fontId="55" fillId="0" borderId="13" xfId="0" applyNumberFormat="1" applyFont="1" applyBorder="1" applyAlignment="1">
      <alignment horizontal="right" vertical="center"/>
    </xf>
    <xf numFmtId="2" fontId="55" fillId="0" borderId="13" xfId="0" applyNumberFormat="1" applyFont="1" applyBorder="1" applyAlignment="1" applyProtection="1">
      <alignment horizontal="right" vertical="center"/>
      <protection locked="0"/>
    </xf>
    <xf numFmtId="2" fontId="55" fillId="47" borderId="13" xfId="0" applyNumberFormat="1" applyFont="1" applyFill="1" applyBorder="1" applyAlignment="1">
      <alignment horizontal="right" vertical="center"/>
    </xf>
    <xf numFmtId="175" fontId="13" fillId="0" borderId="34" xfId="0" applyFont="1" applyBorder="1" applyAlignment="1">
      <alignment horizontal="center"/>
    </xf>
    <xf numFmtId="3" fontId="12" fillId="0" borderId="11" xfId="0" applyNumberFormat="1" applyFont="1" applyBorder="1" applyAlignment="1">
      <alignment horizontal="left" vertical="center" wrapText="1"/>
    </xf>
    <xf numFmtId="3" fontId="12" fillId="0" borderId="11" xfId="0" applyNumberFormat="1" applyFont="1" applyBorder="1" applyAlignment="1">
      <alignment horizontal="center" vertical="center" wrapText="1"/>
    </xf>
    <xf numFmtId="2" fontId="12" fillId="47" borderId="11" xfId="0" applyNumberFormat="1" applyFont="1" applyFill="1" applyBorder="1" applyAlignment="1" applyProtection="1">
      <alignment horizontal="right" vertical="center"/>
      <protection locked="0"/>
    </xf>
    <xf numFmtId="175" fontId="33" fillId="0" borderId="11" xfId="0" applyFont="1" applyBorder="1" applyAlignment="1" applyProtection="1">
      <alignment horizontal="left"/>
      <protection locked="0"/>
    </xf>
    <xf numFmtId="175" fontId="33" fillId="47" borderId="11" xfId="0" applyFont="1" applyFill="1" applyBorder="1" applyAlignment="1" applyProtection="1">
      <alignment horizontal="left"/>
      <protection locked="0"/>
    </xf>
    <xf numFmtId="6" fontId="12" fillId="0" borderId="19" xfId="66" applyNumberFormat="1" applyBorder="1" applyAlignment="1">
      <alignment horizontal="center"/>
    </xf>
    <xf numFmtId="6" fontId="13" fillId="0" borderId="20" xfId="66" applyNumberFormat="1" applyFont="1" applyBorder="1" applyAlignment="1">
      <alignment horizontal="center"/>
    </xf>
    <xf numFmtId="6" fontId="13" fillId="0" borderId="11" xfId="66" applyNumberFormat="1" applyFont="1" applyBorder="1" applyAlignment="1">
      <alignment horizontal="center"/>
    </xf>
    <xf numFmtId="6" fontId="13" fillId="0" borderId="33" xfId="66" applyNumberFormat="1" applyFont="1" applyBorder="1" applyAlignment="1">
      <alignment horizontal="center"/>
    </xf>
    <xf numFmtId="6" fontId="13" fillId="0" borderId="23" xfId="66" applyNumberFormat="1" applyFont="1" applyBorder="1" applyAlignment="1">
      <alignment horizontal="center"/>
    </xf>
    <xf numFmtId="6" fontId="13" fillId="0" borderId="19" xfId="66" applyNumberFormat="1" applyFont="1" applyBorder="1" applyAlignment="1">
      <alignment horizontal="center"/>
    </xf>
    <xf numFmtId="44" fontId="65" fillId="0" borderId="0" xfId="50" applyFont="1"/>
    <xf numFmtId="0" fontId="74" fillId="0" borderId="0" xfId="520" applyFont="1"/>
    <xf numFmtId="0" fontId="74" fillId="0" borderId="27" xfId="520" applyFont="1" applyBorder="1" applyAlignment="1">
      <alignment horizontal="center" vertical="center"/>
    </xf>
    <xf numFmtId="0" fontId="76"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4" fillId="0" borderId="27" xfId="520" applyFont="1" applyBorder="1"/>
    <xf numFmtId="0" fontId="74" fillId="45" borderId="0" xfId="520" applyFont="1" applyFill="1"/>
    <xf numFmtId="0" fontId="78" fillId="0" borderId="0" xfId="520" applyFont="1"/>
    <xf numFmtId="6" fontId="76" fillId="0" borderId="0" xfId="520" applyNumberFormat="1" applyFont="1"/>
    <xf numFmtId="0" fontId="12" fillId="0" borderId="0" xfId="66" applyNumberFormat="1" applyAlignment="1">
      <alignment horizontal="left"/>
    </xf>
    <xf numFmtId="164" fontId="13" fillId="0" borderId="0" xfId="66" applyNumberFormat="1" applyFont="1"/>
    <xf numFmtId="6" fontId="12" fillId="0" borderId="23" xfId="66" applyNumberFormat="1" applyBorder="1" applyAlignment="1">
      <alignment horizontal="right"/>
    </xf>
    <xf numFmtId="175" fontId="12" fillId="0" borderId="11" xfId="66" applyBorder="1" applyProtection="1">
      <protection locked="0"/>
    </xf>
    <xf numFmtId="175" fontId="13" fillId="0" borderId="11" xfId="66" applyFont="1" applyBorder="1" applyAlignment="1">
      <alignment wrapText="1"/>
    </xf>
    <xf numFmtId="3" fontId="12" fillId="47" borderId="11" xfId="0" applyNumberFormat="1" applyFont="1" applyFill="1" applyBorder="1" applyAlignment="1">
      <alignment horizontal="left" vertical="center" wrapText="1"/>
    </xf>
    <xf numFmtId="165" fontId="14" fillId="47" borderId="0" xfId="0" applyNumberFormat="1" applyFont="1" applyFill="1" applyProtection="1">
      <protection locked="0"/>
    </xf>
    <xf numFmtId="6" fontId="12" fillId="47" borderId="0" xfId="66" applyNumberFormat="1" applyFill="1" applyProtection="1">
      <protection locked="0"/>
    </xf>
    <xf numFmtId="175" fontId="75" fillId="47" borderId="0" xfId="66" applyFont="1" applyFill="1" applyAlignment="1" applyProtection="1">
      <alignment vertical="top"/>
      <protection locked="0"/>
    </xf>
    <xf numFmtId="6" fontId="74" fillId="0" borderId="42" xfId="520" applyNumberFormat="1" applyFont="1" applyBorder="1"/>
    <xf numFmtId="6" fontId="74" fillId="0" borderId="16" xfId="520" applyNumberFormat="1" applyFont="1" applyBorder="1"/>
    <xf numFmtId="0" fontId="74" fillId="0" borderId="42" xfId="520" applyFont="1" applyBorder="1"/>
    <xf numFmtId="0" fontId="74" fillId="0" borderId="55" xfId="520" applyFont="1" applyBorder="1"/>
    <xf numFmtId="0" fontId="74" fillId="0" borderId="17" xfId="520" applyFont="1" applyBorder="1" applyAlignment="1">
      <alignment horizontal="left" indent="2"/>
    </xf>
    <xf numFmtId="0" fontId="74" fillId="0" borderId="17" xfId="520" applyFont="1" applyBorder="1"/>
    <xf numFmtId="0" fontId="76" fillId="0" borderId="22" xfId="520" applyFont="1" applyBorder="1"/>
    <xf numFmtId="175" fontId="60" fillId="47" borderId="0" xfId="0" applyFont="1" applyFill="1" applyAlignment="1">
      <alignment vertical="center"/>
    </xf>
    <xf numFmtId="175" fontId="12" fillId="0" borderId="63" xfId="66" applyBorder="1" applyProtection="1">
      <protection locked="0"/>
    </xf>
    <xf numFmtId="175" fontId="12" fillId="0" borderId="64" xfId="66" applyBorder="1" applyProtection="1">
      <protection locked="0"/>
    </xf>
    <xf numFmtId="175" fontId="13" fillId="0" borderId="45" xfId="66" applyFont="1" applyBorder="1" applyAlignment="1" applyProtection="1">
      <alignment horizontal="center" wrapText="1"/>
      <protection locked="0"/>
    </xf>
    <xf numFmtId="175" fontId="12" fillId="0" borderId="47" xfId="66" applyBorder="1" applyProtection="1">
      <protection locked="0"/>
    </xf>
    <xf numFmtId="167" fontId="12" fillId="0" borderId="47" xfId="66" applyNumberFormat="1" applyBorder="1" applyAlignment="1">
      <alignment horizontal="right"/>
    </xf>
    <xf numFmtId="167" fontId="12" fillId="0" borderId="45" xfId="66" applyNumberFormat="1" applyBorder="1" applyAlignment="1">
      <alignment horizontal="right"/>
    </xf>
    <xf numFmtId="167" fontId="12" fillId="0" borderId="45" xfId="66" applyNumberFormat="1" applyBorder="1"/>
    <xf numFmtId="167" fontId="12" fillId="0" borderId="47" xfId="66" applyNumberFormat="1" applyBorder="1"/>
    <xf numFmtId="175" fontId="12" fillId="47" borderId="41" xfId="0" applyFont="1" applyFill="1" applyBorder="1"/>
    <xf numFmtId="167" fontId="12" fillId="0" borderId="65" xfId="66" applyNumberFormat="1" applyBorder="1"/>
    <xf numFmtId="6" fontId="12" fillId="0" borderId="66" xfId="66" applyNumberFormat="1" applyBorder="1" applyProtection="1">
      <protection locked="0"/>
    </xf>
    <xf numFmtId="175" fontId="12" fillId="0" borderId="67" xfId="66" applyBorder="1" applyProtection="1">
      <protection locked="0"/>
    </xf>
    <xf numFmtId="175" fontId="14" fillId="0" borderId="20" xfId="0" applyFont="1" applyBorder="1" applyAlignment="1" applyProtection="1">
      <alignment horizontal="left"/>
      <protection locked="0"/>
    </xf>
    <xf numFmtId="175" fontId="33" fillId="0" borderId="15" xfId="0" applyFont="1" applyBorder="1" applyAlignment="1" applyProtection="1">
      <alignment horizontal="center" wrapText="1"/>
      <protection locked="0"/>
    </xf>
    <xf numFmtId="166" fontId="14" fillId="0" borderId="11" xfId="46" applyNumberFormat="1" applyFont="1" applyBorder="1" applyAlignment="1" applyProtection="1">
      <alignment horizontal="right"/>
      <protection locked="0"/>
    </xf>
    <xf numFmtId="175" fontId="13" fillId="0" borderId="68" xfId="66" applyFont="1" applyBorder="1" applyProtection="1">
      <protection locked="0"/>
    </xf>
    <xf numFmtId="175" fontId="13" fillId="0" borderId="34" xfId="66" applyFont="1" applyBorder="1" applyProtection="1">
      <protection locked="0"/>
    </xf>
    <xf numFmtId="175" fontId="15" fillId="0" borderId="17" xfId="66" applyFont="1" applyBorder="1" applyAlignment="1">
      <alignment wrapText="1"/>
    </xf>
    <xf numFmtId="175" fontId="12" fillId="0" borderId="17" xfId="66" applyBorder="1" applyAlignment="1">
      <alignment horizontal="left" indent="1"/>
    </xf>
    <xf numFmtId="175" fontId="12" fillId="47" borderId="17" xfId="66" applyFill="1" applyBorder="1" applyAlignment="1">
      <alignment horizontal="left" indent="1"/>
    </xf>
    <xf numFmtId="175" fontId="13" fillId="0" borderId="20" xfId="66" applyFont="1" applyBorder="1"/>
    <xf numFmtId="175" fontId="13" fillId="0" borderId="17" xfId="66" applyFont="1" applyBorder="1"/>
    <xf numFmtId="175" fontId="12" fillId="0" borderId="17" xfId="66" quotePrefix="1" applyBorder="1" applyAlignment="1">
      <alignment horizontal="left" indent="1"/>
    </xf>
    <xf numFmtId="175" fontId="13" fillId="0" borderId="20" xfId="66" applyFont="1" applyBorder="1" applyAlignment="1">
      <alignment wrapText="1"/>
    </xf>
    <xf numFmtId="175" fontId="13" fillId="0" borderId="22" xfId="66" applyFont="1" applyBorder="1" applyAlignment="1" applyProtection="1">
      <alignment wrapText="1"/>
      <protection locked="0"/>
    </xf>
    <xf numFmtId="6" fontId="74" fillId="49" borderId="18" xfId="520" applyNumberFormat="1" applyFont="1" applyFill="1" applyBorder="1"/>
    <xf numFmtId="6" fontId="74" fillId="49" borderId="19" xfId="520" applyNumberFormat="1" applyFont="1" applyFill="1" applyBorder="1"/>
    <xf numFmtId="0" fontId="74" fillId="49" borderId="18" xfId="520" applyFont="1" applyFill="1" applyBorder="1"/>
    <xf numFmtId="0" fontId="74" fillId="49" borderId="19" xfId="520" applyFont="1" applyFill="1" applyBorder="1"/>
    <xf numFmtId="0" fontId="77" fillId="49" borderId="18" xfId="520" applyFont="1" applyFill="1" applyBorder="1"/>
    <xf numFmtId="0" fontId="77" fillId="49" borderId="19" xfId="520" applyFont="1" applyFill="1" applyBorder="1"/>
    <xf numFmtId="175" fontId="12" fillId="0" borderId="11" xfId="66" applyBorder="1" applyAlignment="1" applyProtection="1">
      <alignment horizontal="center"/>
      <protection locked="0"/>
    </xf>
    <xf numFmtId="175" fontId="64" fillId="0" borderId="39" xfId="66" applyFont="1" applyBorder="1" applyAlignment="1">
      <alignment horizontal="left" wrapText="1" indent="1"/>
    </xf>
    <xf numFmtId="164" fontId="64" fillId="43" borderId="71" xfId="66" applyNumberFormat="1" applyFont="1" applyFill="1" applyBorder="1"/>
    <xf numFmtId="164" fontId="64" fillId="43" borderId="69" xfId="66" applyNumberFormat="1" applyFont="1" applyFill="1" applyBorder="1"/>
    <xf numFmtId="164" fontId="65" fillId="0" borderId="17" xfId="66" applyNumberFormat="1" applyFont="1" applyBorder="1"/>
    <xf numFmtId="175" fontId="64" fillId="47" borderId="41" xfId="66" applyFont="1" applyFill="1" applyBorder="1" applyAlignment="1">
      <alignment horizontal="center"/>
    </xf>
    <xf numFmtId="175" fontId="65" fillId="0" borderId="41" xfId="66" applyFont="1" applyBorder="1"/>
    <xf numFmtId="175" fontId="65" fillId="47" borderId="41" xfId="66" applyFont="1" applyFill="1" applyBorder="1"/>
    <xf numFmtId="164" fontId="64" fillId="43" borderId="14" xfId="66" applyNumberFormat="1" applyFont="1" applyFill="1" applyBorder="1"/>
    <xf numFmtId="164" fontId="64" fillId="0" borderId="61" xfId="66" applyNumberFormat="1" applyFont="1" applyBorder="1"/>
    <xf numFmtId="175" fontId="13" fillId="47" borderId="11" xfId="66" applyFont="1" applyFill="1" applyBorder="1" applyAlignment="1" applyProtection="1">
      <alignment horizontal="center" wrapText="1"/>
      <protection locked="0"/>
    </xf>
    <xf numFmtId="175" fontId="12" fillId="47" borderId="13" xfId="66" applyFill="1" applyBorder="1" applyProtection="1">
      <protection locked="0"/>
    </xf>
    <xf numFmtId="6" fontId="12" fillId="47" borderId="13" xfId="66" applyNumberFormat="1" applyFill="1" applyBorder="1" applyAlignment="1">
      <alignment horizontal="right"/>
    </xf>
    <xf numFmtId="6" fontId="12" fillId="47" borderId="11" xfId="66" applyNumberFormat="1" applyFill="1" applyBorder="1"/>
    <xf numFmtId="6" fontId="12" fillId="47" borderId="13" xfId="66" applyNumberFormat="1" applyFill="1" applyBorder="1"/>
    <xf numFmtId="6" fontId="12" fillId="47" borderId="33" xfId="66" applyNumberFormat="1" applyFill="1" applyBorder="1" applyAlignment="1">
      <alignment horizontal="right"/>
    </xf>
    <xf numFmtId="6" fontId="74" fillId="0" borderId="17" xfId="520" applyNumberFormat="1" applyFont="1" applyBorder="1"/>
    <xf numFmtId="6" fontId="74" fillId="0" borderId="21" xfId="520" applyNumberFormat="1" applyFont="1" applyBorder="1"/>
    <xf numFmtId="0" fontId="74" fillId="0" borderId="22" xfId="520" applyFont="1" applyBorder="1"/>
    <xf numFmtId="175" fontId="13" fillId="0" borderId="0" xfId="66" applyFont="1" applyAlignment="1" applyProtection="1">
      <alignment horizontal="center"/>
      <protection locked="0"/>
    </xf>
    <xf numFmtId="175" fontId="13" fillId="0" borderId="0" xfId="66" quotePrefix="1" applyFont="1" applyAlignment="1" applyProtection="1">
      <alignment horizontal="center"/>
      <protection locked="0"/>
    </xf>
    <xf numFmtId="6" fontId="12" fillId="0" borderId="34" xfId="66" applyNumberFormat="1" applyBorder="1" applyAlignment="1">
      <alignment horizontal="center"/>
    </xf>
    <xf numFmtId="175" fontId="12" fillId="0" borderId="11" xfId="66" applyBorder="1"/>
    <xf numFmtId="175" fontId="12" fillId="0" borderId="20" xfId="66" applyBorder="1"/>
    <xf numFmtId="175" fontId="13" fillId="0" borderId="34" xfId="66" applyFont="1" applyBorder="1" applyAlignment="1" applyProtection="1">
      <alignment horizontal="center"/>
      <protection locked="0"/>
    </xf>
    <xf numFmtId="175" fontId="13" fillId="0" borderId="34" xfId="66" quotePrefix="1" applyFont="1" applyBorder="1" applyAlignment="1" applyProtection="1">
      <alignment horizontal="center"/>
      <protection locked="0"/>
    </xf>
    <xf numFmtId="175" fontId="12" fillId="47" borderId="11" xfId="66" applyFill="1" applyBorder="1"/>
    <xf numFmtId="175" fontId="66" fillId="47" borderId="0" xfId="0" applyFont="1" applyFill="1" applyAlignment="1">
      <alignment vertical="center"/>
    </xf>
    <xf numFmtId="6" fontId="74" fillId="0" borderId="13" xfId="520" applyNumberFormat="1" applyFont="1" applyBorder="1"/>
    <xf numFmtId="6" fontId="74" fillId="0" borderId="34" xfId="520" applyNumberFormat="1" applyFont="1" applyBorder="1"/>
    <xf numFmtId="175" fontId="60" fillId="0" borderId="0" xfId="66" applyFont="1" applyProtection="1">
      <protection locked="0"/>
    </xf>
    <xf numFmtId="175" fontId="12" fillId="0" borderId="17" xfId="66" applyBorder="1"/>
    <xf numFmtId="175" fontId="12" fillId="47" borderId="17" xfId="0" applyFont="1" applyFill="1" applyBorder="1" applyAlignment="1">
      <alignment horizontal="left"/>
    </xf>
    <xf numFmtId="175" fontId="65" fillId="43" borderId="63" xfId="66" applyFont="1" applyFill="1" applyBorder="1"/>
    <xf numFmtId="175" fontId="64" fillId="43" borderId="64" xfId="66" applyFont="1" applyFill="1" applyBorder="1" applyAlignment="1">
      <alignment horizontal="center"/>
    </xf>
    <xf numFmtId="175" fontId="64" fillId="43" borderId="72" xfId="66" applyFont="1" applyFill="1" applyBorder="1" applyAlignment="1">
      <alignment horizontal="center"/>
    </xf>
    <xf numFmtId="175" fontId="64" fillId="0" borderId="59" xfId="66" applyFont="1" applyBorder="1"/>
    <xf numFmtId="175" fontId="13" fillId="0" borderId="11" xfId="66" applyFont="1" applyBorder="1" applyAlignment="1" applyProtection="1">
      <alignment horizontal="left"/>
      <protection locked="0"/>
    </xf>
    <xf numFmtId="175" fontId="13" fillId="0" borderId="61" xfId="66" applyFont="1" applyBorder="1" applyAlignment="1">
      <alignment horizontal="center"/>
    </xf>
    <xf numFmtId="175" fontId="13" fillId="0" borderId="61" xfId="66" applyFont="1" applyBorder="1" applyAlignment="1">
      <alignment horizontal="left"/>
    </xf>
    <xf numFmtId="175" fontId="13" fillId="0" borderId="40" xfId="66" applyFont="1" applyBorder="1"/>
    <xf numFmtId="175" fontId="12" fillId="0" borderId="61" xfId="66" applyBorder="1"/>
    <xf numFmtId="175" fontId="13" fillId="0" borderId="61" xfId="66" applyFont="1" applyBorder="1"/>
    <xf numFmtId="175" fontId="13" fillId="0" borderId="40" xfId="66" applyFont="1" applyBorder="1" applyAlignment="1">
      <alignment horizontal="left" wrapText="1" indent="1"/>
    </xf>
    <xf numFmtId="175" fontId="13" fillId="0" borderId="61" xfId="66" applyFont="1" applyBorder="1" applyAlignment="1">
      <alignment horizontal="left" indent="1"/>
    </xf>
    <xf numFmtId="175" fontId="13" fillId="0" borderId="61" xfId="66" applyFont="1" applyBorder="1" applyAlignment="1">
      <alignment horizontal="center" wrapText="1"/>
    </xf>
    <xf numFmtId="175" fontId="13" fillId="0" borderId="40" xfId="66" applyFont="1" applyBorder="1" applyAlignment="1">
      <alignment horizontal="left" indent="1"/>
    </xf>
    <xf numFmtId="175" fontId="13" fillId="0" borderId="70" xfId="66" applyFont="1" applyBorder="1" applyAlignment="1">
      <alignment horizontal="left" indent="1"/>
    </xf>
    <xf numFmtId="175" fontId="13" fillId="0" borderId="74" xfId="66" applyFont="1" applyBorder="1" applyAlignment="1">
      <alignment wrapText="1"/>
    </xf>
    <xf numFmtId="175" fontId="13" fillId="0" borderId="75" xfId="66" applyFont="1" applyBorder="1" applyAlignment="1">
      <alignment horizontal="center" wrapText="1"/>
    </xf>
    <xf numFmtId="175" fontId="12" fillId="0" borderId="72" xfId="66" applyBorder="1"/>
    <xf numFmtId="164" fontId="12" fillId="0" borderId="72" xfId="66" applyNumberFormat="1" applyBorder="1"/>
    <xf numFmtId="164" fontId="12" fillId="0" borderId="64" xfId="66" applyNumberFormat="1" applyBorder="1"/>
    <xf numFmtId="164" fontId="12" fillId="0" borderId="76" xfId="66" applyNumberFormat="1" applyBorder="1"/>
    <xf numFmtId="164" fontId="12" fillId="44" borderId="64" xfId="66" applyNumberFormat="1" applyFill="1" applyBorder="1" applyAlignment="1">
      <alignment horizontal="right"/>
    </xf>
    <xf numFmtId="164" fontId="13" fillId="0" borderId="77" xfId="66" applyNumberFormat="1" applyFont="1" applyBorder="1"/>
    <xf numFmtId="175" fontId="13" fillId="0" borderId="78" xfId="66" applyFont="1" applyBorder="1" applyAlignment="1">
      <alignment horizontal="center"/>
    </xf>
    <xf numFmtId="175" fontId="13" fillId="0" borderId="75" xfId="66" applyFont="1" applyBorder="1" applyAlignment="1">
      <alignment horizontal="center"/>
    </xf>
    <xf numFmtId="164" fontId="12" fillId="0" borderId="41" xfId="66" applyNumberFormat="1" applyBorder="1"/>
    <xf numFmtId="164" fontId="12" fillId="0" borderId="72" xfId="66" applyNumberFormat="1" applyBorder="1" applyAlignment="1">
      <alignment horizontal="center"/>
    </xf>
    <xf numFmtId="164" fontId="12" fillId="0" borderId="79" xfId="66" applyNumberFormat="1" applyBorder="1"/>
    <xf numFmtId="164" fontId="12" fillId="0" borderId="64" xfId="66" applyNumberFormat="1" applyBorder="1" applyAlignment="1">
      <alignment horizontal="center"/>
    </xf>
    <xf numFmtId="164" fontId="12" fillId="0" borderId="72" xfId="66" applyNumberFormat="1" applyBorder="1" applyAlignment="1" applyProtection="1">
      <alignment horizontal="center"/>
      <protection locked="0"/>
    </xf>
    <xf numFmtId="164" fontId="12" fillId="0" borderId="80" xfId="66" applyNumberFormat="1" applyBorder="1" applyAlignment="1" applyProtection="1">
      <alignment horizontal="center"/>
      <protection locked="0"/>
    </xf>
    <xf numFmtId="164" fontId="12" fillId="0" borderId="73" xfId="66" applyNumberFormat="1" applyBorder="1"/>
    <xf numFmtId="164" fontId="12" fillId="0" borderId="76" xfId="66" applyNumberFormat="1" applyBorder="1" applyAlignment="1">
      <alignment horizontal="center"/>
    </xf>
    <xf numFmtId="164" fontId="12" fillId="44" borderId="79" xfId="66" applyNumberFormat="1" applyFill="1" applyBorder="1"/>
    <xf numFmtId="164" fontId="12" fillId="44" borderId="64" xfId="66" applyNumberFormat="1" applyFill="1" applyBorder="1" applyAlignment="1">
      <alignment horizontal="center"/>
    </xf>
    <xf numFmtId="164" fontId="13" fillId="0" borderId="81" xfId="66" applyNumberFormat="1" applyFont="1" applyBorder="1"/>
    <xf numFmtId="164" fontId="13" fillId="0" borderId="77" xfId="66" applyNumberFormat="1" applyFont="1" applyBorder="1" applyAlignment="1">
      <alignment horizontal="center"/>
    </xf>
    <xf numFmtId="175" fontId="61" fillId="0" borderId="0" xfId="66" applyFont="1" applyProtection="1">
      <protection locked="0"/>
    </xf>
    <xf numFmtId="43" fontId="12" fillId="50" borderId="27" xfId="46" quotePrefix="1" applyFill="1" applyBorder="1" applyAlignment="1">
      <alignment horizontal="left"/>
    </xf>
    <xf numFmtId="43" fontId="12" fillId="50" borderId="55" xfId="46" quotePrefix="1" applyFill="1" applyBorder="1" applyAlignment="1">
      <alignment horizontal="left"/>
    </xf>
    <xf numFmtId="43" fontId="12" fillId="50" borderId="0" xfId="46" quotePrefix="1" applyFill="1" applyAlignment="1">
      <alignment horizontal="left"/>
    </xf>
    <xf numFmtId="43" fontId="12" fillId="50" borderId="42" xfId="46" quotePrefix="1" applyFill="1" applyBorder="1" applyAlignment="1">
      <alignment horizontal="left"/>
    </xf>
    <xf numFmtId="43" fontId="12" fillId="50" borderId="14" xfId="46" quotePrefix="1" applyFill="1" applyBorder="1" applyAlignment="1">
      <alignment horizontal="left"/>
    </xf>
    <xf numFmtId="43" fontId="12" fillId="50" borderId="16" xfId="46" quotePrefix="1" applyFill="1" applyBorder="1" applyAlignment="1">
      <alignment horizontal="left"/>
    </xf>
    <xf numFmtId="43" fontId="12" fillId="50" borderId="0" xfId="46" quotePrefix="1" applyFill="1" applyAlignment="1">
      <alignment horizontal="center"/>
    </xf>
    <xf numFmtId="43" fontId="12" fillId="50" borderId="0" xfId="46" quotePrefix="1" applyFill="1" applyAlignment="1">
      <alignment horizontal="right"/>
    </xf>
    <xf numFmtId="43" fontId="12" fillId="50" borderId="0" xfId="46" quotePrefix="1" applyFill="1"/>
    <xf numFmtId="43" fontId="12" fillId="50" borderId="42" xfId="46" quotePrefix="1" applyFill="1" applyBorder="1"/>
    <xf numFmtId="3" fontId="13" fillId="47" borderId="18" xfId="0" applyNumberFormat="1" applyFont="1" applyFill="1" applyBorder="1" applyAlignment="1">
      <alignment horizontal="center" wrapText="1"/>
    </xf>
    <xf numFmtId="175" fontId="13" fillId="47" borderId="26" xfId="0" applyFont="1" applyFill="1" applyBorder="1" applyAlignment="1">
      <alignment horizontal="center"/>
    </xf>
    <xf numFmtId="175" fontId="83" fillId="0" borderId="0" xfId="0" applyFont="1" applyAlignment="1" applyProtection="1">
      <alignment vertical="center"/>
      <protection locked="0"/>
    </xf>
    <xf numFmtId="175" fontId="84" fillId="0" borderId="0" xfId="0" applyFont="1" applyAlignment="1" applyProtection="1">
      <alignment vertical="center"/>
      <protection locked="0"/>
    </xf>
    <xf numFmtId="175" fontId="33" fillId="47" borderId="0" xfId="0" applyFont="1" applyFill="1" applyProtection="1">
      <protection locked="0"/>
    </xf>
    <xf numFmtId="164" fontId="64" fillId="47" borderId="43" xfId="66" applyNumberFormat="1" applyFont="1" applyFill="1" applyBorder="1"/>
    <xf numFmtId="43" fontId="12" fillId="0" borderId="0" xfId="46" applyProtection="1">
      <protection locked="0"/>
    </xf>
    <xf numFmtId="2" fontId="14" fillId="0" borderId="0" xfId="0" applyNumberFormat="1" applyFont="1" applyProtection="1">
      <protection locked="0"/>
    </xf>
    <xf numFmtId="175" fontId="13" fillId="47" borderId="0" xfId="782" applyFont="1" applyFill="1" applyAlignment="1">
      <alignment vertical="center"/>
    </xf>
    <xf numFmtId="0" fontId="14" fillId="0" borderId="11" xfId="67" applyNumberFormat="1" applyBorder="1" applyAlignment="1">
      <alignment horizontal="center" vertical="center" wrapText="1"/>
    </xf>
    <xf numFmtId="6" fontId="14" fillId="0" borderId="11" xfId="67" applyNumberFormat="1" applyBorder="1" applyAlignment="1">
      <alignment horizontal="center" vertical="center" wrapText="1"/>
    </xf>
    <xf numFmtId="175" fontId="14" fillId="0" borderId="11" xfId="67" applyBorder="1" applyAlignment="1">
      <alignment horizontal="left" vertical="center" wrapText="1"/>
    </xf>
    <xf numFmtId="14" fontId="14" fillId="0" borderId="11" xfId="67" applyNumberFormat="1" applyBorder="1" applyAlignment="1">
      <alignment horizontal="center" vertical="center" wrapText="1"/>
    </xf>
    <xf numFmtId="175" fontId="33" fillId="0" borderId="0" xfId="67" applyFont="1" applyAlignment="1">
      <alignment horizontal="center" vertical="center"/>
    </xf>
    <xf numFmtId="0" fontId="14" fillId="0" borderId="11" xfId="67" applyNumberFormat="1" applyBorder="1" applyAlignment="1" applyProtection="1">
      <alignment horizontal="center" vertical="center"/>
      <protection locked="0"/>
    </xf>
    <xf numFmtId="6" fontId="14" fillId="0" borderId="11" xfId="67" applyNumberFormat="1" applyBorder="1" applyAlignment="1" applyProtection="1">
      <alignment horizontal="center" vertical="center"/>
      <protection locked="0"/>
    </xf>
    <xf numFmtId="175" fontId="14" fillId="0" borderId="0" xfId="67" applyAlignment="1" applyProtection="1">
      <alignment vertical="center"/>
      <protection locked="0"/>
    </xf>
    <xf numFmtId="175" fontId="14" fillId="0" borderId="11" xfId="67" applyBorder="1" applyAlignment="1">
      <alignment horizontal="center" vertical="center" wrapText="1"/>
    </xf>
    <xf numFmtId="175" fontId="14" fillId="0" borderId="11" xfId="67" applyBorder="1" applyAlignment="1" applyProtection="1">
      <alignment horizontal="center" vertical="center" wrapText="1"/>
      <protection locked="0"/>
    </xf>
    <xf numFmtId="175" fontId="12" fillId="0" borderId="11" xfId="66" applyBorder="1" applyAlignment="1" applyProtection="1">
      <alignment vertical="center" wrapText="1"/>
      <protection locked="0"/>
    </xf>
    <xf numFmtId="175" fontId="12" fillId="0" borderId="0" xfId="66" applyAlignment="1" applyProtection="1">
      <alignment vertical="center" wrapText="1"/>
      <protection locked="0"/>
    </xf>
    <xf numFmtId="175" fontId="87" fillId="0" borderId="0" xfId="0" applyFont="1" applyAlignment="1">
      <alignment horizontal="left" vertical="center" indent="1"/>
    </xf>
    <xf numFmtId="175" fontId="13" fillId="47" borderId="0" xfId="0" applyFont="1" applyFill="1" applyAlignment="1">
      <alignment vertical="center"/>
    </xf>
    <xf numFmtId="6" fontId="12" fillId="47" borderId="0" xfId="66" applyNumberFormat="1" applyFill="1" applyAlignment="1" applyProtection="1">
      <alignment horizontal="right"/>
      <protection locked="0"/>
    </xf>
    <xf numFmtId="168" fontId="12" fillId="47" borderId="0" xfId="50" applyNumberFormat="1" applyFill="1" applyProtection="1">
      <protection locked="0"/>
    </xf>
    <xf numFmtId="175" fontId="14" fillId="0" borderId="0" xfId="0" applyFont="1" applyAlignment="1">
      <alignment horizontal="center"/>
    </xf>
    <xf numFmtId="172" fontId="12" fillId="0" borderId="0" xfId="0" applyNumberFormat="1" applyFont="1"/>
    <xf numFmtId="175" fontId="38" fillId="0" borderId="0" xfId="0" applyFont="1"/>
    <xf numFmtId="3" fontId="38" fillId="0" borderId="0" xfId="0" applyNumberFormat="1" applyFont="1"/>
    <xf numFmtId="175" fontId="14" fillId="47" borderId="0" xfId="0" applyFont="1" applyFill="1" applyAlignment="1">
      <alignment horizontal="center"/>
    </xf>
    <xf numFmtId="172" fontId="12" fillId="0" borderId="0" xfId="0" applyNumberFormat="1" applyFont="1" applyAlignment="1">
      <alignment horizontal="right"/>
    </xf>
    <xf numFmtId="172" fontId="12" fillId="0" borderId="0" xfId="0" applyNumberFormat="1" applyFont="1" applyAlignment="1" applyProtection="1">
      <alignment horizontal="right"/>
      <protection locked="0"/>
    </xf>
    <xf numFmtId="0" fontId="12" fillId="0" borderId="0" xfId="66" applyNumberFormat="1"/>
    <xf numFmtId="164" fontId="12" fillId="0" borderId="0" xfId="66" applyNumberFormat="1" applyBorder="1"/>
    <xf numFmtId="175" fontId="12" fillId="47" borderId="0" xfId="66" applyFont="1" applyFill="1" applyAlignment="1" applyProtection="1">
      <alignment horizontal="center"/>
      <protection locked="0"/>
    </xf>
    <xf numFmtId="175" fontId="12" fillId="47" borderId="0" xfId="66" applyFont="1" applyFill="1" applyProtection="1">
      <protection locked="0"/>
    </xf>
    <xf numFmtId="14" fontId="86" fillId="0" borderId="0" xfId="0" applyNumberFormat="1" applyFont="1"/>
    <xf numFmtId="171" fontId="12" fillId="47" borderId="0" xfId="66" applyNumberFormat="1" applyFont="1" applyFill="1" applyAlignment="1" applyProtection="1">
      <alignment horizontal="center"/>
      <protection locked="0"/>
    </xf>
    <xf numFmtId="175" fontId="12" fillId="0" borderId="0" xfId="66" applyBorder="1"/>
    <xf numFmtId="175" fontId="13" fillId="44" borderId="60" xfId="66" applyFont="1" applyFill="1" applyBorder="1" applyAlignment="1">
      <alignment horizontal="center"/>
    </xf>
    <xf numFmtId="175" fontId="13" fillId="0" borderId="71" xfId="66" applyFont="1" applyBorder="1"/>
    <xf numFmtId="175" fontId="13" fillId="0" borderId="60" xfId="0" applyFont="1" applyBorder="1" applyAlignment="1">
      <alignment wrapText="1"/>
    </xf>
    <xf numFmtId="175" fontId="13" fillId="0" borderId="71" xfId="66" applyFont="1" applyBorder="1" applyAlignment="1">
      <alignment horizontal="left"/>
    </xf>
    <xf numFmtId="175" fontId="13" fillId="0" borderId="36" xfId="66" applyFont="1" applyBorder="1" applyProtection="1">
      <protection locked="0"/>
    </xf>
    <xf numFmtId="175" fontId="13" fillId="0" borderId="20" xfId="66" applyFont="1" applyBorder="1" applyAlignment="1" applyProtection="1">
      <alignment horizontal="center"/>
      <protection locked="0"/>
    </xf>
    <xf numFmtId="6" fontId="12" fillId="0" borderId="0" xfId="66" applyNumberFormat="1" applyBorder="1" applyAlignment="1">
      <alignment horizontal="right"/>
    </xf>
    <xf numFmtId="175" fontId="13" fillId="0" borderId="0" xfId="66" applyFont="1" applyBorder="1" applyProtection="1">
      <protection locked="0"/>
    </xf>
    <xf numFmtId="175" fontId="13" fillId="0" borderId="82" xfId="66" applyFont="1" applyBorder="1" applyAlignment="1" applyProtection="1">
      <alignment horizontal="center" wrapText="1"/>
      <protection locked="0"/>
    </xf>
    <xf numFmtId="6" fontId="12" fillId="0" borderId="61" xfId="66" applyNumberFormat="1" applyBorder="1" applyAlignment="1">
      <alignment horizontal="right"/>
    </xf>
    <xf numFmtId="6" fontId="12" fillId="0" borderId="71" xfId="66" applyNumberFormat="1" applyBorder="1"/>
    <xf numFmtId="6" fontId="12" fillId="0" borderId="40" xfId="66" applyNumberFormat="1" applyBorder="1"/>
    <xf numFmtId="6" fontId="12" fillId="0" borderId="61" xfId="66" applyNumberFormat="1" applyBorder="1"/>
    <xf numFmtId="6" fontId="74" fillId="0" borderId="0" xfId="520" applyNumberFormat="1" applyFont="1" applyBorder="1"/>
    <xf numFmtId="0" fontId="74" fillId="0" borderId="0" xfId="520" applyFont="1" applyBorder="1"/>
    <xf numFmtId="164" fontId="65" fillId="0" borderId="0" xfId="66" applyNumberFormat="1" applyFont="1" applyBorder="1"/>
    <xf numFmtId="164" fontId="64" fillId="0" borderId="72" xfId="66" applyNumberFormat="1" applyFont="1" applyBorder="1"/>
    <xf numFmtId="0" fontId="76" fillId="0" borderId="21" xfId="520" applyFont="1" applyBorder="1"/>
    <xf numFmtId="164" fontId="64" fillId="43" borderId="20" xfId="66" applyNumberFormat="1" applyFont="1" applyFill="1" applyBorder="1" applyAlignment="1">
      <alignment horizontal="right"/>
    </xf>
    <xf numFmtId="164" fontId="64" fillId="43" borderId="18" xfId="66" applyNumberFormat="1" applyFont="1" applyFill="1" applyBorder="1" applyAlignment="1">
      <alignment horizontal="right"/>
    </xf>
    <xf numFmtId="164" fontId="64" fillId="0" borderId="19" xfId="66" applyNumberFormat="1" applyFont="1" applyBorder="1" applyAlignment="1">
      <alignment horizontal="right"/>
    </xf>
    <xf numFmtId="164" fontId="64" fillId="43" borderId="19" xfId="66" applyNumberFormat="1" applyFont="1" applyFill="1" applyBorder="1" applyAlignment="1">
      <alignment horizontal="right"/>
    </xf>
    <xf numFmtId="164" fontId="65" fillId="0" borderId="72" xfId="66" applyNumberFormat="1" applyFont="1" applyBorder="1"/>
    <xf numFmtId="164" fontId="65" fillId="0" borderId="22" xfId="66" applyNumberFormat="1" applyFont="1" applyBorder="1"/>
    <xf numFmtId="164" fontId="65" fillId="0" borderId="27" xfId="66" applyNumberFormat="1" applyFont="1" applyBorder="1"/>
    <xf numFmtId="164" fontId="65" fillId="0" borderId="55" xfId="66" applyNumberFormat="1" applyFont="1" applyBorder="1"/>
    <xf numFmtId="164" fontId="65" fillId="0" borderId="42" xfId="66" applyNumberFormat="1" applyFont="1" applyBorder="1"/>
    <xf numFmtId="164" fontId="65" fillId="0" borderId="21" xfId="66" applyNumberFormat="1" applyFont="1" applyBorder="1"/>
    <xf numFmtId="164" fontId="65" fillId="0" borderId="14" xfId="66" applyNumberFormat="1" applyFont="1" applyBorder="1"/>
    <xf numFmtId="164" fontId="65" fillId="0" borderId="16" xfId="66" applyNumberFormat="1" applyFont="1" applyBorder="1"/>
    <xf numFmtId="175" fontId="12" fillId="47" borderId="0" xfId="0" quotePrefix="1" applyFont="1" applyFill="1" applyAlignment="1">
      <alignment vertical="top" wrapText="1"/>
    </xf>
    <xf numFmtId="175" fontId="12" fillId="0" borderId="0" xfId="0" quotePrefix="1" applyFont="1"/>
    <xf numFmtId="175" fontId="81" fillId="0" borderId="0" xfId="0" quotePrefix="1" applyFont="1" applyAlignment="1">
      <alignment vertical="center"/>
    </xf>
    <xf numFmtId="175" fontId="14" fillId="0" borderId="0" xfId="67" quotePrefix="1" applyProtection="1">
      <protection locked="0"/>
    </xf>
    <xf numFmtId="175" fontId="81" fillId="0" borderId="0" xfId="0" quotePrefix="1" applyFont="1" applyProtection="1">
      <protection locked="0"/>
    </xf>
    <xf numFmtId="175" fontId="88" fillId="47" borderId="0" xfId="0" quotePrefix="1" applyFont="1" applyFill="1" applyProtection="1">
      <protection locked="0"/>
    </xf>
    <xf numFmtId="175" fontId="13" fillId="0" borderId="20" xfId="66" applyFont="1" applyBorder="1" applyAlignment="1" applyProtection="1">
      <alignment horizontal="right"/>
      <protection locked="0"/>
    </xf>
    <xf numFmtId="6" fontId="12" fillId="0" borderId="22" xfId="66" applyNumberFormat="1" applyBorder="1" applyAlignment="1">
      <alignment horizontal="right"/>
    </xf>
    <xf numFmtId="6" fontId="12" fillId="0" borderId="17" xfId="66" applyNumberFormat="1" applyBorder="1" applyAlignment="1">
      <alignment horizontal="right"/>
    </xf>
    <xf numFmtId="6" fontId="12" fillId="0" borderId="20" xfId="66" applyNumberFormat="1" applyBorder="1"/>
    <xf numFmtId="6" fontId="12" fillId="0" borderId="20" xfId="66" applyNumberFormat="1" applyBorder="1" applyAlignment="1">
      <alignment horizontal="right"/>
    </xf>
    <xf numFmtId="6" fontId="12" fillId="0" borderId="17" xfId="66" applyNumberFormat="1" applyBorder="1"/>
    <xf numFmtId="6" fontId="12" fillId="47" borderId="15" xfId="66" applyNumberFormat="1" applyFill="1" applyBorder="1"/>
    <xf numFmtId="6" fontId="12" fillId="47" borderId="13" xfId="66" applyNumberFormat="1" applyFill="1" applyBorder="1" applyProtection="1">
      <protection locked="0"/>
    </xf>
    <xf numFmtId="6" fontId="12" fillId="0" borderId="13" xfId="66" applyNumberFormat="1" applyBorder="1" applyProtection="1">
      <protection locked="0"/>
    </xf>
    <xf numFmtId="6" fontId="12" fillId="0" borderId="34" xfId="66" applyNumberFormat="1" applyBorder="1" applyProtection="1">
      <protection locked="0"/>
    </xf>
    <xf numFmtId="0" fontId="13" fillId="0" borderId="0" xfId="522" applyFont="1" applyAlignment="1" applyProtection="1">
      <alignment horizontal="center"/>
      <protection locked="0"/>
    </xf>
    <xf numFmtId="17" fontId="13" fillId="47" borderId="0" xfId="522" quotePrefix="1" applyNumberFormat="1" applyFont="1" applyFill="1" applyAlignment="1" applyProtection="1">
      <alignment horizontal="center"/>
      <protection locked="0"/>
    </xf>
    <xf numFmtId="0" fontId="53" fillId="49" borderId="18" xfId="520" applyFont="1" applyFill="1" applyBorder="1"/>
    <xf numFmtId="6" fontId="12" fillId="0" borderId="27" xfId="520" applyNumberFormat="1" applyFont="1" applyBorder="1"/>
    <xf numFmtId="0" fontId="13" fillId="0" borderId="18" xfId="520" applyFont="1" applyBorder="1" applyAlignment="1">
      <alignment horizontal="center"/>
    </xf>
    <xf numFmtId="0" fontId="13" fillId="0" borderId="14" xfId="520" applyFont="1" applyBorder="1" applyAlignment="1">
      <alignment horizontal="center"/>
    </xf>
    <xf numFmtId="0" fontId="13" fillId="0" borderId="16" xfId="520" applyFont="1" applyBorder="1" applyAlignment="1">
      <alignment horizontal="center"/>
    </xf>
    <xf numFmtId="6" fontId="12" fillId="0" borderId="22" xfId="520" applyNumberFormat="1" applyFont="1" applyBorder="1"/>
    <xf numFmtId="6" fontId="12" fillId="0" borderId="17" xfId="520" applyNumberFormat="1" applyFont="1" applyBorder="1"/>
    <xf numFmtId="6" fontId="12" fillId="0" borderId="55" xfId="520" applyNumberFormat="1" applyFont="1" applyBorder="1"/>
    <xf numFmtId="6" fontId="12" fillId="0" borderId="0" xfId="520" applyNumberFormat="1" applyFont="1" applyBorder="1"/>
    <xf numFmtId="6" fontId="12" fillId="0" borderId="42" xfId="520" applyNumberFormat="1" applyFont="1" applyBorder="1"/>
    <xf numFmtId="6" fontId="12" fillId="0" borderId="21" xfId="520" applyNumberFormat="1" applyFont="1" applyBorder="1"/>
    <xf numFmtId="6" fontId="12" fillId="0" borderId="14" xfId="520" applyNumberFormat="1" applyFont="1" applyBorder="1"/>
    <xf numFmtId="6" fontId="12" fillId="0" borderId="16" xfId="520" applyNumberFormat="1" applyFont="1" applyBorder="1"/>
    <xf numFmtId="6" fontId="12" fillId="49" borderId="20" xfId="520" applyNumberFormat="1" applyFont="1" applyFill="1" applyBorder="1"/>
    <xf numFmtId="6" fontId="12" fillId="49" borderId="18" xfId="520" applyNumberFormat="1" applyFont="1" applyFill="1" applyBorder="1"/>
    <xf numFmtId="6" fontId="12" fillId="49" borderId="21" xfId="520" applyNumberFormat="1" applyFont="1" applyFill="1" applyBorder="1"/>
    <xf numFmtId="6" fontId="12" fillId="49" borderId="14" xfId="520" applyNumberFormat="1" applyFont="1" applyFill="1" applyBorder="1"/>
    <xf numFmtId="6" fontId="12" fillId="0" borderId="0" xfId="520" applyNumberFormat="1" applyFont="1"/>
    <xf numFmtId="6" fontId="12" fillId="0" borderId="15" xfId="520" applyNumberFormat="1" applyFont="1" applyBorder="1"/>
    <xf numFmtId="6" fontId="12" fillId="0" borderId="13" xfId="520" applyNumberFormat="1" applyFont="1" applyBorder="1"/>
    <xf numFmtId="6" fontId="12" fillId="0" borderId="34" xfId="520" applyNumberFormat="1" applyFont="1" applyBorder="1"/>
    <xf numFmtId="6" fontId="12" fillId="47" borderId="13" xfId="520" applyNumberFormat="1" applyFont="1" applyFill="1" applyBorder="1"/>
    <xf numFmtId="6" fontId="12" fillId="51" borderId="0" xfId="520" applyNumberFormat="1" applyFont="1" applyFill="1"/>
    <xf numFmtId="6" fontId="12" fillId="47" borderId="42" xfId="520" applyNumberFormat="1" applyFont="1" applyFill="1" applyBorder="1"/>
    <xf numFmtId="0" fontId="13" fillId="0" borderId="21" xfId="520" applyFont="1" applyBorder="1" applyAlignment="1">
      <alignment wrapText="1"/>
    </xf>
    <xf numFmtId="0" fontId="12" fillId="0" borderId="17" xfId="520" applyFont="1" applyBorder="1" applyAlignment="1">
      <alignment horizontal="left" indent="2"/>
    </xf>
    <xf numFmtId="0" fontId="12" fillId="0" borderId="17" xfId="520" applyFont="1" applyBorder="1" applyAlignment="1">
      <alignment horizontal="left" wrapText="1" indent="2"/>
    </xf>
    <xf numFmtId="0" fontId="12" fillId="47" borderId="17" xfId="520" applyFont="1" applyFill="1" applyBorder="1" applyAlignment="1">
      <alignment horizontal="left" wrapText="1" indent="2"/>
    </xf>
    <xf numFmtId="0" fontId="91" fillId="0" borderId="17" xfId="520" applyFont="1" applyBorder="1"/>
    <xf numFmtId="0" fontId="13" fillId="0" borderId="17" xfId="520" applyFont="1" applyBorder="1"/>
    <xf numFmtId="0" fontId="13" fillId="0" borderId="17" xfId="520" applyFont="1" applyBorder="1" applyAlignment="1">
      <alignment wrapText="1"/>
    </xf>
    <xf numFmtId="0" fontId="53" fillId="49" borderId="20" xfId="520" applyFont="1" applyFill="1" applyBorder="1"/>
    <xf numFmtId="0" fontId="53" fillId="0" borderId="21" xfId="520" applyFont="1" applyBorder="1"/>
    <xf numFmtId="175" fontId="70" fillId="47" borderId="0" xfId="0" quotePrefix="1" applyFont="1" applyFill="1" applyAlignment="1" applyProtection="1">
      <alignment vertical="center" wrapText="1"/>
      <protection locked="0"/>
    </xf>
    <xf numFmtId="175" fontId="70" fillId="47" borderId="0" xfId="0" applyFont="1" applyFill="1" applyAlignment="1" applyProtection="1">
      <alignment vertical="center"/>
      <protection locked="0"/>
    </xf>
    <xf numFmtId="175" fontId="12" fillId="47" borderId="0" xfId="0" quotePrefix="1" applyFont="1" applyFill="1"/>
    <xf numFmtId="177" fontId="12" fillId="0" borderId="40" xfId="66" applyNumberFormat="1" applyBorder="1"/>
    <xf numFmtId="177" fontId="12" fillId="0" borderId="11" xfId="66" applyNumberFormat="1" applyBorder="1"/>
    <xf numFmtId="175" fontId="70" fillId="47" borderId="0" xfId="0" applyFont="1" applyFill="1" applyAlignment="1" applyProtection="1">
      <protection locked="0"/>
    </xf>
    <xf numFmtId="175" fontId="12" fillId="47" borderId="0" xfId="0" applyFont="1" applyFill="1" applyAlignment="1">
      <alignment vertical="center"/>
    </xf>
    <xf numFmtId="3" fontId="52" fillId="0" borderId="17" xfId="0" applyNumberFormat="1" applyFont="1" applyFill="1" applyBorder="1" applyAlignment="1">
      <alignment horizontal="center"/>
    </xf>
    <xf numFmtId="164" fontId="12" fillId="0" borderId="0" xfId="66" applyNumberFormat="1" applyBorder="1" applyAlignment="1">
      <alignment horizontal="center"/>
    </xf>
    <xf numFmtId="175" fontId="70" fillId="47" borderId="0" xfId="0" quotePrefix="1" applyFont="1" applyFill="1" applyAlignment="1" applyProtection="1">
      <alignment vertical="top"/>
      <protection locked="0"/>
    </xf>
    <xf numFmtId="3" fontId="44" fillId="0" borderId="17" xfId="0" applyNumberFormat="1" applyFont="1" applyFill="1" applyBorder="1" applyAlignment="1" applyProtection="1">
      <alignment horizontal="center"/>
      <protection locked="0"/>
    </xf>
    <xf numFmtId="175" fontId="13" fillId="47" borderId="0" xfId="0" applyFont="1" applyFill="1" applyAlignment="1" applyProtection="1">
      <alignment wrapText="1"/>
      <protection locked="0"/>
    </xf>
    <xf numFmtId="175" fontId="60" fillId="0" borderId="0" xfId="66" applyFont="1" applyAlignment="1" applyProtection="1">
      <protection locked="0"/>
    </xf>
    <xf numFmtId="3" fontId="52" fillId="47" borderId="22" xfId="0" applyNumberFormat="1" applyFont="1" applyFill="1" applyBorder="1" applyAlignment="1">
      <alignment horizontal="center"/>
    </xf>
    <xf numFmtId="175" fontId="13" fillId="47" borderId="11" xfId="66" applyFont="1" applyFill="1" applyBorder="1" applyAlignment="1" applyProtection="1">
      <alignment horizontal="center"/>
    </xf>
    <xf numFmtId="171" fontId="13" fillId="47" borderId="11" xfId="66" applyNumberFormat="1" applyFont="1" applyFill="1" applyBorder="1" applyAlignment="1" applyProtection="1">
      <alignment horizontal="center"/>
    </xf>
    <xf numFmtId="175" fontId="13" fillId="47" borderId="11" xfId="66" applyFont="1" applyFill="1" applyBorder="1" applyAlignment="1" applyProtection="1">
      <alignment horizontal="center" wrapText="1"/>
    </xf>
    <xf numFmtId="175" fontId="12" fillId="47" borderId="11" xfId="66" applyFont="1" applyFill="1" applyBorder="1" applyAlignment="1" applyProtection="1">
      <alignment horizontal="left"/>
      <protection locked="0"/>
    </xf>
    <xf numFmtId="1" fontId="12" fillId="47" borderId="11" xfId="66" quotePrefix="1" applyNumberFormat="1" applyFont="1" applyFill="1" applyBorder="1" applyAlignment="1" applyProtection="1">
      <alignment horizontal="center"/>
      <protection locked="0"/>
    </xf>
    <xf numFmtId="14" fontId="12" fillId="47" borderId="11" xfId="66" applyNumberFormat="1" applyFont="1" applyFill="1" applyBorder="1" applyAlignment="1" applyProtection="1">
      <alignment horizontal="center"/>
      <protection locked="0"/>
    </xf>
    <xf numFmtId="175" fontId="12" fillId="47" borderId="11" xfId="66" applyFont="1" applyFill="1" applyBorder="1" applyAlignment="1" applyProtection="1">
      <alignment horizontal="center"/>
      <protection locked="0"/>
    </xf>
    <xf numFmtId="176" fontId="12" fillId="47" borderId="11" xfId="381" applyNumberFormat="1" applyFont="1" applyFill="1" applyBorder="1" applyAlignment="1" applyProtection="1">
      <alignment horizontal="center"/>
      <protection locked="0"/>
    </xf>
    <xf numFmtId="175" fontId="12" fillId="47" borderId="11" xfId="66" quotePrefix="1" applyFont="1" applyFill="1" applyBorder="1" applyAlignment="1" applyProtection="1">
      <alignment horizontal="center"/>
      <protection locked="0"/>
    </xf>
    <xf numFmtId="1" fontId="12" fillId="47" borderId="11" xfId="66" applyNumberFormat="1" applyFont="1" applyFill="1" applyBorder="1" applyAlignment="1" applyProtection="1">
      <alignment horizontal="center"/>
      <protection locked="0"/>
    </xf>
    <xf numFmtId="175" fontId="12" fillId="47" borderId="0" xfId="66" applyFont="1" applyFill="1" applyBorder="1" applyAlignment="1" applyProtection="1">
      <alignment horizontal="left"/>
      <protection locked="0"/>
    </xf>
    <xf numFmtId="1" fontId="12" fillId="47" borderId="0" xfId="66" quotePrefix="1" applyNumberFormat="1" applyFont="1" applyFill="1" applyBorder="1" applyAlignment="1" applyProtection="1">
      <alignment horizontal="center"/>
      <protection locked="0"/>
    </xf>
    <xf numFmtId="14" fontId="12" fillId="47" borderId="0" xfId="66" applyNumberFormat="1" applyFont="1" applyFill="1" applyBorder="1" applyAlignment="1" applyProtection="1">
      <alignment horizontal="center"/>
      <protection locked="0"/>
    </xf>
    <xf numFmtId="175" fontId="12" fillId="47" borderId="0" xfId="66" applyFont="1" applyFill="1" applyBorder="1" applyAlignment="1" applyProtection="1">
      <alignment horizontal="center"/>
      <protection locked="0"/>
    </xf>
    <xf numFmtId="176" fontId="12" fillId="47" borderId="0" xfId="381" applyNumberFormat="1" applyFont="1" applyFill="1" applyBorder="1" applyAlignment="1" applyProtection="1">
      <alignment horizontal="center"/>
      <protection locked="0"/>
    </xf>
    <xf numFmtId="175" fontId="12" fillId="47" borderId="0" xfId="66" quotePrefix="1" applyFont="1" applyFill="1" applyBorder="1" applyAlignment="1" applyProtection="1">
      <alignment horizontal="center"/>
      <protection locked="0"/>
    </xf>
    <xf numFmtId="1" fontId="12"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75" fontId="13" fillId="47" borderId="0" xfId="66" applyFont="1" applyFill="1" applyBorder="1" applyAlignment="1" applyProtection="1">
      <alignment horizontal="center"/>
      <protection locked="0"/>
    </xf>
    <xf numFmtId="171" fontId="12" fillId="47" borderId="0" xfId="66" applyNumberFormat="1" applyFont="1" applyFill="1" applyBorder="1" applyAlignment="1" applyProtection="1">
      <alignment horizontal="center"/>
      <protection locked="0"/>
    </xf>
    <xf numFmtId="176" fontId="12" fillId="47" borderId="0" xfId="268" applyNumberFormat="1" applyFont="1" applyFill="1" applyBorder="1" applyAlignment="1" applyProtection="1">
      <alignment horizontal="center"/>
      <protection locked="0"/>
    </xf>
    <xf numFmtId="175" fontId="53" fillId="47" borderId="0" xfId="66" quotePrefix="1" applyFont="1" applyFill="1" applyBorder="1" applyAlignment="1" applyProtection="1">
      <alignment horizontal="left"/>
      <protection locked="0"/>
    </xf>
    <xf numFmtId="175" fontId="12" fillId="0" borderId="0" xfId="782"/>
    <xf numFmtId="175" fontId="86" fillId="0" borderId="0" xfId="0" applyFont="1"/>
    <xf numFmtId="172" fontId="93" fillId="0" borderId="0" xfId="0" applyNumberFormat="1" applyFont="1"/>
    <xf numFmtId="175" fontId="93" fillId="0" borderId="0" xfId="0" applyFont="1"/>
    <xf numFmtId="175" fontId="13" fillId="0" borderId="11" xfId="0" applyFont="1" applyBorder="1" applyAlignment="1">
      <alignment horizontal="center"/>
    </xf>
    <xf numFmtId="175" fontId="33" fillId="0" borderId="15" xfId="0" applyFont="1" applyBorder="1" applyAlignment="1">
      <alignment wrapText="1"/>
    </xf>
    <xf numFmtId="175" fontId="0" fillId="0" borderId="55" xfId="0" applyBorder="1"/>
    <xf numFmtId="175" fontId="33" fillId="0" borderId="13" xfId="0" applyFont="1" applyBorder="1" applyAlignment="1">
      <alignment wrapText="1"/>
    </xf>
    <xf numFmtId="175" fontId="12" fillId="0" borderId="0" xfId="0" applyFont="1" applyAlignment="1" applyProtection="1">
      <alignment horizontal="center" vertical="top"/>
      <protection locked="0"/>
    </xf>
    <xf numFmtId="175" fontId="60" fillId="47" borderId="0" xfId="66" applyFont="1" applyFill="1" applyProtection="1">
      <protection locked="0"/>
    </xf>
    <xf numFmtId="175" fontId="12" fillId="47" borderId="0" xfId="66" applyFill="1" applyAlignment="1" applyProtection="1">
      <alignment vertical="center" wrapText="1"/>
      <protection locked="0"/>
    </xf>
    <xf numFmtId="175" fontId="12" fillId="47" borderId="0" xfId="66" applyFill="1" applyAlignment="1">
      <alignment wrapText="1"/>
    </xf>
    <xf numFmtId="2" fontId="38" fillId="0" borderId="0" xfId="0" applyNumberFormat="1" applyFont="1" applyProtection="1">
      <protection locked="0"/>
    </xf>
    <xf numFmtId="171" fontId="13" fillId="0" borderId="0" xfId="0" quotePrefix="1" applyNumberFormat="1" applyFont="1" applyFill="1" applyAlignment="1" applyProtection="1">
      <alignment horizontal="center"/>
      <protection locked="0"/>
    </xf>
    <xf numFmtId="0" fontId="12" fillId="0" borderId="0" xfId="520" applyFont="1" applyFill="1" applyBorder="1" applyAlignment="1" applyProtection="1">
      <alignment horizontal="left"/>
      <protection locked="0"/>
    </xf>
    <xf numFmtId="175" fontId="13" fillId="47" borderId="0" xfId="66" quotePrefix="1" applyFont="1" applyFill="1" applyBorder="1" applyAlignment="1" applyProtection="1">
      <alignment horizontal="center"/>
      <protection locked="0"/>
    </xf>
    <xf numFmtId="176" fontId="12" fillId="0" borderId="0" xfId="782" applyNumberFormat="1"/>
    <xf numFmtId="176" fontId="12" fillId="47" borderId="0" xfId="66" applyNumberFormat="1" applyFont="1" applyFill="1" applyAlignment="1" applyProtection="1">
      <alignment horizontal="center"/>
      <protection locked="0"/>
    </xf>
    <xf numFmtId="175" fontId="86" fillId="0" borderId="0" xfId="0" applyFont="1" applyAlignment="1">
      <alignment horizontal="right"/>
    </xf>
    <xf numFmtId="2" fontId="12" fillId="47" borderId="0" xfId="0" quotePrefix="1" applyNumberFormat="1" applyFont="1" applyFill="1" applyAlignment="1">
      <alignment horizontal="left" vertical="top" wrapText="1"/>
    </xf>
    <xf numFmtId="175" fontId="69" fillId="0" borderId="0" xfId="0" applyFont="1" applyAlignment="1">
      <alignment vertical="center"/>
    </xf>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175" fontId="12" fillId="0" borderId="0" xfId="66" applyAlignment="1">
      <alignment wrapText="1"/>
    </xf>
    <xf numFmtId="175" fontId="12" fillId="0" borderId="0" xfId="0" applyFont="1" applyFill="1" applyBorder="1"/>
    <xf numFmtId="175" fontId="12" fillId="0" borderId="0" xfId="0" applyFont="1" applyFill="1" applyBorder="1" applyProtection="1">
      <protection locked="0"/>
    </xf>
    <xf numFmtId="175" fontId="12" fillId="0" borderId="0" xfId="0" applyFont="1" applyFill="1" applyAlignment="1" applyProtection="1">
      <alignment vertical="top"/>
      <protection locked="0"/>
    </xf>
    <xf numFmtId="175" fontId="94" fillId="0" borderId="0" xfId="0" applyFont="1" applyFill="1" applyBorder="1" applyAlignment="1">
      <alignment horizontal="center" vertical="top"/>
    </xf>
    <xf numFmtId="175" fontId="94" fillId="0" borderId="86" xfId="0" applyFont="1" applyFill="1" applyBorder="1" applyAlignment="1">
      <alignment horizontal="center" vertical="top"/>
    </xf>
    <xf numFmtId="43" fontId="94" fillId="0" borderId="18" xfId="0" applyNumberFormat="1" applyFont="1" applyFill="1" applyBorder="1" applyAlignment="1" applyProtection="1">
      <alignment horizontal="center" vertical="top" wrapText="1"/>
      <protection locked="0"/>
    </xf>
    <xf numFmtId="43" fontId="94" fillId="0" borderId="11" xfId="0" applyNumberFormat="1" applyFont="1" applyFill="1" applyBorder="1" applyAlignment="1" applyProtection="1">
      <alignment horizontal="center" vertical="top" wrapText="1"/>
      <protection locked="0"/>
    </xf>
    <xf numFmtId="1" fontId="12" fillId="0" borderId="0" xfId="0" applyNumberFormat="1" applyFont="1" applyFill="1" applyBorder="1" applyProtection="1">
      <protection locked="0"/>
    </xf>
    <xf numFmtId="1" fontId="55" fillId="0" borderId="87" xfId="0" applyNumberFormat="1" applyFont="1" applyFill="1" applyBorder="1"/>
    <xf numFmtId="175" fontId="55" fillId="0" borderId="88" xfId="0" applyFont="1" applyFill="1" applyBorder="1"/>
    <xf numFmtId="2" fontId="12" fillId="0" borderId="0" xfId="0" applyNumberFormat="1" applyFont="1" applyFill="1" applyBorder="1" applyProtection="1">
      <protection locked="0"/>
    </xf>
    <xf numFmtId="1" fontId="12" fillId="0" borderId="87" xfId="0" applyNumberFormat="1" applyFont="1" applyFill="1" applyBorder="1" applyProtection="1">
      <protection locked="0"/>
    </xf>
    <xf numFmtId="175" fontId="55" fillId="0" borderId="88" xfId="0" applyFont="1" applyFill="1" applyBorder="1" applyProtection="1">
      <protection locked="0"/>
    </xf>
    <xf numFmtId="175" fontId="12" fillId="0" borderId="89" xfId="0" applyFont="1" applyFill="1" applyBorder="1" applyProtection="1">
      <protection locked="0"/>
    </xf>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3" fillId="0" borderId="83" xfId="0" applyFont="1" applyBorder="1" applyAlignment="1">
      <alignment horizontal="center"/>
    </xf>
    <xf numFmtId="175" fontId="13" fillId="0" borderId="84" xfId="0" applyFont="1" applyBorder="1" applyAlignment="1">
      <alignment horizontal="center"/>
    </xf>
    <xf numFmtId="175" fontId="13" fillId="0" borderId="85" xfId="0" applyFont="1" applyBorder="1" applyAlignment="1">
      <alignment horizontal="center"/>
    </xf>
    <xf numFmtId="175" fontId="12" fillId="0" borderId="0" xfId="0" quotePrefix="1" applyFont="1" applyAlignment="1">
      <alignment horizontal="left" vertical="top" wrapText="1"/>
    </xf>
    <xf numFmtId="175" fontId="13" fillId="0" borderId="17" xfId="0" applyFont="1" applyBorder="1" applyAlignment="1">
      <alignment horizontal="center"/>
    </xf>
    <xf numFmtId="175" fontId="13" fillId="0" borderId="0" xfId="0" applyFont="1" applyBorder="1" applyAlignment="1">
      <alignment horizontal="center"/>
    </xf>
    <xf numFmtId="175" fontId="13" fillId="0" borderId="42" xfId="0" applyFont="1" applyBorder="1" applyAlignment="1">
      <alignment horizontal="center"/>
    </xf>
    <xf numFmtId="175" fontId="68" fillId="0" borderId="0" xfId="0" applyFont="1" applyAlignment="1">
      <alignment vertical="top" wrapText="1"/>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83" fillId="0" borderId="0" xfId="0" applyFont="1" applyAlignment="1" applyProtection="1">
      <alignment horizontal="center"/>
      <protection locked="0"/>
    </xf>
    <xf numFmtId="17" fontId="83" fillId="47" borderId="0" xfId="0" quotePrefix="1" applyNumberFormat="1" applyFont="1" applyFill="1" applyAlignment="1" applyProtection="1">
      <alignment horizontal="left"/>
      <protection locked="0"/>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0" fontId="76" fillId="0" borderId="22" xfId="520" applyFont="1" applyBorder="1" applyAlignment="1">
      <alignment horizontal="center" vertical="center" wrapText="1"/>
    </xf>
    <xf numFmtId="0" fontId="76" fillId="0" borderId="21" xfId="520" applyFont="1" applyBorder="1" applyAlignment="1">
      <alignment horizontal="center" vertical="center" wrapText="1"/>
    </xf>
    <xf numFmtId="0" fontId="76" fillId="0" borderId="15" xfId="520" applyFont="1" applyBorder="1" applyAlignment="1">
      <alignment horizontal="center" vertical="center" wrapText="1"/>
    </xf>
    <xf numFmtId="0" fontId="76" fillId="0" borderId="34" xfId="520" applyFont="1" applyBorder="1" applyAlignment="1">
      <alignment horizontal="center" vertical="center" wrapText="1"/>
    </xf>
    <xf numFmtId="175" fontId="53" fillId="47" borderId="20" xfId="66" applyFont="1" applyFill="1" applyBorder="1" applyAlignment="1" applyProtection="1">
      <alignment horizontal="center" wrapText="1"/>
    </xf>
    <xf numFmtId="175" fontId="53" fillId="47" borderId="18" xfId="66" applyFont="1" applyFill="1" applyBorder="1" applyAlignment="1" applyProtection="1">
      <alignment horizontal="center" wrapText="1"/>
    </xf>
    <xf numFmtId="175" fontId="53" fillId="47" borderId="19" xfId="66" applyFont="1" applyFill="1" applyBorder="1" applyAlignment="1" applyProtection="1">
      <alignment horizontal="center" wrapText="1"/>
    </xf>
    <xf numFmtId="175" fontId="12" fillId="0" borderId="0" xfId="66" applyAlignment="1">
      <alignment wrapText="1"/>
    </xf>
  </cellXfs>
  <cellStyles count="888">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Emph" xfId="106" xr:uid="{00000000-0005-0000-0000-000058030000}"/>
    <cellStyle name="SAPBEXstdItem" xfId="107" xr:uid="{00000000-0005-0000-0000-000059030000}"/>
    <cellStyle name="SAPBEXstdItem 2" xfId="143" xr:uid="{00000000-0005-0000-0000-00005A030000}"/>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9">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2019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1</xdr:col>
      <xdr:colOff>57149</xdr:colOff>
      <xdr:row>8</xdr:row>
      <xdr:rowOff>0</xdr:rowOff>
    </xdr:from>
    <xdr:to>
      <xdr:col>12</xdr:col>
      <xdr:colOff>781049</xdr:colOff>
      <xdr:row>8</xdr:row>
      <xdr:rowOff>371475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4057649" y="1238250"/>
          <a:ext cx="9286875" cy="371475"/>
        </a:xfrm>
        <a:prstGeom prst="rect">
          <a:avLst/>
        </a:prstGeom>
        <a:solidFill>
          <a:sysClr val="window" lastClr="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ysClr val="windowText" lastClr="000000"/>
              </a:solidFill>
              <a:latin typeface="Arial"/>
              <a:cs typeface="Arial"/>
            </a:rPr>
            <a:t>2017-2018 Carry Over</a:t>
          </a:r>
          <a:r>
            <a:rPr lang="en-US" sz="1100" b="1" i="0" u="none" strike="noStrike" baseline="0">
              <a:solidFill>
                <a:srgbClr val="000000"/>
              </a:solidFill>
              <a:latin typeface="Arial"/>
              <a:cs typeface="Arial"/>
            </a:rPr>
            <a:t> Expenditures </a:t>
          </a:r>
          <a:endParaRPr lang="en-US" sz="1100" b="0" i="0" u="none" strike="noStrike" baseline="30000">
            <a:solidFill>
              <a:srgbClr val="FF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CEFC14-B7E7-4CB0-BA50-04AACE05CC6F}" name="Table13" displayName="Table13" ref="A1:G289" totalsRowShown="0" headerRowDxfId="8" dataDxfId="7">
  <autoFilter ref="A1:G289" xr:uid="{A41889B3-19D6-43AA-8527-125B0CC73253}"/>
  <tableColumns count="7">
    <tableColumn id="5" xr3:uid="{A6380C78-C0A6-4518-A733-DF787FD0A972}" name="Group" dataDxfId="6"/>
    <tableColumn id="1" xr3:uid="{7F5C2B86-B450-4625-BDB2-BE2AD87C8520}" name="Program" dataDxfId="5"/>
    <tableColumn id="2" xr3:uid="{D8399EC8-AB40-4129-BD6F-C25F5180405B}" name="Type" dataDxfId="4"/>
    <tableColumn id="4" xr3:uid="{3E201E60-C555-42BA-83C7-F270029D2DD4}" name="Period" dataDxfId="3"/>
    <tableColumn id="3" xr3:uid="{425DCEFD-EDC8-43FD-A625-7705BD2996E3}" name="Month" dataDxfId="2"/>
    <tableColumn id="6" xr3:uid="{287154F5-FC6E-4F98-A5D7-4B147E873695}" name="Service Accounts" dataDxfId="1"/>
    <tableColumn id="7" xr3:uid="{A5A59A7A-ECBB-4DCA-BA45-C48D32D25E3E}"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60"/>
  <sheetViews>
    <sheetView showGridLines="0" tabSelected="1" showRuler="0" zoomScale="110" zoomScaleNormal="110" zoomScaleSheetLayoutView="80" workbookViewId="0">
      <selection activeCell="A19" sqref="A19"/>
    </sheetView>
  </sheetViews>
  <sheetFormatPr defaultColWidth="9.140625" defaultRowHeight="12.75"/>
  <cols>
    <col min="1" max="1" width="39.85546875" style="10" customWidth="1"/>
    <col min="2" max="2" width="11.28515625" style="10" customWidth="1"/>
    <col min="3" max="3" width="12.28515625" style="10" customWidth="1"/>
    <col min="4" max="4" width="12.7109375" style="10" customWidth="1"/>
    <col min="5" max="5" width="19.7109375" style="10" customWidth="1"/>
    <col min="6" max="6" width="10.140625" style="10" customWidth="1"/>
    <col min="7" max="7" width="9.85546875" style="10" bestFit="1" customWidth="1"/>
    <col min="8" max="8" width="11.42578125" style="10" customWidth="1"/>
    <col min="9" max="9" width="11.5703125" style="10" bestFit="1" customWidth="1"/>
    <col min="10" max="10" width="10.7109375" style="10" customWidth="1"/>
    <col min="11"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75" t="s">
        <v>0</v>
      </c>
    </row>
    <row r="2" spans="1:31" ht="14.25" customHeight="1">
      <c r="H2" s="175" t="s">
        <v>1</v>
      </c>
      <c r="Q2" s="12"/>
      <c r="R2" s="102"/>
    </row>
    <row r="3" spans="1:31" ht="14.25" customHeight="1">
      <c r="C3" s="179"/>
      <c r="E3" s="179"/>
      <c r="G3" s="179"/>
      <c r="H3" s="178" t="s">
        <v>2</v>
      </c>
      <c r="I3" s="179"/>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103"/>
    </row>
    <row r="6" spans="1:31">
      <c r="A6" s="104"/>
      <c r="B6" s="105"/>
      <c r="C6" s="106" t="s">
        <v>3</v>
      </c>
      <c r="D6" s="105"/>
      <c r="E6" s="105"/>
      <c r="F6" s="105" t="s">
        <v>4</v>
      </c>
      <c r="G6" s="105"/>
      <c r="H6" s="105"/>
      <c r="I6" s="105" t="s">
        <v>5</v>
      </c>
      <c r="J6" s="105"/>
      <c r="K6" s="105"/>
      <c r="L6" s="105" t="s">
        <v>6</v>
      </c>
      <c r="M6" s="105"/>
      <c r="N6" s="105"/>
      <c r="O6" s="105" t="s">
        <v>7</v>
      </c>
      <c r="P6" s="105"/>
      <c r="Q6" s="105"/>
      <c r="R6" s="105" t="s">
        <v>8</v>
      </c>
      <c r="S6" s="105"/>
      <c r="T6" s="204"/>
    </row>
    <row r="7" spans="1:31" ht="42">
      <c r="A7" s="205" t="s">
        <v>9</v>
      </c>
      <c r="B7" s="228" t="s">
        <v>10</v>
      </c>
      <c r="C7" s="207" t="s">
        <v>11</v>
      </c>
      <c r="D7" s="196" t="s">
        <v>12</v>
      </c>
      <c r="E7" s="206" t="s">
        <v>10</v>
      </c>
      <c r="F7" s="207" t="s">
        <v>11</v>
      </c>
      <c r="G7" s="196" t="s">
        <v>12</v>
      </c>
      <c r="H7" s="208" t="s">
        <v>10</v>
      </c>
      <c r="I7" s="207" t="s">
        <v>11</v>
      </c>
      <c r="J7" s="196" t="s">
        <v>12</v>
      </c>
      <c r="K7" s="209" t="s">
        <v>13</v>
      </c>
      <c r="L7" s="207" t="s">
        <v>11</v>
      </c>
      <c r="M7" s="196" t="s">
        <v>14</v>
      </c>
      <c r="N7" s="209" t="s">
        <v>15</v>
      </c>
      <c r="O7" s="207" t="s">
        <v>11</v>
      </c>
      <c r="P7" s="196" t="s">
        <v>14</v>
      </c>
      <c r="Q7" s="208" t="s">
        <v>13</v>
      </c>
      <c r="R7" s="207" t="s">
        <v>11</v>
      </c>
      <c r="S7" s="196" t="s">
        <v>14</v>
      </c>
      <c r="T7" s="196" t="s">
        <v>16</v>
      </c>
    </row>
    <row r="8" spans="1:31" ht="12.75" customHeight="1">
      <c r="A8" s="189" t="s">
        <v>17</v>
      </c>
      <c r="B8" s="210"/>
      <c r="C8" s="210"/>
      <c r="D8" s="211"/>
      <c r="E8" s="212"/>
      <c r="F8" s="210"/>
      <c r="G8" s="211"/>
      <c r="H8" s="212"/>
      <c r="I8" s="210"/>
      <c r="J8" s="210"/>
      <c r="K8" s="212"/>
      <c r="L8" s="210"/>
      <c r="M8" s="213"/>
      <c r="N8" s="212"/>
      <c r="O8" s="210"/>
      <c r="P8" s="213"/>
      <c r="Q8" s="212"/>
      <c r="R8" s="210"/>
      <c r="S8" s="213"/>
      <c r="T8" s="214"/>
    </row>
    <row r="9" spans="1:31">
      <c r="A9" s="101" t="s">
        <v>18</v>
      </c>
      <c r="B9" s="119">
        <v>5</v>
      </c>
      <c r="C9" s="519">
        <f>B9*(INDEX('Ex ante LI &amp; Eligibility Stats'!$A:$M,MATCH('Program MW '!$A9,'Ex ante LI &amp; Eligibility Stats'!$A:$A,0),MATCH('Program MW '!C$6,'Ex ante LI &amp; Eligibility Stats'!$A$8:$M$8,0))/1000)</f>
        <v>8.6526428699493396E-2</v>
      </c>
      <c r="D9" s="515">
        <f>B9*(INDEX('Ex post LI &amp; Eligibility Stats'!$A:$N,MATCH($A9,'Ex post LI &amp; Eligibility Stats'!$A:$A,0),MATCH('Program MW '!C$6,'Ex post LI &amp; Eligibility Stats'!$A$8:$N$8,0))/1000)</f>
        <v>2.1189744567871092</v>
      </c>
      <c r="E9" s="14">
        <v>5</v>
      </c>
      <c r="F9" s="515">
        <f>E9*(INDEX('Ex ante LI &amp; Eligibility Stats'!$A:$M,MATCH('Program MW '!$A9,'Ex ante LI &amp; Eligibility Stats'!$A:$A,0),MATCH('Program MW '!F$6,'Ex ante LI &amp; Eligibility Stats'!$A$8:$M$8,0))/1000)</f>
        <v>0.18589048194885255</v>
      </c>
      <c r="G9" s="515">
        <f>E9*(INDEX('Ex post LI &amp; Eligibility Stats'!$A:$N,MATCH($A9,'Ex post LI &amp; Eligibility Stats'!$A:$A,0),MATCH('Program MW '!F$6,'Ex post LI &amp; Eligibility Stats'!$A$8:$N$8,0))/1000)</f>
        <v>2.1189744567871092</v>
      </c>
      <c r="H9" s="14">
        <v>5</v>
      </c>
      <c r="I9" s="520">
        <f>H9*(INDEX('Ex ante LI &amp; Eligibility Stats'!$A:$M,MATCH('Program MW '!$A9,'Ex ante LI &amp; Eligibility Stats'!$A:$A,0),MATCH('Program MW '!I$6,'Ex ante LI &amp; Eligibility Stats'!$A$8:$M$8,0))/1000)</f>
        <v>0.88712742614746087</v>
      </c>
      <c r="J9" s="515">
        <f>H9*(INDEX('Ex post LI &amp; Eligibility Stats'!$A:$N,MATCH($A9,'Ex post LI &amp; Eligibility Stats'!$A:$A,0),MATCH('Program MW '!I$6,'Ex post LI &amp; Eligibility Stats'!$A$8:$N$8,0))/1000)</f>
        <v>1.8946270948648452</v>
      </c>
      <c r="K9" s="14">
        <v>5</v>
      </c>
      <c r="L9" s="515">
        <f>K9*(INDEX('Ex ante LI &amp; Eligibility Stats'!$A:$M,MATCH('Program MW '!$A9,'Ex ante LI &amp; Eligibility Stats'!$A:$A,0),MATCH('Program MW '!L$6,'Ex ante LI &amp; Eligibility Stats'!$A$8:$M$8,0))/1000)</f>
        <v>0.73273989105224624</v>
      </c>
      <c r="M9" s="515">
        <f>K9*(INDEX('Ex post LI &amp; Eligibility Stats'!$A:$N,MATCH($A9,'Ex post LI &amp; Eligibility Stats'!$A:$A,0),MATCH('Program MW '!L$6,'Ex post LI &amp; Eligibility Stats'!$A$8:$N$8,0))/1000)</f>
        <v>1.8946270948648452</v>
      </c>
      <c r="N9" s="14">
        <v>5</v>
      </c>
      <c r="O9" s="515">
        <f>N9*(INDEX('Ex ante LI &amp; Eligibility Stats'!$A:$M,MATCH('Program MW '!$A9,'Ex ante LI &amp; Eligibility Stats'!$A:$A,0),MATCH('Program MW '!O$6,'Ex ante LI &amp; Eligibility Stats'!$A$8:$M$8,0))/1000)</f>
        <v>0.80196355438232425</v>
      </c>
      <c r="P9" s="515">
        <f>N9*(INDEX('Ex post LI &amp; Eligibility Stats'!$A:$N,MATCH($A9,'Ex post LI &amp; Eligibility Stats'!$A:$A,0),MATCH('Program MW '!O$6,'Ex post LI &amp; Eligibility Stats'!$A$8:$N$8,0))/1000)</f>
        <v>1.8946270948648452</v>
      </c>
      <c r="Q9" s="141">
        <v>5</v>
      </c>
      <c r="R9" s="515">
        <f>Q9*(INDEX('Ex ante LI &amp; Eligibility Stats'!$A:$M,MATCH('Program MW '!$A9,'Ex ante LI &amp; Eligibility Stats'!$A:$A,0),MATCH('Program MW '!R$6,'Ex ante LI &amp; Eligibility Stats'!$A$8:$M$8,0))/1000)</f>
        <v>0.72158874511718751</v>
      </c>
      <c r="S9" s="516">
        <f>Q9*(INDEX('Ex post LI &amp; Eligibility Stats'!$A:$N,MATCH($A9,'Ex post LI &amp; Eligibility Stats'!$A:$A,0),MATCH('Program MW '!R$6,'Ex post LI &amp; Eligibility Stats'!$A$8:$N$8,0))/1000)</f>
        <v>1.8946270948648452</v>
      </c>
      <c r="T9" s="4">
        <v>5276</v>
      </c>
    </row>
    <row r="10" spans="1:31" ht="16.5" customHeight="1" thickBot="1">
      <c r="A10" s="215" t="s">
        <v>19</v>
      </c>
      <c r="B10" s="181">
        <f t="shared" ref="B10:S10" si="0">SUM(B9:B9)</f>
        <v>5</v>
      </c>
      <c r="C10" s="199">
        <f t="shared" si="0"/>
        <v>8.6526428699493396E-2</v>
      </c>
      <c r="D10" s="199">
        <f t="shared" si="0"/>
        <v>2.1189744567871092</v>
      </c>
      <c r="E10" s="1">
        <f t="shared" si="0"/>
        <v>5</v>
      </c>
      <c r="F10" s="269">
        <f t="shared" si="0"/>
        <v>0.18589048194885255</v>
      </c>
      <c r="G10" s="269">
        <f t="shared" si="0"/>
        <v>2.1189744567871092</v>
      </c>
      <c r="H10" s="1">
        <f t="shared" si="0"/>
        <v>5</v>
      </c>
      <c r="I10" s="269">
        <f t="shared" si="0"/>
        <v>0.88712742614746087</v>
      </c>
      <c r="J10" s="269">
        <f t="shared" si="0"/>
        <v>1.8946270948648452</v>
      </c>
      <c r="K10" s="1">
        <f>SUM(K9)</f>
        <v>5</v>
      </c>
      <c r="L10" s="275">
        <f t="shared" si="0"/>
        <v>0.73273989105224624</v>
      </c>
      <c r="M10" s="275">
        <f t="shared" si="0"/>
        <v>1.8946270948648452</v>
      </c>
      <c r="N10" s="1">
        <f t="shared" si="0"/>
        <v>5</v>
      </c>
      <c r="O10" s="269">
        <f t="shared" si="0"/>
        <v>0.80196355438232425</v>
      </c>
      <c r="P10" s="269">
        <f t="shared" si="0"/>
        <v>1.8946270948648452</v>
      </c>
      <c r="Q10" s="142">
        <f t="shared" si="0"/>
        <v>5</v>
      </c>
      <c r="R10" s="297">
        <f t="shared" si="0"/>
        <v>0.72158874511718751</v>
      </c>
      <c r="S10" s="296">
        <f t="shared" si="0"/>
        <v>1.8946270948648452</v>
      </c>
      <c r="T10" s="5"/>
    </row>
    <row r="11" spans="1:31" ht="16.5" customHeight="1" thickTop="1">
      <c r="A11" s="189" t="s">
        <v>20</v>
      </c>
      <c r="B11" s="200"/>
      <c r="C11" s="198"/>
      <c r="D11" s="201"/>
      <c r="E11" s="216"/>
      <c r="F11" s="217"/>
      <c r="G11" s="218"/>
      <c r="H11" s="216"/>
      <c r="I11" s="219"/>
      <c r="J11" s="218"/>
      <c r="K11" s="216"/>
      <c r="L11" s="219"/>
      <c r="M11" s="218"/>
      <c r="N11" s="216"/>
      <c r="O11" s="523"/>
      <c r="P11" s="524"/>
      <c r="Q11" s="220"/>
      <c r="R11" s="219"/>
      <c r="S11" s="221"/>
      <c r="T11" s="214"/>
      <c r="Y11" s="6"/>
      <c r="Z11" s="6"/>
      <c r="AA11" s="6"/>
      <c r="AB11" s="6"/>
      <c r="AC11" s="6"/>
      <c r="AD11" s="6"/>
      <c r="AE11" s="6"/>
    </row>
    <row r="12" spans="1:31">
      <c r="A12" s="58" t="s">
        <v>21</v>
      </c>
      <c r="B12" s="185">
        <v>10620</v>
      </c>
      <c r="C12" s="515">
        <f>B12*(INDEX('Ex ante LI &amp; Eligibility Stats'!$A:$M,MATCH($A12,'Ex ante LI &amp; Eligibility Stats'!$A:$A,0),MATCH('Program MW '!C$6,'Ex ante LI &amp; Eligibility Stats'!$A$8:$M$8,0))/1000)</f>
        <v>7.6900502713322636</v>
      </c>
      <c r="D12" s="514">
        <f>B12*(INDEX('Ex post LI &amp; Eligibility Stats'!$A:$N,MATCH($A12,'Ex post LI &amp; Eligibility Stats'!$A:$A,0),MATCH('Program MW '!C$6,'Ex post LI &amp; Eligibility Stats'!$A$8:$N$8,0))/1000)</f>
        <v>15.461432161331176</v>
      </c>
      <c r="E12" s="185">
        <v>14755</v>
      </c>
      <c r="F12" s="513">
        <f>E12*(INDEX('Ex ante LI &amp; Eligibility Stats'!$A:$M,MATCH($A12,'Ex ante LI &amp; Eligibility Stats'!$A:$A,0),MATCH('Program MW '!F$6,'Ex ante LI &amp; Eligibility Stats'!$A$8:$M$8,0))/1000)</f>
        <v>10.836173243835569</v>
      </c>
      <c r="G12" s="514">
        <f>E12*(INDEX('Ex post LI &amp; Eligibility Stats'!$A:$N,MATCH($A12,'Ex post LI &amp; Eligibility Stats'!$A:$A,0),MATCH('Program MW '!F$6,'Ex post LI &amp; Eligibility Stats'!$A$8:$N$8,0))/1000)</f>
        <v>21.481490728855132</v>
      </c>
      <c r="H12" s="185">
        <v>14765</v>
      </c>
      <c r="I12" s="513">
        <f>H12*(INDEX('Ex ante LI &amp; Eligibility Stats'!$A:$M,MATCH('Program MW '!$A12,'Ex ante LI &amp; Eligibility Stats'!$A:$A,0),MATCH('Program MW '!I$6,'Ex ante LI &amp; Eligibility Stats'!$A$8:$M$8,0))/1000)</f>
        <v>0</v>
      </c>
      <c r="J12" s="514">
        <f>H12*(INDEX('Ex post LI &amp; Eligibility Stats'!$A:$N,MATCH($A12,'Ex post LI &amp; Eligibility Stats'!$A:$A,0),MATCH('Program MW '!I$6,'Ex post LI &amp; Eligibility Stats'!$A$8:$N$8,0))/1000)</f>
        <v>9.2461620962638182</v>
      </c>
      <c r="K12" s="185">
        <v>14667</v>
      </c>
      <c r="L12" s="513">
        <f>K12*(INDEX('Ex ante LI &amp; Eligibility Stats'!$A:$M,MATCH('Program MW '!$A12,'Ex ante LI &amp; Eligibility Stats'!$A:$A,0),MATCH('Program MW '!L$6,'Ex ante LI &amp; Eligibility Stats'!$A$8:$M$8,0))/1000)</f>
        <v>0</v>
      </c>
      <c r="M12" s="514">
        <f>K12*(INDEX('Ex post LI &amp; Eligibility Stats'!$A:$N,MATCH($A12,'Ex post LI &amp; Eligibility Stats'!$A:$A,0),MATCH('Program MW '!L$6,'Ex post LI &amp; Eligibility Stats'!$A$8:$N$8,0))/1000)</f>
        <v>9.1847923783204486</v>
      </c>
      <c r="N12" s="656">
        <v>14662</v>
      </c>
      <c r="O12" s="515">
        <f>N12*(INDEX('Ex ante LI &amp; Eligibility Stats'!$A:$M,MATCH('Program MW '!$A12,'Ex ante LI &amp; Eligibility Stats'!$A:$A,0),MATCH('Program MW '!O$6,'Ex ante LI &amp; Eligibility Stats'!$A$8:$M$8,0))/1000)</f>
        <v>0.74176284156121441</v>
      </c>
      <c r="P12" s="515">
        <f>N12*(INDEX('Ex post LI &amp; Eligibility Stats'!$A:$N,MATCH($A12,'Ex post LI &amp; Eligibility Stats'!$A:$A,0),MATCH('Program MW '!O$6,'Ex post LI &amp; Eligibility Stats'!$A$8:$N$8,0))/1000)</f>
        <v>9.1816612702621132</v>
      </c>
      <c r="Q12" s="185">
        <v>14663</v>
      </c>
      <c r="R12" s="521">
        <f>Q12*(INDEX('Ex ante LI &amp; Eligibility Stats'!$A:$M,MATCH('Program MW '!$A12,'Ex ante LI &amp; Eligibility Stats'!$A:$A,0),MATCH('Program MW '!R$6,'Ex ante LI &amp; Eligibility Stats'!$A$8:$M$8,0))/1000)</f>
        <v>0</v>
      </c>
      <c r="S12" s="516">
        <f>Q12*(INDEX('Ex post LI &amp; Eligibility Stats'!$A:$N,MATCH($A12,'Ex post LI &amp; Eligibility Stats'!$A:$A,0),MATCH('Program MW '!R$6,'Ex post LI &amp; Eligibility Stats'!$A$8:$N$8,0))/1000)</f>
        <v>9.1822874918737796</v>
      </c>
      <c r="T12" s="7">
        <v>138123</v>
      </c>
      <c r="U12" s="6"/>
      <c r="V12" s="6"/>
      <c r="W12" s="6"/>
      <c r="X12" s="6"/>
      <c r="Y12" s="6"/>
      <c r="Z12" s="6"/>
      <c r="AA12" s="6"/>
      <c r="AB12" s="6"/>
      <c r="AC12" s="6"/>
      <c r="AD12" s="6"/>
      <c r="AE12" s="6"/>
    </row>
    <row r="13" spans="1:31">
      <c r="A13" s="240" t="s">
        <v>22</v>
      </c>
      <c r="B13" s="241">
        <v>0</v>
      </c>
      <c r="C13" s="515">
        <v>0</v>
      </c>
      <c r="D13" s="516">
        <v>0</v>
      </c>
      <c r="E13" s="241">
        <v>0</v>
      </c>
      <c r="F13" s="515">
        <v>0</v>
      </c>
      <c r="G13" s="516">
        <v>0</v>
      </c>
      <c r="H13" s="241">
        <v>0</v>
      </c>
      <c r="I13" s="515">
        <v>0</v>
      </c>
      <c r="J13" s="516">
        <v>0</v>
      </c>
      <c r="K13" s="241">
        <v>0</v>
      </c>
      <c r="L13" s="515">
        <v>0</v>
      </c>
      <c r="M13" s="516">
        <v>0</v>
      </c>
      <c r="N13" s="241">
        <v>0</v>
      </c>
      <c r="O13" s="515">
        <v>0</v>
      </c>
      <c r="P13" s="516">
        <v>0</v>
      </c>
      <c r="Q13" s="241">
        <v>0</v>
      </c>
      <c r="R13" s="521">
        <v>0</v>
      </c>
      <c r="S13" s="516">
        <v>0</v>
      </c>
      <c r="T13" s="4"/>
      <c r="U13" s="6"/>
      <c r="V13" s="6"/>
      <c r="W13" s="6"/>
      <c r="X13" s="6"/>
      <c r="Y13" s="6"/>
      <c r="Z13" s="6"/>
      <c r="AA13" s="6"/>
      <c r="AB13" s="6"/>
      <c r="AC13" s="6"/>
      <c r="AD13" s="6"/>
      <c r="AE13" s="6"/>
    </row>
    <row r="14" spans="1:31">
      <c r="A14" s="190" t="s">
        <v>23</v>
      </c>
      <c r="B14" s="186">
        <v>0</v>
      </c>
      <c r="C14" s="515">
        <v>0</v>
      </c>
      <c r="D14" s="516">
        <v>0</v>
      </c>
      <c r="E14" s="186">
        <v>0</v>
      </c>
      <c r="F14" s="515">
        <v>0</v>
      </c>
      <c r="G14" s="516">
        <v>0</v>
      </c>
      <c r="H14" s="186">
        <v>0</v>
      </c>
      <c r="I14" s="515">
        <v>0</v>
      </c>
      <c r="J14" s="516">
        <v>0</v>
      </c>
      <c r="K14" s="186">
        <v>0</v>
      </c>
      <c r="L14" s="515">
        <v>0</v>
      </c>
      <c r="M14" s="516">
        <v>0</v>
      </c>
      <c r="N14" s="186">
        <v>0</v>
      </c>
      <c r="O14" s="515">
        <v>0</v>
      </c>
      <c r="P14" s="516">
        <v>0</v>
      </c>
      <c r="Q14" s="186">
        <v>1</v>
      </c>
      <c r="R14" s="521">
        <v>0</v>
      </c>
      <c r="S14" s="516">
        <v>0</v>
      </c>
      <c r="T14" s="4"/>
      <c r="U14" s="6"/>
      <c r="V14" s="6"/>
      <c r="W14" s="6"/>
      <c r="X14" s="6"/>
      <c r="Y14" s="6"/>
      <c r="Z14" s="6"/>
      <c r="AA14" s="6"/>
      <c r="AB14" s="6"/>
      <c r="AC14" s="6"/>
      <c r="AD14" s="6"/>
      <c r="AE14" s="6"/>
    </row>
    <row r="15" spans="1:31">
      <c r="A15" s="240" t="s">
        <v>24</v>
      </c>
      <c r="B15" s="186">
        <v>0</v>
      </c>
      <c r="C15" s="515">
        <v>0</v>
      </c>
      <c r="D15" s="516">
        <v>0</v>
      </c>
      <c r="E15" s="186">
        <v>0</v>
      </c>
      <c r="F15" s="515">
        <v>0</v>
      </c>
      <c r="G15" s="516">
        <v>0</v>
      </c>
      <c r="H15" s="186">
        <v>0</v>
      </c>
      <c r="I15" s="515">
        <v>0</v>
      </c>
      <c r="J15" s="516">
        <v>0</v>
      </c>
      <c r="K15" s="186">
        <v>0</v>
      </c>
      <c r="L15" s="515">
        <v>0</v>
      </c>
      <c r="M15" s="516">
        <v>0</v>
      </c>
      <c r="N15" s="186">
        <v>0</v>
      </c>
      <c r="O15" s="515">
        <v>0</v>
      </c>
      <c r="P15" s="515">
        <v>0</v>
      </c>
      <c r="Q15" s="186">
        <v>0</v>
      </c>
      <c r="R15" s="521">
        <v>0</v>
      </c>
      <c r="S15" s="516">
        <v>0</v>
      </c>
      <c r="T15" s="4"/>
      <c r="U15" s="6"/>
      <c r="V15" s="6"/>
      <c r="W15" s="6"/>
      <c r="X15" s="6"/>
      <c r="Y15" s="6"/>
      <c r="Z15" s="6"/>
      <c r="AA15" s="6"/>
      <c r="AB15" s="6"/>
      <c r="AC15" s="6"/>
      <c r="AD15" s="6"/>
      <c r="AE15" s="6"/>
    </row>
    <row r="16" spans="1:31">
      <c r="A16" s="351" t="s">
        <v>25</v>
      </c>
      <c r="B16" s="186">
        <v>16888</v>
      </c>
      <c r="C16" s="515">
        <f>B16*(INDEX('Ex ante LI &amp; Eligibility Stats'!$A:$M,MATCH($A16,'Ex ante LI &amp; Eligibility Stats'!$A:$A,0),MATCH('Program MW '!C$6,'Ex ante LI &amp; Eligibility Stats'!$A$8:$M$8,0))/1000)</f>
        <v>0</v>
      </c>
      <c r="D16" s="516">
        <f>B16*(INDEX('Ex post LI &amp; Eligibility Stats'!$A:$N,MATCH($A16,'Ex post LI &amp; Eligibility Stats'!$A:$A,0),MATCH('Program MW '!C$6,'Ex post LI &amp; Eligibility Stats'!$A$8:$N$8,0))/1000)</f>
        <v>7.1981018452087442</v>
      </c>
      <c r="E16" s="186">
        <v>17063</v>
      </c>
      <c r="F16" s="515">
        <f>E16*(INDEX('Ex ante LI &amp; Eligibility Stats'!$A:$M,MATCH($A16,'Ex ante LI &amp; Eligibility Stats'!$A:$A,0),MATCH('Program MW '!F$6,'Ex ante LI &amp; Eligibility Stats'!$A$8:$M$8,0))/1000)</f>
        <v>0</v>
      </c>
      <c r="G16" s="516">
        <f>E16*(INDEX('Ex post LI &amp; Eligibility Stats'!$A:$N,MATCH($A16,'Ex post LI &amp; Eligibility Stats'!$A:$A,0),MATCH('Program MW '!F$6,'Ex post LI &amp; Eligibility Stats'!$A$8:$N$8,0))/1000)</f>
        <v>7.2726913657506405</v>
      </c>
      <c r="H16" s="186">
        <v>17168</v>
      </c>
      <c r="I16" s="515">
        <f>H16*(INDEX('Ex ante LI &amp; Eligibility Stats'!$A:$M,MATCH('Program MW '!$A16,'Ex ante LI &amp; Eligibility Stats'!$A:$A,0),MATCH('Program MW '!I$6,'Ex ante LI &amp; Eligibility Stats'!$A$8:$M$8,0))/1000)</f>
        <v>2.4588118769020852E-4</v>
      </c>
      <c r="J16" s="516">
        <f>H16*(INDEX('Ex post LI &amp; Eligibility Stats'!$A:$N,MATCH($A16,'Ex post LI &amp; Eligibility Stats'!$A:$A,0),MATCH('Program MW '!I$6,'Ex post LI &amp; Eligibility Stats'!$A$8:$N$8,0))/1000)</f>
        <v>2.7737791291887173</v>
      </c>
      <c r="K16" s="186">
        <v>17291</v>
      </c>
      <c r="L16" s="515">
        <f>K16*(INDEX('Ex ante LI &amp; Eligibility Stats'!$A:$M,MATCH('Program MW '!$A16,'Ex ante LI &amp; Eligibility Stats'!$A:$A,0),MATCH('Program MW '!L$6,'Ex ante LI &amp; Eligibility Stats'!$A$8:$M$8,0))/1000)</f>
        <v>2.5672644788432204</v>
      </c>
      <c r="M16" s="516">
        <f>K16*(INDEX('Ex post LI &amp; Eligibility Stats'!$A:$N,MATCH($A16,'Ex post LI &amp; Eligibility Stats'!$A:$A,0),MATCH('Program MW '!L$6,'Ex post LI &amp; Eligibility Stats'!$A$8:$N$8,0))/1000)</f>
        <v>2.7936518477867027</v>
      </c>
      <c r="N16" s="186">
        <v>17408</v>
      </c>
      <c r="O16" s="515">
        <f>N16*(INDEX('Ex ante LI &amp; Eligibility Stats'!$A:$M,MATCH('Program MW '!$A16,'Ex ante LI &amp; Eligibility Stats'!$A:$A,0),MATCH('Program MW '!O$6,'Ex ante LI &amp; Eligibility Stats'!$A$8:$M$8,0))/1000)</f>
        <v>2.7675933089497158</v>
      </c>
      <c r="P16" s="515">
        <f>N16*(INDEX('Ex post LI &amp; Eligibility Stats'!$A:$N,MATCH($A16,'Ex post LI &amp; Eligibility Stats'!$A:$A,0),MATCH('Program MW '!O$6,'Ex post LI &amp; Eligibility Stats'!$A$8:$N$8,0))/1000)</f>
        <v>2.8125551654774692</v>
      </c>
      <c r="Q16" s="186">
        <v>17804</v>
      </c>
      <c r="R16" s="521">
        <f>Q16*(INDEX('Ex ante LI &amp; Eligibility Stats'!$A:$M,MATCH('Program MW '!$A16,'Ex ante LI &amp; Eligibility Stats'!$A:$A,0),MATCH('Program MW '!R$6,'Ex ante LI &amp; Eligibility Stats'!$A$8:$M$8,0))/1000)</f>
        <v>2.7454775762541388</v>
      </c>
      <c r="S16" s="516">
        <f>Q16*(INDEX('Ex post LI &amp; Eligibility Stats'!$A:$N,MATCH($A16,'Ex post LI &amp; Eligibility Stats'!$A:$A,0),MATCH('Program MW '!R$6,'Ex post LI &amp; Eligibility Stats'!$A$8:$N$8,0))/1000)</f>
        <v>2.8765356253539101</v>
      </c>
      <c r="T16" s="4">
        <v>663393.5</v>
      </c>
      <c r="U16" s="6"/>
      <c r="V16" s="6"/>
      <c r="W16" s="6"/>
      <c r="X16" s="6"/>
      <c r="Y16" s="6"/>
      <c r="Z16" s="6"/>
      <c r="AA16" s="6"/>
      <c r="AB16" s="6"/>
      <c r="AC16" s="6"/>
      <c r="AD16" s="6"/>
      <c r="AE16" s="6"/>
    </row>
    <row r="17" spans="1:31">
      <c r="A17" s="183" t="s">
        <v>26</v>
      </c>
      <c r="B17" s="186">
        <v>1561</v>
      </c>
      <c r="C17" s="515">
        <f>B17*(INDEX('Ex ante LI &amp; Eligibility Stats'!$A:$M,MATCH($A17,'Ex ante LI &amp; Eligibility Stats'!$A:$A,0),MATCH('Program MW '!C$6,'Ex ante LI &amp; Eligibility Stats'!$A$8:$M$8,0))/1000)</f>
        <v>0</v>
      </c>
      <c r="D17" s="516">
        <f>B17*(INDEX('Ex post LI &amp; Eligibility Stats'!$A:$N,MATCH($A17,'Ex post LI &amp; Eligibility Stats'!$A:$A,0),MATCH('Program MW '!C$6,'Ex post LI &amp; Eligibility Stats'!$A$8:$N$8,0))/1000)</f>
        <v>1.9064256763458249</v>
      </c>
      <c r="E17" s="186">
        <v>1565</v>
      </c>
      <c r="F17" s="515">
        <f>E17*(INDEX('Ex ante LI &amp; Eligibility Stats'!$A:$M,MATCH($A17,'Ex ante LI &amp; Eligibility Stats'!$A:$A,0),MATCH('Program MW '!F$6,'Ex ante LI &amp; Eligibility Stats'!$A$8:$M$8,0))/1000)</f>
        <v>0</v>
      </c>
      <c r="G17" s="516">
        <f>E17*(INDEX('Ex post LI &amp; Eligibility Stats'!$A:$N,MATCH($A17,'Ex post LI &amp; Eligibility Stats'!$A:$A,0),MATCH('Program MW '!F$6,'Ex post LI &amp; Eligibility Stats'!$A$8:$N$8,0))/1000)</f>
        <v>1.9113108158111571</v>
      </c>
      <c r="H17" s="186">
        <v>1567</v>
      </c>
      <c r="I17" s="515">
        <f>H17*(INDEX('Ex ante LI &amp; Eligibility Stats'!$A:$M,MATCH('Program MW '!$A17,'Ex ante LI &amp; Eligibility Stats'!$A:$A,0),MATCH('Program MW '!I$6,'Ex ante LI &amp; Eligibility Stats'!$A$8:$M$8,0))/1000)</f>
        <v>2.2442673643438767E-5</v>
      </c>
      <c r="J17" s="516">
        <f>H17*(INDEX('Ex post LI &amp; Eligibility Stats'!$A:$N,MATCH($A17,'Ex post LI &amp; Eligibility Stats'!$A:$A,0),MATCH('Program MW '!I$6,'Ex post LI &amp; Eligibility Stats'!$A$8:$N$8,0))/1000)</f>
        <v>0.74242330313986338</v>
      </c>
      <c r="K17" s="186">
        <v>1569</v>
      </c>
      <c r="L17" s="515">
        <f>K17*(INDEX('Ex ante LI &amp; Eligibility Stats'!$A:$M,MATCH('Program MW '!$A17,'Ex ante LI &amp; Eligibility Stats'!$A:$A,0),MATCH('Program MW '!L$6,'Ex ante LI &amp; Eligibility Stats'!$A$8:$M$8,0))/1000)</f>
        <v>0.28391220845971138</v>
      </c>
      <c r="M17" s="516">
        <f>K17*(INDEX('Ex post LI &amp; Eligibility Stats'!$A:$N,MATCH($A17,'Ex post LI &amp; Eligibility Stats'!$A:$A,0),MATCH('Program MW '!L$6,'Ex post LI &amp; Eligibility Stats'!$A$8:$N$8,0))/1000)</f>
        <v>0.74337087595816564</v>
      </c>
      <c r="N17" s="186">
        <v>1570</v>
      </c>
      <c r="O17" s="515">
        <f>N17*(INDEX('Ex ante LI &amp; Eligibility Stats'!$A:$M,MATCH('Program MW '!$A17,'Ex ante LI &amp; Eligibility Stats'!$A:$A,0),MATCH('Program MW '!O$6,'Ex ante LI &amp; Eligibility Stats'!$A$8:$M$8,0))/1000)</f>
        <v>0.50066376281603642</v>
      </c>
      <c r="P17" s="515">
        <f>N17*(INDEX('Ex post LI &amp; Eligibility Stats'!$A:$N,MATCH($A17,'Ex post LI &amp; Eligibility Stats'!$A:$A,0),MATCH('Program MW '!O$6,'Ex post LI &amp; Eligibility Stats'!$A$8:$N$8,0))/1000)</f>
        <v>0.74384466236731683</v>
      </c>
      <c r="Q17" s="186">
        <v>1582</v>
      </c>
      <c r="R17" s="521">
        <f>Q17*(INDEX('Ex ante LI &amp; Eligibility Stats'!$A:$M,MATCH('Program MW '!$A17,'Ex ante LI &amp; Eligibility Stats'!$A:$A,0),MATCH('Program MW '!R$6,'Ex ante LI &amp; Eligibility Stats'!$A$8:$M$8,0))/1000)</f>
        <v>0.43335979005094349</v>
      </c>
      <c r="S17" s="516">
        <f>Q17*(INDEX('Ex post LI &amp; Eligibility Stats'!$A:$N,MATCH($A17,'Ex post LI &amp; Eligibility Stats'!$A:$A,0),MATCH('Program MW '!R$6,'Ex post LI &amp; Eligibility Stats'!$A$8:$N$8,0))/1000)</f>
        <v>0.74953009927713066</v>
      </c>
      <c r="T17" s="4"/>
      <c r="U17" s="6"/>
      <c r="V17" s="6"/>
      <c r="W17" s="6"/>
      <c r="X17" s="6"/>
      <c r="Y17" s="6"/>
      <c r="Z17" s="6"/>
      <c r="AA17" s="6"/>
      <c r="AB17" s="6"/>
      <c r="AC17" s="6"/>
      <c r="AD17" s="6"/>
      <c r="AE17" s="6"/>
    </row>
    <row r="18" spans="1:31">
      <c r="A18" s="351" t="s">
        <v>27</v>
      </c>
      <c r="B18" s="653">
        <v>10129</v>
      </c>
      <c r="C18" s="515">
        <f>B18*(INDEX('Ex ante LI &amp; Eligibility Stats'!$A:$M,MATCH($A18,'Ex ante LI &amp; Eligibility Stats'!$A:$A,0),MATCH('Program MW '!C$6,'Ex ante LI &amp; Eligibility Stats'!$A$8:$M$8,0))/1000)</f>
        <v>0</v>
      </c>
      <c r="D18" s="515">
        <f>B18*(INDEX('Ex post LI &amp; Eligibility Stats'!$A:$N,MATCH($A41,'Ex post LI &amp; Eligibility Stats'!$A:$A,0),MATCH('Program MW '!C$29,'Ex post LI &amp; Eligibility Stats'!$A$8:$N$8,0))/1000)</f>
        <v>2.4986364070499998</v>
      </c>
      <c r="E18" s="650">
        <v>10480</v>
      </c>
      <c r="F18" s="515">
        <f>E18*(INDEX('Ex ante LI &amp; Eligibility Stats'!$A:$M,MATCH($A18,'Ex ante LI &amp; Eligibility Stats'!$A:$A,0),MATCH('Program MW '!F$6,'Ex ante LI &amp; Eligibility Stats'!$A$8:$M$8,0))/1000)</f>
        <v>0</v>
      </c>
      <c r="G18" s="516">
        <f>E18*(INDEX('Ex post LI &amp; Eligibility Stats'!$A:$N,MATCH($A18,'Ex post LI &amp; Eligibility Stats'!$A:$A,0),MATCH('Program MW '!F$6,'Ex post LI &amp; Eligibility Stats'!$A$8:$N$8,0))/1000)</f>
        <v>4.3532002160000003</v>
      </c>
      <c r="H18" s="650">
        <v>10206</v>
      </c>
      <c r="I18" s="515">
        <f>H18*(INDEX('Ex ante LI &amp; Eligibility Stats'!$A:$M,MATCH('Program MW '!$A18,'Ex ante LI &amp; Eligibility Stats'!$A:$A,0),MATCH('Program MW '!I$6,'Ex ante LI &amp; Eligibility Stats'!$A$8:$M$8,0))/1000)</f>
        <v>1.4617098098591963E-4</v>
      </c>
      <c r="J18" s="516">
        <f>H18*(INDEX('Ex post LI &amp; Eligibility Stats'!$A:$N,MATCH($A18,'Ex post LI &amp; Eligibility Stats'!$A:$A,0),MATCH('Program MW '!I$6,'Ex post LI &amp; Eligibility Stats'!$A$8:$N$8,0))/1000)</f>
        <v>2.5176308786999999</v>
      </c>
      <c r="K18" s="650">
        <v>10107</v>
      </c>
      <c r="L18" s="515">
        <f>K18*(INDEX('Ex ante LI &amp; Eligibility Stats'!$A:$M,MATCH('Program MW '!$A18,'Ex ante LI &amp; Eligibility Stats'!$A:$A,0),MATCH('Program MW '!L$6,'Ex ante LI &amp; Eligibility Stats'!$A$8:$M$8,0))/1000)</f>
        <v>0</v>
      </c>
      <c r="M18" s="516">
        <f>K18*(INDEX('Ex post LI &amp; Eligibility Stats'!$A:$N,MATCH($A18,'Ex post LI &amp; Eligibility Stats'!$A:$A,0),MATCH('Program MW '!L$6,'Ex post LI &amp; Eligibility Stats'!$A$8:$N$8,0))/1000)</f>
        <v>2.4932094151499999</v>
      </c>
      <c r="N18" s="186">
        <v>9479</v>
      </c>
      <c r="O18" s="515">
        <f>N18*(INDEX('Ex ante LI &amp; Eligibility Stats'!$A:$M,MATCH('Program MW '!$A18,'Ex ante LI &amp; Eligibility Stats'!$A:$A,0),MATCH('Program MW '!O$6,'Ex ante LI &amp; Eligibility Stats'!$A$8:$M$8,0))/1000)</f>
        <v>0.64240917657000007</v>
      </c>
      <c r="P18" s="515">
        <f>N18*(INDEX('Ex post LI &amp; Eligibility Stats'!$A:$N,MATCH($A18,'Ex post LI &amp; Eligibility Stats'!$A:$A,0),MATCH('Program MW '!O$6,'Ex post LI &amp; Eligibility Stats'!$A$8:$N$8,0))/1000)</f>
        <v>2.33829346455</v>
      </c>
      <c r="Q18" s="186">
        <v>9386</v>
      </c>
      <c r="R18" s="521">
        <f>Q18*(INDEX('Ex ante LI &amp; Eligibility Stats'!$A:$M,MATCH('Program MW '!$A18,'Ex ante LI &amp; Eligibility Stats'!$A:$A,0),MATCH('Program MW '!R$6,'Ex ante LI &amp; Eligibility Stats'!$A$8:$M$8,0))/1000)</f>
        <v>0.13590591981200001</v>
      </c>
      <c r="S18" s="516">
        <f>Q18*(INDEX('Ex post LI &amp; Eligibility Stats'!$A:$N,MATCH($A18,'Ex post LI &amp; Eligibility Stats'!$A:$A,0),MATCH('Program MW '!R$6,'Ex post LI &amp; Eligibility Stats'!$A$8:$N$8,0))/1000)</f>
        <v>2.3153520897000002</v>
      </c>
      <c r="T18" s="4">
        <v>157189</v>
      </c>
      <c r="U18" s="6"/>
      <c r="V18" s="6"/>
      <c r="W18" s="6"/>
      <c r="X18" s="6"/>
      <c r="Y18" s="6"/>
      <c r="Z18" s="6"/>
      <c r="AA18" s="6"/>
      <c r="AB18" s="6"/>
      <c r="AC18" s="6"/>
      <c r="AD18" s="6"/>
      <c r="AE18" s="6"/>
    </row>
    <row r="19" spans="1:31">
      <c r="A19" s="351" t="s">
        <v>28</v>
      </c>
      <c r="B19" s="653">
        <v>3556</v>
      </c>
      <c r="C19" s="515">
        <f>B19*(INDEX('Ex ante LI &amp; Eligibility Stats'!$A:$M,MATCH($A19,'Ex ante LI &amp; Eligibility Stats'!$A:$A,0),MATCH('Program MW '!C$6,'Ex ante LI &amp; Eligibility Stats'!$A$8:$M$8,0))/1000)</f>
        <v>0</v>
      </c>
      <c r="D19" s="515">
        <f>B19*(INDEX('Ex post LI &amp; Eligibility Stats'!$A:$N,MATCH($A42,'Ex post LI &amp; Eligibility Stats'!$A:$A,0),MATCH('Program MW '!C$29,'Ex post LI &amp; Eligibility Stats'!$A$8:$N$8,0))/1000)</f>
        <v>0.42269514140000003</v>
      </c>
      <c r="E19" s="650">
        <v>3643</v>
      </c>
      <c r="F19" s="515">
        <f>E19*(INDEX('Ex ante LI &amp; Eligibility Stats'!$A:$M,MATCH($A19,'Ex ante LI &amp; Eligibility Stats'!$A:$A,0),MATCH('Program MW '!F$6,'Ex ante LI &amp; Eligibility Stats'!$A$8:$M$8,0))/1000)</f>
        <v>0</v>
      </c>
      <c r="G19" s="516">
        <f>E19*(INDEX('Ex post LI &amp; Eligibility Stats'!$A:$N,MATCH($A19,'Ex post LI &amp; Eligibility Stats'!$A:$A,0),MATCH('Program MW '!F$6,'Ex post LI &amp; Eligibility Stats'!$A$8:$N$8,0))/1000)</f>
        <v>0.75806531259999999</v>
      </c>
      <c r="H19" s="650">
        <v>3545</v>
      </c>
      <c r="I19" s="515">
        <f>H19*(INDEX('Ex ante LI &amp; Eligibility Stats'!$A:$M,MATCH('Program MW '!$A19,'Ex ante LI &amp; Eligibility Stats'!$A:$A,0),MATCH('Program MW '!I$6,'Ex ante LI &amp; Eligibility Stats'!$A$8:$M$8,0))/1000)</f>
        <v>5.0771715421819035E-5</v>
      </c>
      <c r="J19" s="516">
        <f>H19*(INDEX('Ex post LI &amp; Eligibility Stats'!$A:$N,MATCH($A19,'Ex post LI &amp; Eligibility Stats'!$A:$A,0),MATCH('Program MW '!I$6,'Ex post LI &amp; Eligibility Stats'!$A$8:$N$8,0))/1000)</f>
        <v>0.42138759175000007</v>
      </c>
      <c r="K19" s="650">
        <v>3505</v>
      </c>
      <c r="L19" s="515">
        <f>K19*(INDEX('Ex ante LI &amp; Eligibility Stats'!$A:$M,MATCH('Program MW '!$A19,'Ex ante LI &amp; Eligibility Stats'!$A:$A,0),MATCH('Program MW '!L$6,'Ex ante LI &amp; Eligibility Stats'!$A$8:$M$8,0))/1000)</f>
        <v>0.34996024401999998</v>
      </c>
      <c r="M19" s="516">
        <f>K19*(INDEX('Ex post LI &amp; Eligibility Stats'!$A:$N,MATCH($A19,'Ex post LI &amp; Eligibility Stats'!$A:$A,0),MATCH('Program MW '!L$6,'Ex post LI &amp; Eligibility Stats'!$A$8:$N$8,0))/1000)</f>
        <v>0.41663286575000003</v>
      </c>
      <c r="N19" s="186">
        <v>3457</v>
      </c>
      <c r="O19" s="515">
        <f>N19*(INDEX('Ex ante LI &amp; Eligibility Stats'!$A:$M,MATCH('Program MW '!$A19,'Ex ante LI &amp; Eligibility Stats'!$A:$A,0),MATCH('Program MW '!O$6,'Ex ante LI &amp; Eligibility Stats'!$A$8:$M$8,0))/1000)</f>
        <v>0.45185911856399991</v>
      </c>
      <c r="P19" s="515">
        <f>N19*(INDEX('Ex post LI &amp; Eligibility Stats'!$A:$N,MATCH($A19,'Ex post LI &amp; Eligibility Stats'!$A:$A,0),MATCH('Program MW '!O$6,'Ex post LI &amp; Eligibility Stats'!$A$8:$N$8,0))/1000)</f>
        <v>0.41092719455000004</v>
      </c>
      <c r="Q19" s="186">
        <v>3460</v>
      </c>
      <c r="R19" s="521">
        <f>Q19*(INDEX('Ex ante LI &amp; Eligibility Stats'!$A:$M,MATCH('Program MW '!$A19,'Ex ante LI &amp; Eligibility Stats'!$A:$A,0),MATCH('Program MW '!R$6,'Ex ante LI &amp; Eligibility Stats'!$A$8:$M$8,0))/1000)</f>
        <v>0.36572365388</v>
      </c>
      <c r="S19" s="516">
        <f>Q19*(INDEX('Ex post LI &amp; Eligibility Stats'!$A:$N,MATCH($A19,'Ex post LI &amp; Eligibility Stats'!$A:$A,0),MATCH('Program MW '!R$6,'Ex post LI &amp; Eligibility Stats'!$A$8:$N$8,0))/1000)</f>
        <v>0.41128379900000006</v>
      </c>
      <c r="T19" s="4">
        <v>157189</v>
      </c>
      <c r="U19" s="6"/>
      <c r="V19" s="6"/>
      <c r="W19" s="6"/>
      <c r="X19" s="6"/>
      <c r="Y19" s="6"/>
      <c r="Z19" s="6"/>
      <c r="AA19" s="6"/>
      <c r="AB19" s="6"/>
      <c r="AC19" s="6"/>
      <c r="AD19" s="6"/>
      <c r="AE19" s="6"/>
    </row>
    <row r="20" spans="1:31">
      <c r="A20" s="183" t="s">
        <v>29</v>
      </c>
      <c r="B20" s="186">
        <v>0</v>
      </c>
      <c r="C20" s="515">
        <f>B20*(INDEX('Ex ante LI &amp; Eligibility Stats'!$A:$M,MATCH($A20,'Ex ante LI &amp; Eligibility Stats'!$A:$A,0),MATCH('Program MW '!C$6,'Ex ante LI &amp; Eligibility Stats'!$A$8:$M$8,0))/1000)</f>
        <v>0</v>
      </c>
      <c r="D20" s="516">
        <f>B20*(INDEX('Ex post LI &amp; Eligibility Stats'!$A:$N,MATCH($A20,'Ex post LI &amp; Eligibility Stats'!$A:$A,0),MATCH('Program MW '!C$6,'Ex post LI &amp; Eligibility Stats'!$A$8:$N$8,0))/1000)</f>
        <v>0</v>
      </c>
      <c r="E20" s="186">
        <v>0</v>
      </c>
      <c r="F20" s="515">
        <f>E20*(INDEX('Ex ante LI &amp; Eligibility Stats'!$A:$M,MATCH($A20,'Ex ante LI &amp; Eligibility Stats'!$A:$A,0),MATCH('Program MW '!F$6,'Ex ante LI &amp; Eligibility Stats'!$A$8:$M$8,0))/1000)</f>
        <v>0</v>
      </c>
      <c r="G20" s="516">
        <f>E20*(INDEX('Ex post LI &amp; Eligibility Stats'!$A:$N,MATCH($A20,'Ex post LI &amp; Eligibility Stats'!$A:$A,0),MATCH('Program MW '!F$6,'Ex post LI &amp; Eligibility Stats'!$A$8:$N$8,0))/1000)</f>
        <v>0</v>
      </c>
      <c r="H20" s="186">
        <v>0</v>
      </c>
      <c r="I20" s="515">
        <f>H20*(INDEX('Ex ante LI &amp; Eligibility Stats'!$A:$M,MATCH('Program MW '!$A20,'Ex ante LI &amp; Eligibility Stats'!$A:$A,0),MATCH('Program MW '!I$6,'Ex ante LI &amp; Eligibility Stats'!$A$8:$M$8,0))/1000)</f>
        <v>0</v>
      </c>
      <c r="J20" s="516">
        <f>H20*(INDEX('Ex post LI &amp; Eligibility Stats'!$A:$N,MATCH($A20,'Ex post LI &amp; Eligibility Stats'!$A:$A,0),MATCH('Program MW '!I$6,'Ex post LI &amp; Eligibility Stats'!$A$8:$N$8,0))/1000)</f>
        <v>0</v>
      </c>
      <c r="K20" s="186">
        <v>0</v>
      </c>
      <c r="L20" s="515">
        <f>K20*(INDEX('Ex ante LI &amp; Eligibility Stats'!$A:$M,MATCH('Program MW '!$A20,'Ex ante LI &amp; Eligibility Stats'!$A:$A,0),MATCH('Program MW '!L$6,'Ex ante LI &amp; Eligibility Stats'!$A$8:$M$8,0))/1000)</f>
        <v>0</v>
      </c>
      <c r="M20" s="516">
        <f>K20*(INDEX('Ex post LI &amp; Eligibility Stats'!$A:$N,MATCH($A20,'Ex post LI &amp; Eligibility Stats'!$A:$A,0),MATCH('Program MW '!L$6,'Ex post LI &amp; Eligibility Stats'!$A$8:$N$8,0))/1000)</f>
        <v>0</v>
      </c>
      <c r="N20" s="186">
        <v>11</v>
      </c>
      <c r="O20" s="515">
        <f>N20*(INDEX('Ex ante LI &amp; Eligibility Stats'!$A:$M,MATCH('Program MW '!$A20,'Ex ante LI &amp; Eligibility Stats'!$A:$A,0),MATCH('Program MW '!O$6,'Ex ante LI &amp; Eligibility Stats'!$A$8:$M$8,0))/1000)</f>
        <v>3.0750665000000003E-2</v>
      </c>
      <c r="P20" s="515">
        <f>N20*(INDEX('Ex post LI &amp; Eligibility Stats'!$A:$N,MATCH($A20,'Ex post LI &amp; Eligibility Stats'!$A:$A,0),MATCH('Program MW '!O$6,'Ex post LI &amp; Eligibility Stats'!$A$8:$N$8,0))/1000)</f>
        <v>7.6421828107545553E-2</v>
      </c>
      <c r="Q20" s="186">
        <v>11</v>
      </c>
      <c r="R20" s="521">
        <f>Q20*(INDEX('Ex ante LI &amp; Eligibility Stats'!$A:$M,MATCH('Program MW '!$A20,'Ex ante LI &amp; Eligibility Stats'!$A:$A,0),MATCH('Program MW '!R$6,'Ex ante LI &amp; Eligibility Stats'!$A$8:$M$8,0))/1000)</f>
        <v>3.0750665000000003E-2</v>
      </c>
      <c r="S20" s="516">
        <f>Q20*(INDEX('Ex post LI &amp; Eligibility Stats'!$A:$N,MATCH($A20,'Ex post LI &amp; Eligibility Stats'!$A:$A,0),MATCH('Program MW '!R$6,'Ex post LI &amp; Eligibility Stats'!$A$8:$N$8,0))/1000)</f>
        <v>7.6421828107545553E-2</v>
      </c>
      <c r="T20" s="4">
        <v>18875</v>
      </c>
      <c r="U20" s="6"/>
      <c r="V20" s="6"/>
      <c r="W20" s="6"/>
      <c r="X20" s="6"/>
      <c r="Y20" s="6"/>
      <c r="Z20" s="6"/>
      <c r="AA20" s="6"/>
      <c r="AB20" s="6"/>
      <c r="AC20" s="6"/>
      <c r="AD20" s="6"/>
      <c r="AE20" s="6"/>
    </row>
    <row r="21" spans="1:31">
      <c r="A21" s="183" t="s">
        <v>30</v>
      </c>
      <c r="B21" s="186">
        <v>0</v>
      </c>
      <c r="C21" s="515">
        <f>B21*(INDEX('Ex ante LI &amp; Eligibility Stats'!$A:$M,MATCH($A21,'Ex ante LI &amp; Eligibility Stats'!$A:$A,0),MATCH('Program MW '!C$6,'Ex ante LI &amp; Eligibility Stats'!$A$8:$M$8,0))/1000)</f>
        <v>0</v>
      </c>
      <c r="D21" s="516">
        <f>B21*(INDEX('Ex post LI &amp; Eligibility Stats'!$A:$N,MATCH($A21,'Ex post LI &amp; Eligibility Stats'!$A:$A,0),MATCH('Program MW '!C$6,'Ex post LI &amp; Eligibility Stats'!$A$8:$N$8,0))/1000)</f>
        <v>0</v>
      </c>
      <c r="E21" s="186">
        <v>0</v>
      </c>
      <c r="F21" s="515">
        <f>E21*(INDEX('Ex ante LI &amp; Eligibility Stats'!$A:$M,MATCH($A21,'Ex ante LI &amp; Eligibility Stats'!$A:$A,0),MATCH('Program MW '!F$6,'Ex ante LI &amp; Eligibility Stats'!$A$8:$M$8,0))/1000)</f>
        <v>0</v>
      </c>
      <c r="G21" s="516">
        <f>E21*(INDEX('Ex post LI &amp; Eligibility Stats'!$A:$N,MATCH($A21,'Ex post LI &amp; Eligibility Stats'!$A:$A,0),MATCH('Program MW '!F$6,'Ex post LI &amp; Eligibility Stats'!$A$8:$N$8,0))/1000)</f>
        <v>0</v>
      </c>
      <c r="H21" s="186">
        <v>0</v>
      </c>
      <c r="I21" s="515">
        <f>H21*(INDEX('Ex ante LI &amp; Eligibility Stats'!$A:$M,MATCH('Program MW '!$A21,'Ex ante LI &amp; Eligibility Stats'!$A:$A,0),MATCH('Program MW '!I$6,'Ex ante LI &amp; Eligibility Stats'!$A$8:$M$8,0))/1000)</f>
        <v>0</v>
      </c>
      <c r="J21" s="516">
        <f>H21*(INDEX('Ex post LI &amp; Eligibility Stats'!$A:$N,MATCH($A21,'Ex post LI &amp; Eligibility Stats'!$A:$A,0),MATCH('Program MW '!I$6,'Ex post LI &amp; Eligibility Stats'!$A$8:$N$8,0))/1000)</f>
        <v>0</v>
      </c>
      <c r="K21" s="186">
        <v>0</v>
      </c>
      <c r="L21" s="515">
        <f>K21*(INDEX('Ex ante LI &amp; Eligibility Stats'!$A:$M,MATCH('Program MW '!$A21,'Ex ante LI &amp; Eligibility Stats'!$A:$A,0),MATCH('Program MW '!L$6,'Ex ante LI &amp; Eligibility Stats'!$A$8:$M$8,0))/1000)</f>
        <v>0</v>
      </c>
      <c r="M21" s="516">
        <f>K21*(INDEX('Ex post LI &amp; Eligibility Stats'!$A:$N,MATCH($A21,'Ex post LI &amp; Eligibility Stats'!$A:$A,0),MATCH('Program MW '!L$6,'Ex post LI &amp; Eligibility Stats'!$A$8:$N$8,0))/1000)</f>
        <v>0</v>
      </c>
      <c r="N21" s="186">
        <v>185</v>
      </c>
      <c r="O21" s="515">
        <f>N21*(INDEX('Ex ante LI &amp; Eligibility Stats'!$A:$M,MATCH('Program MW '!$A21,'Ex ante LI &amp; Eligibility Stats'!$A:$A,0),MATCH('Program MW '!O$6,'Ex ante LI &amp; Eligibility Stats'!$A$8:$M$8,0))/1000)</f>
        <v>2.5718449139999997</v>
      </c>
      <c r="P21" s="515">
        <f>N21*(INDEX('Ex post LI &amp; Eligibility Stats'!$A:$N,MATCH($A21,'Ex post LI &amp; Eligibility Stats'!$A:$A,0),MATCH('Program MW '!O$6,'Ex post LI &amp; Eligibility Stats'!$A$8:$N$8,0))/1000)</f>
        <v>3.4387183333333331</v>
      </c>
      <c r="Q21" s="186">
        <v>184</v>
      </c>
      <c r="R21" s="521">
        <f>Q21*(INDEX('Ex ante LI &amp; Eligibility Stats'!$A:$M,MATCH('Program MW '!$A21,'Ex ante LI &amp; Eligibility Stats'!$A:$A,0),MATCH('Program MW '!R$6,'Ex ante LI &amp; Eligibility Stats'!$A$8:$M$8,0))/1000)</f>
        <v>2.5579430495999995</v>
      </c>
      <c r="S21" s="516">
        <f>Q21*(INDEX('Ex post LI &amp; Eligibility Stats'!$A:$N,MATCH($A21,'Ex post LI &amp; Eligibility Stats'!$A:$A,0),MATCH('Program MW '!R$6,'Ex post LI &amp; Eligibility Stats'!$A$8:$N$8,0))/1000)</f>
        <v>3.4201306666666667</v>
      </c>
      <c r="T21" s="4">
        <v>18875</v>
      </c>
      <c r="U21" s="6"/>
      <c r="V21" s="6"/>
      <c r="W21" s="6"/>
      <c r="X21" s="6"/>
      <c r="Y21" s="6"/>
      <c r="Z21" s="6"/>
      <c r="AA21" s="6"/>
      <c r="AB21" s="6"/>
      <c r="AC21" s="6"/>
      <c r="AD21" s="6"/>
      <c r="AE21" s="6"/>
    </row>
    <row r="22" spans="1:31">
      <c r="A22" s="183" t="s">
        <v>31</v>
      </c>
      <c r="B22" s="186">
        <v>113095</v>
      </c>
      <c r="C22" s="515">
        <f>B22*(INDEX('Ex ante LI &amp; Eligibility Stats'!$A:$M,MATCH($A22,'Ex ante LI &amp; Eligibility Stats'!$A:$A,0),MATCH('Program MW '!C$6,'Ex ante LI &amp; Eligibility Stats'!$A$8:$M$8,0))/1000)</f>
        <v>0.29095085273255605</v>
      </c>
      <c r="D22" s="516">
        <f>B22*(INDEX('Ex post LI &amp; Eligibility Stats'!$A:$N,MATCH($A22,'Ex post LI &amp; Eligibility Stats'!$A:$A,0),MATCH('Program MW '!C$6,'Ex post LI &amp; Eligibility Stats'!$A$8:$N$8,0))/1000)</f>
        <v>4.4173744553141292</v>
      </c>
      <c r="E22" s="186">
        <v>113078</v>
      </c>
      <c r="F22" s="515">
        <f>E22*(INDEX('Ex ante LI &amp; Eligibility Stats'!$A:$M,MATCH($A22,'Ex ante LI &amp; Eligibility Stats'!$A:$A,0),MATCH('Program MW '!F$6,'Ex ante LI &amp; Eligibility Stats'!$A$8:$M$8,0))/1000)</f>
        <v>0.28767567983909359</v>
      </c>
      <c r="G22" s="516">
        <f>E22*(INDEX('Ex post LI &amp; Eligibility Stats'!$A:$N,MATCH($A22,'Ex post LI &amp; Eligibility Stats'!$A:$A,0),MATCH('Program MW '!F$6,'Ex post LI &amp; Eligibility Stats'!$A$8:$N$8,0))/1000)</f>
        <v>4.4167104527875782</v>
      </c>
      <c r="H22" s="186">
        <v>112959</v>
      </c>
      <c r="I22" s="515">
        <f>H22*(INDEX('Ex ante LI &amp; Eligibility Stats'!$A:$M,MATCH('Program MW '!$A22,'Ex ante LI &amp; Eligibility Stats'!$A:$A,0),MATCH('Program MW '!I$6,'Ex ante LI &amp; Eligibility Stats'!$A$8:$M$8,0))/1000)</f>
        <v>1.1138916288328069</v>
      </c>
      <c r="J22" s="516">
        <f>H22*(INDEX('Ex post LI &amp; Eligibility Stats'!$A:$N,MATCH($A22,'Ex post LI &amp; Eligibility Stats'!$A:$A,0),MATCH('Program MW '!I$6,'Ex post LI &amp; Eligibility Stats'!$A$8:$N$8,0))/1000)</f>
        <v>2.7662892258716183</v>
      </c>
      <c r="K22" s="186">
        <v>112813</v>
      </c>
      <c r="L22" s="515">
        <f>K22*(INDEX('Ex ante LI &amp; Eligibility Stats'!$A:$M,MATCH('Program MW '!$A22,'Ex ante LI &amp; Eligibility Stats'!$A:$A,0),MATCH('Program MW '!L$6,'Ex ante LI &amp; Eligibility Stats'!$A$8:$M$8,0))/1000)</f>
        <v>1.5241332127338307</v>
      </c>
      <c r="M22" s="516">
        <f>K22*(INDEX('Ex post LI &amp; Eligibility Stats'!$A:$N,MATCH($A22,'Ex post LI &amp; Eligibility Stats'!$A:$A,0),MATCH('Program MW '!L$6,'Ex post LI &amp; Eligibility Stats'!$A$8:$N$8,0))/1000)</f>
        <v>2.7627137849861882</v>
      </c>
      <c r="N22" s="186">
        <v>112626</v>
      </c>
      <c r="O22" s="515">
        <f>N22*(INDEX('Ex ante LI &amp; Eligibility Stats'!$A:$M,MATCH('Program MW '!$A22,'Ex ante LI &amp; Eligibility Stats'!$A:$A,0),MATCH('Program MW '!O$6,'Ex ante LI &amp; Eligibility Stats'!$A$8:$M$8,0))/1000)</f>
        <v>1.6670473909731174</v>
      </c>
      <c r="P22" s="516">
        <f>N22*(INDEX('Ex post LI &amp; Eligibility Stats'!$A:$N,MATCH($A22,'Ex post LI &amp; Eligibility Stats'!$A:$A,0),MATCH('Program MW '!O$6,'Ex post LI &amp; Eligibility Stats'!$A$8:$N$8,0))/1000)</f>
        <v>2.7581342819343022</v>
      </c>
      <c r="Q22" s="186">
        <v>112506</v>
      </c>
      <c r="R22" s="521">
        <f>Q22*(INDEX('Ex ante LI &amp; Eligibility Stats'!$A:$M,MATCH('Program MW '!$A22,'Ex ante LI &amp; Eligibility Stats'!$A:$A,0),MATCH('Program MW '!R$6,'Ex ante LI &amp; Eligibility Stats'!$A$8:$M$8,0))/1000)</f>
        <v>1.5330505649675896</v>
      </c>
      <c r="S22" s="516">
        <f>Q22*(INDEX('Ex post LI &amp; Eligibility Stats'!$A:$N,MATCH($A22,'Ex post LI &amp; Eligibility Stats'!$A:$A,0),MATCH('Program MW '!R$6,'Ex post LI &amp; Eligibility Stats'!$A$8:$N$8,0))/1000)</f>
        <v>2.7551955633983329</v>
      </c>
      <c r="T22" s="4"/>
      <c r="U22" s="6"/>
      <c r="V22" s="6"/>
      <c r="W22" s="6"/>
      <c r="X22" s="6"/>
      <c r="Y22" s="6"/>
      <c r="Z22" s="6"/>
      <c r="AA22" s="6"/>
      <c r="AB22" s="6"/>
      <c r="AC22" s="6"/>
      <c r="AD22" s="6"/>
      <c r="AE22" s="6"/>
    </row>
    <row r="23" spans="1:31">
      <c r="A23" s="270" t="s">
        <v>32</v>
      </c>
      <c r="B23" s="350">
        <v>9351</v>
      </c>
      <c r="C23" s="517">
        <f>B23*(INDEX('Ex ante LI &amp; Eligibility Stats'!$A:$M,MATCH($A23,'Ex ante LI &amp; Eligibility Stats'!$A:$A,0),MATCH('Program MW '!C$6,'Ex ante LI &amp; Eligibility Stats'!$A$8:$M$8,0))/1000)</f>
        <v>0.48369170230409364</v>
      </c>
      <c r="D23" s="518">
        <f>B23*(INDEX('Ex post LI &amp; Eligibility Stats'!$A:$N,MATCH($A23,'Ex post LI &amp; Eligibility Stats'!$A:$A,0),MATCH('Program MW '!C$6,'Ex post LI &amp; Eligibility Stats'!$A$8:$N$8,0))/1000)</f>
        <v>1.713045807659626</v>
      </c>
      <c r="E23" s="350">
        <v>9697</v>
      </c>
      <c r="F23" s="515">
        <f>E23*(INDEX('Ex ante LI &amp; Eligibility Stats'!$A:$M,MATCH($A23,'Ex ante LI &amp; Eligibility Stats'!$A:$A,0),MATCH('Program MW '!F$6,'Ex ante LI &amp; Eligibility Stats'!$A$8:$M$8,0))/1000)</f>
        <v>0.42081314309348233</v>
      </c>
      <c r="G23" s="516">
        <f>E23*(INDEX('Ex post LI &amp; Eligibility Stats'!$A:$N,MATCH($A23,'Ex post LI &amp; Eligibility Stats'!$A:$A,0),MATCH('Program MW '!F$6,'Ex post LI &amp; Eligibility Stats'!$A$8:$N$8,0))/1000)</f>
        <v>1.7764308840632439</v>
      </c>
      <c r="H23" s="350">
        <v>10255</v>
      </c>
      <c r="I23" s="515">
        <f>H23*(INDEX('Ex ante LI &amp; Eligibility Stats'!$A:$M,MATCH('Program MW '!$A23,'Ex ante LI &amp; Eligibility Stats'!$A:$A,0),MATCH('Program MW '!I$6,'Ex ante LI &amp; Eligibility Stats'!$A$8:$M$8,0))/1000)</f>
        <v>0.3491134318113327</v>
      </c>
      <c r="J23" s="516">
        <f>H23*(INDEX('Ex post LI &amp; Eligibility Stats'!$A:$N,MATCH($A23,'Ex post LI &amp; Eligibility Stats'!$A:$A,0),MATCH('Program MW '!I$6,'Ex post LI &amp; Eligibility Stats'!$A$8:$N$8,0))/1000)</f>
        <v>2.190801266338676</v>
      </c>
      <c r="K23" s="350">
        <v>11373</v>
      </c>
      <c r="L23" s="515">
        <f>K23*(INDEX('Ex ante LI &amp; Eligibility Stats'!$A:$M,MATCH('Program MW '!$A23,'Ex ante LI &amp; Eligibility Stats'!$A:$A,0),MATCH('Program MW '!L$6,'Ex ante LI &amp; Eligibility Stats'!$A$8:$M$8,0))/1000)</f>
        <v>0.41708317386545246</v>
      </c>
      <c r="M23" s="516">
        <f>K23*(INDEX('Ex post LI &amp; Eligibility Stats'!$A:$N,MATCH($A23,'Ex post LI &amp; Eligibility Stats'!$A:$A,0),MATCH('Program MW '!L$6,'Ex post LI &amp; Eligibility Stats'!$A$8:$N$8,0))/1000)</f>
        <v>2.4296423990316689</v>
      </c>
      <c r="N23" s="350">
        <v>12300</v>
      </c>
      <c r="O23" s="515">
        <f>N23*(INDEX('Ex ante LI &amp; Eligibility Stats'!$A:$M,MATCH('Program MW '!$A23,'Ex ante LI &amp; Eligibility Stats'!$A:$A,0),MATCH('Program MW '!O$6,'Ex ante LI &amp; Eligibility Stats'!$A$8:$M$8,0))/1000)</f>
        <v>0.51349497858434912</v>
      </c>
      <c r="P23" s="516">
        <f>N23*(INDEX('Ex post LI &amp; Eligibility Stats'!$A:$N,MATCH($A23,'Ex post LI &amp; Eligibility Stats'!$A:$A,0),MATCH('Program MW '!O$6,'Ex post LI &amp; Eligibility Stats'!$A$8:$N$8,0))/1000)</f>
        <v>2.6276797246187922</v>
      </c>
      <c r="Q23" s="350">
        <v>12961</v>
      </c>
      <c r="R23" s="521">
        <f>Q23*(INDEX('Ex ante LI &amp; Eligibility Stats'!$A:$M,MATCH('Program MW '!$A23,'Ex ante LI &amp; Eligibility Stats'!$A:$A,0),MATCH('Program MW '!R$6,'Ex ante LI &amp; Eligibility Stats'!$A$8:$M$8,0))/1000)</f>
        <v>0.59470202846154574</v>
      </c>
      <c r="S23" s="516">
        <f>Q23*(INDEX('Ex post LI &amp; Eligibility Stats'!$A:$N,MATCH($A23,'Ex post LI &amp; Eligibility Stats'!$A:$A,0),MATCH('Program MW '!R$6,'Ex post LI &amp; Eligibility Stats'!$A$8:$N$8,0))/1000)</f>
        <v>2.7688908057548103</v>
      </c>
      <c r="T23" s="4"/>
      <c r="U23" s="6"/>
      <c r="V23" s="6"/>
      <c r="W23" s="6"/>
      <c r="X23" s="6"/>
      <c r="Y23" s="6"/>
      <c r="Z23" s="6"/>
      <c r="AA23" s="6"/>
      <c r="AB23" s="6"/>
      <c r="AC23" s="6"/>
      <c r="AD23" s="6"/>
      <c r="AE23" s="6"/>
    </row>
    <row r="24" spans="1:31" ht="21.75" customHeight="1" thickBot="1">
      <c r="A24" s="215" t="s">
        <v>33</v>
      </c>
      <c r="B24" s="184">
        <f t="shared" ref="B24:S24" si="1">SUM(B12:B23)</f>
        <v>165200</v>
      </c>
      <c r="C24" s="203">
        <f t="shared" si="1"/>
        <v>8.4646928263689141</v>
      </c>
      <c r="D24" s="202">
        <f t="shared" si="1"/>
        <v>33.617711494309503</v>
      </c>
      <c r="E24" s="1">
        <f>SUM(E12:E23)</f>
        <v>170281</v>
      </c>
      <c r="F24" s="277">
        <f t="shared" si="1"/>
        <v>11.544662066768145</v>
      </c>
      <c r="G24" s="278">
        <f t="shared" si="1"/>
        <v>41.969899775867752</v>
      </c>
      <c r="H24" s="1">
        <f t="shared" si="1"/>
        <v>170465</v>
      </c>
      <c r="I24" s="277">
        <f t="shared" si="1"/>
        <v>1.463470327201881</v>
      </c>
      <c r="J24" s="278">
        <f t="shared" si="1"/>
        <v>20.658473491252693</v>
      </c>
      <c r="K24" s="1">
        <f t="shared" si="1"/>
        <v>171325</v>
      </c>
      <c r="L24" s="277">
        <f t="shared" si="1"/>
        <v>5.1423533179222147</v>
      </c>
      <c r="M24" s="278">
        <f t="shared" si="1"/>
        <v>20.824013566983172</v>
      </c>
      <c r="N24" s="1">
        <f t="shared" si="1"/>
        <v>171698</v>
      </c>
      <c r="O24" s="279">
        <f t="shared" si="1"/>
        <v>9.8874261570184334</v>
      </c>
      <c r="P24" s="282">
        <f t="shared" si="1"/>
        <v>24.388235925200874</v>
      </c>
      <c r="Q24" s="1">
        <f t="shared" si="1"/>
        <v>172558</v>
      </c>
      <c r="R24" s="295">
        <f t="shared" si="1"/>
        <v>8.3969132480262161</v>
      </c>
      <c r="S24" s="298">
        <f t="shared" si="1"/>
        <v>24.555627969132171</v>
      </c>
      <c r="T24" s="5"/>
      <c r="U24" s="6"/>
      <c r="V24" s="6"/>
      <c r="W24" s="6"/>
      <c r="X24" s="6"/>
      <c r="Y24" s="6"/>
      <c r="Z24" s="6"/>
      <c r="AA24" s="6"/>
      <c r="AB24" s="6"/>
      <c r="AC24" s="6"/>
      <c r="AD24" s="6"/>
      <c r="AE24" s="6"/>
    </row>
    <row r="25" spans="1:31" ht="14.25" thickTop="1" thickBot="1">
      <c r="A25" s="222" t="s">
        <v>34</v>
      </c>
      <c r="B25" s="2">
        <f>+B10+B24</f>
        <v>165205</v>
      </c>
      <c r="C25" s="203">
        <f t="shared" ref="C25:S25" si="2">+C10+C24</f>
        <v>8.551219255068407</v>
      </c>
      <c r="D25" s="347">
        <f t="shared" si="2"/>
        <v>35.736685951096611</v>
      </c>
      <c r="E25" s="2">
        <f t="shared" si="2"/>
        <v>170286</v>
      </c>
      <c r="F25" s="203">
        <f t="shared" si="2"/>
        <v>11.730552548716998</v>
      </c>
      <c r="G25" s="203">
        <f t="shared" si="2"/>
        <v>44.088874232654859</v>
      </c>
      <c r="H25" s="2">
        <f t="shared" si="2"/>
        <v>170470</v>
      </c>
      <c r="I25" s="203">
        <f t="shared" si="2"/>
        <v>2.3505977533493416</v>
      </c>
      <c r="J25" s="202">
        <f t="shared" si="2"/>
        <v>22.553100586117537</v>
      </c>
      <c r="K25" s="2">
        <f t="shared" si="2"/>
        <v>171330</v>
      </c>
      <c r="L25" s="203">
        <f t="shared" si="2"/>
        <v>5.8750932089744605</v>
      </c>
      <c r="M25" s="202">
        <f t="shared" si="2"/>
        <v>22.718640661848017</v>
      </c>
      <c r="N25" s="2">
        <f t="shared" si="2"/>
        <v>171703</v>
      </c>
      <c r="O25" s="280">
        <f t="shared" si="2"/>
        <v>10.689389711400757</v>
      </c>
      <c r="P25" s="281">
        <f t="shared" si="2"/>
        <v>26.282863020065719</v>
      </c>
      <c r="Q25" s="2">
        <f t="shared" si="2"/>
        <v>172563</v>
      </c>
      <c r="R25" s="300">
        <f t="shared" si="2"/>
        <v>9.1185019931434041</v>
      </c>
      <c r="S25" s="299">
        <f t="shared" si="2"/>
        <v>26.450255063997016</v>
      </c>
      <c r="T25" s="8"/>
      <c r="U25" s="6"/>
      <c r="V25" s="6"/>
      <c r="W25" s="6"/>
      <c r="X25" s="6"/>
      <c r="Y25" s="6"/>
      <c r="Z25" s="6"/>
      <c r="AA25" s="6"/>
      <c r="AB25" s="6"/>
      <c r="AC25" s="6"/>
      <c r="AD25" s="6"/>
      <c r="AE25" s="6"/>
    </row>
    <row r="26" spans="1:31" ht="13.5" thickTop="1">
      <c r="A26" s="172"/>
      <c r="B26" s="109"/>
      <c r="C26" s="107"/>
      <c r="D26" s="108"/>
      <c r="E26" s="109"/>
      <c r="F26" s="107"/>
      <c r="G26" s="110"/>
      <c r="H26" s="109"/>
      <c r="I26" s="107"/>
      <c r="J26" s="110"/>
      <c r="K26" s="109"/>
      <c r="L26" s="107"/>
      <c r="M26" s="110"/>
      <c r="N26" s="109"/>
      <c r="O26" s="107"/>
      <c r="P26" s="110"/>
      <c r="Q26" s="109"/>
      <c r="R26" s="107"/>
      <c r="S26" s="110"/>
      <c r="T26" s="9"/>
      <c r="U26" s="6"/>
      <c r="V26" s="6"/>
      <c r="W26" s="6"/>
      <c r="X26" s="6"/>
      <c r="Y26" s="6"/>
      <c r="Z26" s="6"/>
      <c r="AA26" s="6"/>
      <c r="AB26" s="6"/>
      <c r="AC26" s="6"/>
      <c r="AD26" s="6"/>
      <c r="AE26" s="6"/>
    </row>
    <row r="27" spans="1:31">
      <c r="B27" s="57"/>
      <c r="C27" s="57"/>
      <c r="D27" s="57"/>
      <c r="E27" s="57"/>
      <c r="F27" s="57"/>
      <c r="G27" s="57"/>
      <c r="H27" s="57"/>
      <c r="I27" s="57"/>
      <c r="J27" s="57"/>
      <c r="K27" s="57"/>
      <c r="L27" s="57"/>
      <c r="M27" s="57"/>
      <c r="N27" s="57"/>
      <c r="O27" s="57"/>
      <c r="P27" s="57"/>
      <c r="Q27" s="57"/>
      <c r="R27" s="57"/>
      <c r="S27" s="57"/>
    </row>
    <row r="28" spans="1:31" hidden="1">
      <c r="B28" s="57"/>
      <c r="C28" s="57">
        <f>C4+6</f>
        <v>8</v>
      </c>
      <c r="D28" s="57">
        <f>D4+6</f>
        <v>8</v>
      </c>
      <c r="E28" s="57"/>
      <c r="F28" s="57">
        <f>F4+6</f>
        <v>9</v>
      </c>
      <c r="G28" s="57">
        <f>G4+6</f>
        <v>9</v>
      </c>
      <c r="H28" s="57"/>
      <c r="I28" s="57">
        <f>I4+6</f>
        <v>10</v>
      </c>
      <c r="J28" s="57">
        <f>J4+6</f>
        <v>10</v>
      </c>
      <c r="K28" s="57"/>
      <c r="L28" s="57">
        <f>L4+6</f>
        <v>11</v>
      </c>
      <c r="M28" s="57">
        <f>M4+6</f>
        <v>11</v>
      </c>
      <c r="N28" s="57"/>
      <c r="O28" s="57">
        <f>O4+6</f>
        <v>12</v>
      </c>
      <c r="P28" s="57">
        <f>P4+6</f>
        <v>12</v>
      </c>
      <c r="Q28" s="57"/>
      <c r="R28" s="57">
        <f>R4+6</f>
        <v>13</v>
      </c>
      <c r="S28" s="57">
        <f>S4+6</f>
        <v>13</v>
      </c>
    </row>
    <row r="29" spans="1:31">
      <c r="A29" s="104"/>
      <c r="B29" s="683"/>
      <c r="C29" s="683" t="s">
        <v>35</v>
      </c>
      <c r="D29" s="316"/>
      <c r="E29" s="683"/>
      <c r="F29" s="683" t="s">
        <v>36</v>
      </c>
      <c r="G29" s="683"/>
      <c r="H29" s="683"/>
      <c r="I29" s="683" t="s">
        <v>37</v>
      </c>
      <c r="J29" s="683"/>
      <c r="K29" s="683"/>
      <c r="L29" s="683" t="s">
        <v>38</v>
      </c>
      <c r="M29" s="683"/>
      <c r="N29" s="683"/>
      <c r="O29" s="683" t="s">
        <v>39</v>
      </c>
      <c r="P29" s="683"/>
      <c r="Q29" s="683"/>
      <c r="R29" s="683" t="s">
        <v>40</v>
      </c>
      <c r="S29" s="683"/>
      <c r="T29" s="172"/>
      <c r="U29" s="172"/>
    </row>
    <row r="30" spans="1:31" ht="42">
      <c r="A30" s="189" t="s">
        <v>9</v>
      </c>
      <c r="B30" s="212" t="s">
        <v>13</v>
      </c>
      <c r="C30" s="207" t="s">
        <v>11</v>
      </c>
      <c r="D30" s="196" t="s">
        <v>14</v>
      </c>
      <c r="E30" s="212" t="s">
        <v>13</v>
      </c>
      <c r="F30" s="207" t="s">
        <v>11</v>
      </c>
      <c r="G30" s="196" t="s">
        <v>14</v>
      </c>
      <c r="H30" s="212" t="s">
        <v>13</v>
      </c>
      <c r="I30" s="223" t="s">
        <v>41</v>
      </c>
      <c r="J30" s="224" t="s">
        <v>42</v>
      </c>
      <c r="K30" s="212" t="s">
        <v>13</v>
      </c>
      <c r="L30" s="223" t="s">
        <v>41</v>
      </c>
      <c r="M30" s="224" t="s">
        <v>42</v>
      </c>
      <c r="N30" s="212" t="s">
        <v>13</v>
      </c>
      <c r="O30" s="223" t="s">
        <v>41</v>
      </c>
      <c r="P30" s="224" t="s">
        <v>42</v>
      </c>
      <c r="Q30" s="212" t="s">
        <v>13</v>
      </c>
      <c r="R30" s="223" t="s">
        <v>41</v>
      </c>
      <c r="S30" s="224" t="s">
        <v>42</v>
      </c>
      <c r="T30" s="196" t="s">
        <v>16</v>
      </c>
      <c r="V30" s="11"/>
    </row>
    <row r="31" spans="1:31">
      <c r="A31" s="189" t="s">
        <v>17</v>
      </c>
      <c r="B31" s="212"/>
      <c r="C31" s="210"/>
      <c r="D31" s="213"/>
      <c r="E31" s="212"/>
      <c r="F31" s="210"/>
      <c r="G31" s="213"/>
      <c r="H31" s="212"/>
      <c r="I31" s="210"/>
      <c r="J31" s="210"/>
      <c r="K31" s="212"/>
      <c r="L31" s="210"/>
      <c r="M31" s="213"/>
      <c r="N31" s="212"/>
      <c r="O31" s="210"/>
      <c r="P31" s="213"/>
      <c r="Q31" s="212"/>
      <c r="R31" s="210"/>
      <c r="S31" s="213"/>
      <c r="T31" s="214"/>
    </row>
    <row r="32" spans="1:31">
      <c r="A32" s="101" t="s">
        <v>18</v>
      </c>
      <c r="B32" s="144">
        <v>5</v>
      </c>
      <c r="C32" s="519">
        <f>B32*(INDEX('Ex ante LI &amp; Eligibility Stats'!$A:$M,MATCH($A32,'Ex ante LI &amp; Eligibility Stats'!$A:$A,0),MATCH('Program MW '!C$29,'Ex ante LI &amp; Eligibility Stats'!$A$8:$M$8,0))/1000)</f>
        <v>0.72086717987060556</v>
      </c>
      <c r="D32" s="520">
        <f>B32*(INDEX('Ex post LI &amp; Eligibility Stats'!$A:$N,MATCH($A32,'Ex post LI &amp; Eligibility Stats'!$A:$A,0),MATCH('Program MW '!C$29,'Ex post LI &amp; Eligibility Stats'!$A$8:$N$8,0))/1000)</f>
        <v>1.8946270948648452</v>
      </c>
      <c r="E32" s="141">
        <v>5</v>
      </c>
      <c r="F32" s="515">
        <f>E32*(INDEX('Ex ante LI &amp; Eligibility Stats'!$A:$M,MATCH($A32,'Ex ante LI &amp; Eligibility Stats'!$A:$A,0),MATCH('Program MW '!F$29,'Ex ante LI &amp; Eligibility Stats'!$A$8:$M$8,0))/1000)</f>
        <v>0.71795072937011717</v>
      </c>
      <c r="G32" s="515">
        <f>E32*(INDEX('Ex post LI &amp; Eligibility Stats'!$A:$N,MATCH($A32,'Ex post LI &amp; Eligibility Stats'!$A:$A,0),MATCH('Program MW '!F$29,'Ex post LI &amp; Eligibility Stats'!$A$8:$N$8,0))/1000)</f>
        <v>1.8946270948648452</v>
      </c>
      <c r="H32" s="141">
        <v>0</v>
      </c>
      <c r="I32" s="520">
        <f>H32*(INDEX('Ex ante LI &amp; Eligibility Stats'!$A:$M,MATCH($A32,'Ex ante LI &amp; Eligibility Stats'!$A:$A,0),MATCH('Program MW '!I$29,'Ex ante LI &amp; Eligibility Stats'!$A$8:$M$8,0))/1000)</f>
        <v>0</v>
      </c>
      <c r="J32" s="520">
        <f>H32*(INDEX('Ex post LI &amp; Eligibility Stats'!$A:$N,MATCH($A32,'Ex post LI &amp; Eligibility Stats'!$A:$A,0),MATCH('Program MW '!I$29,'Ex post LI &amp; Eligibility Stats'!$A$8:$N$8,0))/1000)</f>
        <v>0</v>
      </c>
      <c r="K32" s="143">
        <v>0</v>
      </c>
      <c r="L32" s="515">
        <f>K32*(INDEX('Ex ante LI &amp; Eligibility Stats'!$A:$M,MATCH($A32,'Ex ante LI &amp; Eligibility Stats'!$A:$A,0),MATCH('Program MW '!L$29,'Ex ante LI &amp; Eligibility Stats'!$A$8:$M$8,0))/1000)</f>
        <v>0</v>
      </c>
      <c r="M32" s="515">
        <f>K32*(INDEX('Ex post LI &amp; Eligibility Stats'!$A:$N,MATCH($A32,'Ex post LI &amp; Eligibility Stats'!$A:$A,0),MATCH('Program MW '!L$29,'Ex post LI &amp; Eligibility Stats'!$A$8:$N$8,0))/1000)</f>
        <v>0</v>
      </c>
      <c r="N32" s="141">
        <v>0</v>
      </c>
      <c r="O32" s="515">
        <f>N32*(INDEX('Ex ante LI &amp; Eligibility Stats'!$A:$M,MATCH($A32,'Ex ante LI &amp; Eligibility Stats'!$A:$A,0),MATCH('Program MW '!O$29,'Ex ante LI &amp; Eligibility Stats'!$A$8:$M$8,0))/1000)</f>
        <v>0</v>
      </c>
      <c r="P32" s="515">
        <f>N32*(INDEX('Ex post LI &amp; Eligibility Stats'!$A:$N,MATCH($A32,'Ex post LI &amp; Eligibility Stats'!$A:$A,0),MATCH('Program MW '!O$29,'Ex post LI &amp; Eligibility Stats'!$A$8:$N$8,0))/1000)</f>
        <v>0</v>
      </c>
      <c r="Q32" s="141">
        <v>0</v>
      </c>
      <c r="R32" s="515">
        <f>Q32*(INDEX('Ex ante LI &amp; Eligibility Stats'!$A:$M,MATCH($A32,'Ex ante LI &amp; Eligibility Stats'!$A:$A,0),MATCH('Program MW '!R$29,'Ex ante LI &amp; Eligibility Stats'!$A$8:$M$8,0))/1000)</f>
        <v>0</v>
      </c>
      <c r="S32" s="516">
        <f>Q32*(INDEX('Ex post LI &amp; Eligibility Stats'!$A:$N,MATCH($A32,'Ex post LI &amp; Eligibility Stats'!$A:$A,0),MATCH('Program MW '!R$29,'Ex post LI &amp; Eligibility Stats'!$A$8:$N$8,0))/1000)</f>
        <v>0</v>
      </c>
      <c r="T32" s="4">
        <v>5276</v>
      </c>
    </row>
    <row r="33" spans="1:31" ht="13.5" thickBot="1">
      <c r="A33" s="215" t="s">
        <v>19</v>
      </c>
      <c r="B33" s="182">
        <f t="shared" ref="B33:K33" si="3">SUM(B32:B32)</f>
        <v>5</v>
      </c>
      <c r="C33" s="325">
        <f t="shared" si="3"/>
        <v>0.72086717987060556</v>
      </c>
      <c r="D33" s="326">
        <f t="shared" si="3"/>
        <v>1.8946270948648452</v>
      </c>
      <c r="E33" s="142">
        <f t="shared" si="3"/>
        <v>5</v>
      </c>
      <c r="F33" s="334">
        <f t="shared" si="3"/>
        <v>0.71795072937011717</v>
      </c>
      <c r="G33" s="335">
        <f t="shared" si="3"/>
        <v>1.8946270948648452</v>
      </c>
      <c r="H33" s="142">
        <f t="shared" si="3"/>
        <v>0</v>
      </c>
      <c r="I33" s="325">
        <f t="shared" si="3"/>
        <v>0</v>
      </c>
      <c r="J33" s="326">
        <f t="shared" si="3"/>
        <v>0</v>
      </c>
      <c r="K33" s="142">
        <f t="shared" si="3"/>
        <v>0</v>
      </c>
      <c r="L33" s="325">
        <f t="shared" ref="L33:S33" si="4">SUM(L32:L32)</f>
        <v>0</v>
      </c>
      <c r="M33" s="326">
        <f t="shared" si="4"/>
        <v>0</v>
      </c>
      <c r="N33" s="142">
        <f t="shared" si="4"/>
        <v>0</v>
      </c>
      <c r="O33" s="325">
        <f>SUM(O32:O32)</f>
        <v>0</v>
      </c>
      <c r="P33" s="326">
        <f t="shared" si="4"/>
        <v>0</v>
      </c>
      <c r="Q33" s="142">
        <f t="shared" si="4"/>
        <v>0</v>
      </c>
      <c r="R33" s="325">
        <f t="shared" si="4"/>
        <v>0</v>
      </c>
      <c r="S33" s="326">
        <f t="shared" si="4"/>
        <v>0</v>
      </c>
      <c r="T33" s="5"/>
    </row>
    <row r="34" spans="1:31" ht="13.5" thickTop="1">
      <c r="A34" s="189" t="s">
        <v>20</v>
      </c>
      <c r="B34" s="220"/>
      <c r="C34" s="219"/>
      <c r="D34" s="218"/>
      <c r="E34" s="220"/>
      <c r="F34" s="219"/>
      <c r="G34" s="218"/>
      <c r="H34" s="220"/>
      <c r="I34" s="219"/>
      <c r="J34" s="218"/>
      <c r="K34" s="220"/>
      <c r="L34" s="219"/>
      <c r="M34" s="218"/>
      <c r="N34" s="220"/>
      <c r="O34" s="219"/>
      <c r="P34" s="218"/>
      <c r="Q34" s="220"/>
      <c r="R34" s="219"/>
      <c r="S34" s="221"/>
      <c r="T34" s="214"/>
    </row>
    <row r="35" spans="1:31">
      <c r="A35" s="58" t="s">
        <v>21</v>
      </c>
      <c r="B35" s="141">
        <v>14663</v>
      </c>
      <c r="C35" s="515">
        <f>B35*(INDEX('Ex ante LI &amp; Eligibility Stats'!$A:$M,MATCH($A35,'Ex ante LI &amp; Eligibility Stats'!$A:$A,0),MATCH('Program MW '!C$29,'Ex ante LI &amp; Eligibility Stats'!$A$8:$M$8,0))/1000)</f>
        <v>3.8460097489190295</v>
      </c>
      <c r="D35" s="515">
        <f>B35*(INDEX('Ex post LI &amp; Eligibility Stats'!$A:$N,MATCH($A35,'Ex post LI &amp; Eligibility Stats'!$A:$A,0),MATCH('Program MW '!C$29,'Ex post LI &amp; Eligibility Stats'!$A$8:$N$8,0))/1000)</f>
        <v>9.1822874918737796</v>
      </c>
      <c r="E35" s="141">
        <v>14663</v>
      </c>
      <c r="F35" s="521">
        <f>E35*(INDEX('Ex ante LI &amp; Eligibility Stats'!$A:$M,MATCH($A35,'Ex ante LI &amp; Eligibility Stats'!$A:$A,0),MATCH('Program MW '!F$29,'Ex ante LI &amp; Eligibility Stats'!$A$8:$M$8,0))/1000)</f>
        <v>3.8002462313992016</v>
      </c>
      <c r="G35" s="521">
        <f>E35*(INDEX('Ex post LI &amp; Eligibility Stats'!$A:$N,MATCH($A35,'Ex post LI &amp; Eligibility Stats'!$A:$A,0),MATCH('Program MW '!F$29,'Ex post LI &amp; Eligibility Stats'!$A$8:$N$8,0))/1000)</f>
        <v>9.1822874918737796</v>
      </c>
      <c r="H35" s="141">
        <v>0</v>
      </c>
      <c r="I35" s="521">
        <f>H35*(INDEX('Ex ante LI &amp; Eligibility Stats'!$A:$M,MATCH($A35,'Ex ante LI &amp; Eligibility Stats'!$A:$A,0),MATCH('Program MW '!I$29,'Ex ante LI &amp; Eligibility Stats'!$A$8:$M$8,0))/1000)</f>
        <v>0</v>
      </c>
      <c r="J35" s="515">
        <f>H35*(INDEX('Ex post LI &amp; Eligibility Stats'!$A:$N,MATCH($A35,'Ex post LI &amp; Eligibility Stats'!$A:$A,0),MATCH('Program MW '!I$29,'Ex post LI &amp; Eligibility Stats'!$A$8:$N$8,0))/1000)</f>
        <v>0</v>
      </c>
      <c r="K35" s="141">
        <v>0</v>
      </c>
      <c r="L35" s="521">
        <f>K35*(INDEX('Ex ante LI &amp; Eligibility Stats'!$A:$M,MATCH($A35,'Ex ante LI &amp; Eligibility Stats'!$A:$A,0),MATCH('Program MW '!L$29,'Ex ante LI &amp; Eligibility Stats'!$A$8:$M$8,0))/1000)</f>
        <v>0</v>
      </c>
      <c r="M35" s="515">
        <f>K35*(INDEX('Ex post LI &amp; Eligibility Stats'!$A:$N,MATCH($A35,'Ex post LI &amp; Eligibility Stats'!$A:$A,0),MATCH('Program MW '!L$29,'Ex post LI &amp; Eligibility Stats'!$A$8:$N$8,0))/1000)</f>
        <v>0</v>
      </c>
      <c r="N35" s="141">
        <v>0</v>
      </c>
      <c r="O35" s="515">
        <f>N35*(INDEX('Ex ante LI &amp; Eligibility Stats'!$A:$M,MATCH($A35,'Ex ante LI &amp; Eligibility Stats'!$A:$A,0),MATCH('Program MW '!O$29,'Ex ante LI &amp; Eligibility Stats'!$A$8:$M$8,0))/1000)</f>
        <v>0</v>
      </c>
      <c r="P35" s="514">
        <f>N35*(INDEX('Ex post LI &amp; Eligibility Stats'!$A:$N,MATCH($A35,'Ex post LI &amp; Eligibility Stats'!$A:$A,0),MATCH('Program MW '!O$29,'Ex post LI &amp; Eligibility Stats'!$A$8:$N$8,0))/1000)</f>
        <v>0</v>
      </c>
      <c r="Q35" s="141">
        <v>0</v>
      </c>
      <c r="R35" s="515">
        <f>Q35*(INDEX('Ex ante LI &amp; Eligibility Stats'!$A:$M,MATCH($A35,'Ex ante LI &amp; Eligibility Stats'!$A:$A,0),MATCH('Program MW '!R$29,'Ex ante LI &amp; Eligibility Stats'!$A$8:$M$8,0))/1000)</f>
        <v>0</v>
      </c>
      <c r="S35" s="516">
        <f>Q35*(INDEX('Ex post LI &amp; Eligibility Stats'!$A:$N,MATCH($A35,'Ex post LI &amp; Eligibility Stats'!$A:$A,0),MATCH('Program MW '!R$29,'Ex post LI &amp; Eligibility Stats'!$A$8:$N$8,0))/1000)</f>
        <v>0</v>
      </c>
      <c r="T35" s="7">
        <v>138123</v>
      </c>
    </row>
    <row r="36" spans="1:31">
      <c r="A36" s="58" t="s">
        <v>22</v>
      </c>
      <c r="B36" s="141">
        <v>0</v>
      </c>
      <c r="C36" s="515">
        <v>0</v>
      </c>
      <c r="D36" s="516">
        <v>0</v>
      </c>
      <c r="E36" s="141">
        <v>0</v>
      </c>
      <c r="F36" s="521">
        <v>0</v>
      </c>
      <c r="G36" s="522">
        <v>0</v>
      </c>
      <c r="H36" s="141">
        <v>0</v>
      </c>
      <c r="I36" s="515">
        <v>0</v>
      </c>
      <c r="J36" s="516">
        <v>0</v>
      </c>
      <c r="K36" s="141">
        <v>0</v>
      </c>
      <c r="L36" s="515">
        <v>0</v>
      </c>
      <c r="M36" s="516">
        <v>0</v>
      </c>
      <c r="N36" s="141">
        <v>0</v>
      </c>
      <c r="O36" s="515">
        <v>0</v>
      </c>
      <c r="P36" s="516">
        <v>0</v>
      </c>
      <c r="Q36" s="141">
        <v>0</v>
      </c>
      <c r="R36" s="515">
        <v>0</v>
      </c>
      <c r="S36" s="516">
        <v>0</v>
      </c>
      <c r="T36" s="4"/>
    </row>
    <row r="37" spans="1:31">
      <c r="A37" s="58" t="str">
        <f>A14</f>
        <v>Over Generation Pilot</v>
      </c>
      <c r="B37" s="141">
        <v>1</v>
      </c>
      <c r="C37" s="515">
        <v>0</v>
      </c>
      <c r="D37" s="516">
        <v>0</v>
      </c>
      <c r="E37" s="141">
        <v>1</v>
      </c>
      <c r="F37" s="521">
        <v>0</v>
      </c>
      <c r="G37" s="522">
        <v>0</v>
      </c>
      <c r="H37" s="141">
        <v>0</v>
      </c>
      <c r="I37" s="515">
        <v>0</v>
      </c>
      <c r="J37" s="516">
        <v>0</v>
      </c>
      <c r="K37" s="141">
        <v>0</v>
      </c>
      <c r="L37" s="515">
        <v>0</v>
      </c>
      <c r="M37" s="516">
        <v>0</v>
      </c>
      <c r="N37" s="141">
        <v>0</v>
      </c>
      <c r="O37" s="515">
        <v>0</v>
      </c>
      <c r="P37" s="516">
        <v>0</v>
      </c>
      <c r="Q37" s="141">
        <v>0</v>
      </c>
      <c r="R37" s="515">
        <v>0</v>
      </c>
      <c r="S37" s="516">
        <v>0</v>
      </c>
      <c r="T37" s="4"/>
    </row>
    <row r="38" spans="1:31">
      <c r="A38" s="240" t="str">
        <f>A15</f>
        <v>Small Business Energy Management Pilot</v>
      </c>
      <c r="B38" s="141">
        <v>0</v>
      </c>
      <c r="C38" s="515">
        <v>0</v>
      </c>
      <c r="D38" s="516">
        <v>0</v>
      </c>
      <c r="E38" s="141">
        <v>0</v>
      </c>
      <c r="F38" s="515">
        <v>0</v>
      </c>
      <c r="G38" s="516">
        <v>0</v>
      </c>
      <c r="H38" s="141">
        <v>0</v>
      </c>
      <c r="I38" s="515">
        <v>0</v>
      </c>
      <c r="J38" s="516">
        <v>0</v>
      </c>
      <c r="K38" s="141">
        <v>0</v>
      </c>
      <c r="L38" s="515">
        <v>0</v>
      </c>
      <c r="M38" s="516">
        <v>0</v>
      </c>
      <c r="N38" s="141">
        <v>0</v>
      </c>
      <c r="O38" s="515">
        <v>0</v>
      </c>
      <c r="P38" s="515">
        <v>0</v>
      </c>
      <c r="Q38" s="141">
        <v>0</v>
      </c>
      <c r="R38" s="521">
        <v>0</v>
      </c>
      <c r="S38" s="516">
        <v>0</v>
      </c>
      <c r="T38" s="4"/>
      <c r="U38" s="6"/>
      <c r="V38" s="6"/>
      <c r="W38" s="6"/>
      <c r="X38" s="6"/>
      <c r="Y38" s="6"/>
      <c r="Z38" s="6"/>
      <c r="AA38" s="6"/>
      <c r="AB38" s="6"/>
      <c r="AC38" s="6"/>
      <c r="AD38" s="6"/>
      <c r="AE38" s="6"/>
    </row>
    <row r="39" spans="1:31">
      <c r="A39" s="352" t="s">
        <v>25</v>
      </c>
      <c r="B39" s="141">
        <v>18496</v>
      </c>
      <c r="C39" s="515">
        <f>B39*(INDEX('Ex ante LI &amp; Eligibility Stats'!$A:$M,MATCH($A39,'Ex ante LI &amp; Eligibility Stats'!$A:$A,0),MATCH('Program MW '!C$29,'Ex ante LI &amp; Eligibility Stats'!$A$8:$M$8,0))/1000)</f>
        <v>3.1148819710599231</v>
      </c>
      <c r="D39" s="515">
        <f>B39*(INDEX('Ex post LI &amp; Eligibility Stats'!$A:$N,MATCH($A39,'Ex post LI &amp; Eligibility Stats'!$A:$A,0),MATCH('Program MW '!C$29,'Ex post LI &amp; Eligibility Stats'!$A$8:$N$8,0))/1000)</f>
        <v>2.9883398633198111</v>
      </c>
      <c r="E39" s="141">
        <v>18589</v>
      </c>
      <c r="F39" s="521">
        <f>E39*(INDEX('Ex ante LI &amp; Eligibility Stats'!$A:$M,MATCH($A39,'Ex ante LI &amp; Eligibility Stats'!$A:$A,0),MATCH('Program MW '!F$29,'Ex ante LI &amp; Eligibility Stats'!$A$8:$M$8,0))/1000)</f>
        <v>3.3159180381537614</v>
      </c>
      <c r="G39" s="521">
        <f>E39*(INDEX('Ex post LI &amp; Eligibility Stats'!$A:$N,MATCH($A39,'Ex post LI &amp; Eligibility Stats'!$A:$A,0),MATCH('Program MW '!F$29,'Ex post LI &amp; Eligibility Stats'!$A$8:$N$8,0))/1000)</f>
        <v>3.0033655773817025</v>
      </c>
      <c r="H39" s="141">
        <v>0</v>
      </c>
      <c r="I39" s="515">
        <f>H39*(INDEX('Ex ante LI &amp; Eligibility Stats'!$A:$M,MATCH($A39,'Ex ante LI &amp; Eligibility Stats'!$A:$A,0),MATCH('Program MW '!I$29,'Ex ante LI &amp; Eligibility Stats'!$A$8:$M$8,0))/1000)</f>
        <v>0</v>
      </c>
      <c r="J39" s="515">
        <f>H39*(INDEX('Ex post LI &amp; Eligibility Stats'!$A:$N,MATCH($A39,'Ex post LI &amp; Eligibility Stats'!$A:$A,0),MATCH('Program MW '!I$29,'Ex post LI &amp; Eligibility Stats'!$A$8:$N$8,0))/1000)</f>
        <v>0</v>
      </c>
      <c r="K39" s="141">
        <v>0</v>
      </c>
      <c r="L39" s="515">
        <f>K39*(INDEX('Ex ante LI &amp; Eligibility Stats'!$A:$M,MATCH($A39,'Ex ante LI &amp; Eligibility Stats'!$A:$A,0),MATCH('Program MW '!L$29,'Ex ante LI &amp; Eligibility Stats'!$A$8:$M$8,0))/1000)</f>
        <v>0</v>
      </c>
      <c r="M39" s="515">
        <f>K39*(INDEX('Ex post LI &amp; Eligibility Stats'!$A:$N,MATCH($A39,'Ex post LI &amp; Eligibility Stats'!$A:$A,0),MATCH('Program MW '!L$29,'Ex post LI &amp; Eligibility Stats'!$A$8:$N$8,0))/1000)</f>
        <v>0</v>
      </c>
      <c r="N39" s="141">
        <v>0</v>
      </c>
      <c r="O39" s="515">
        <f>N39*(INDEX('Ex ante LI &amp; Eligibility Stats'!$A:$M,MATCH($A39,'Ex ante LI &amp; Eligibility Stats'!$A:$A,0),MATCH('Program MW '!O$29,'Ex ante LI &amp; Eligibility Stats'!$A$8:$M$8,0))/1000)</f>
        <v>0</v>
      </c>
      <c r="P39" s="516">
        <f>N39*(INDEX('Ex post LI &amp; Eligibility Stats'!$A:$N,MATCH($A39,'Ex post LI &amp; Eligibility Stats'!$A:$A,0),MATCH('Program MW '!O$29,'Ex post LI &amp; Eligibility Stats'!$A$8:$N$8,0))/1000)</f>
        <v>0</v>
      </c>
      <c r="Q39" s="141">
        <v>0</v>
      </c>
      <c r="R39" s="515">
        <f>Q39*(INDEX('Ex ante LI &amp; Eligibility Stats'!$A:$M,MATCH($A39,'Ex ante LI &amp; Eligibility Stats'!$A:$A,0),MATCH('Program MW '!R$29,'Ex ante LI &amp; Eligibility Stats'!$A$8:$M$8,0))/1000)</f>
        <v>0</v>
      </c>
      <c r="S39" s="516">
        <f>Q39*(INDEX('Ex post LI &amp; Eligibility Stats'!$A:$N,MATCH($A39,'Ex post LI &amp; Eligibility Stats'!$A:$A,0),MATCH('Program MW '!R$29,'Ex post LI &amp; Eligibility Stats'!$A$8:$N$8,0))/1000)</f>
        <v>0</v>
      </c>
      <c r="T39" s="4">
        <v>663393.5</v>
      </c>
    </row>
    <row r="40" spans="1:31">
      <c r="A40" s="352" t="s">
        <v>26</v>
      </c>
      <c r="B40" s="141">
        <v>1589</v>
      </c>
      <c r="C40" s="515">
        <f>B40*(INDEX('Ex ante LI &amp; Eligibility Stats'!$A:$M,MATCH($A40,'Ex ante LI &amp; Eligibility Stats'!$A:$A,0),MATCH('Program MW '!C$29,'Ex ante LI &amp; Eligibility Stats'!$A$8:$M$8,0))/1000)</f>
        <v>0.80974281091409617</v>
      </c>
      <c r="D40" s="515">
        <f>B40*(INDEX('Ex post LI &amp; Eligibility Stats'!$A:$N,MATCH($A40,'Ex post LI &amp; Eligibility Stats'!$A:$A,0),MATCH('Program MW '!C$29,'Ex post LI &amp; Eligibility Stats'!$A$8:$N$8,0))/1000)</f>
        <v>0.75284660414118876</v>
      </c>
      <c r="E40" s="141">
        <v>1594</v>
      </c>
      <c r="F40" s="521">
        <f>E40*(INDEX('Ex ante LI &amp; Eligibility Stats'!$A:$M,MATCH($A40,'Ex ante LI &amp; Eligibility Stats'!$A:$A,0),MATCH('Program MW '!F$29,'Ex ante LI &amp; Eligibility Stats'!$A$8:$M$8,0))/1000)</f>
        <v>1.1071306865150343</v>
      </c>
      <c r="G40" s="521">
        <f>E40*(INDEX('Ex post LI &amp; Eligibility Stats'!$A:$N,MATCH($A40,'Ex post LI &amp; Eligibility Stats'!$A:$A,0),MATCH('Program MW '!F$29,'Ex post LI &amp; Eligibility Stats'!$A$8:$N$8,0))/1000)</f>
        <v>0.75521553618694459</v>
      </c>
      <c r="H40" s="141">
        <v>0</v>
      </c>
      <c r="I40" s="515">
        <f>H40*(INDEX('Ex ante LI &amp; Eligibility Stats'!$A:$M,MATCH($A40,'Ex ante LI &amp; Eligibility Stats'!$A:$A,0),MATCH('Program MW '!I$29,'Ex ante LI &amp; Eligibility Stats'!$A$8:$M$8,0))/1000)</f>
        <v>0</v>
      </c>
      <c r="J40" s="515">
        <f>H40*(INDEX('Ex post LI &amp; Eligibility Stats'!$A:$N,MATCH($A40,'Ex post LI &amp; Eligibility Stats'!$A:$A,0),MATCH('Program MW '!I$29,'Ex post LI &amp; Eligibility Stats'!$A$8:$N$8,0))/1000)</f>
        <v>0</v>
      </c>
      <c r="K40" s="141">
        <v>0</v>
      </c>
      <c r="L40" s="515">
        <f>K40*(INDEX('Ex ante LI &amp; Eligibility Stats'!$A:$M,MATCH($A40,'Ex ante LI &amp; Eligibility Stats'!$A:$A,0),MATCH('Program MW '!L$29,'Ex ante LI &amp; Eligibility Stats'!$A$8:$M$8,0))/1000)</f>
        <v>0</v>
      </c>
      <c r="M40" s="515">
        <f>K40*(INDEX('Ex post LI &amp; Eligibility Stats'!$A:$N,MATCH($A40,'Ex post LI &amp; Eligibility Stats'!$A:$A,0),MATCH('Program MW '!L$29,'Ex post LI &amp; Eligibility Stats'!$A$8:$N$8,0))/1000)</f>
        <v>0</v>
      </c>
      <c r="N40" s="141">
        <v>0</v>
      </c>
      <c r="O40" s="515">
        <f>N40*(INDEX('Ex ante LI &amp; Eligibility Stats'!$A:$M,MATCH($A40,'Ex ante LI &amp; Eligibility Stats'!$A:$A,0),MATCH('Program MW '!O$29,'Ex ante LI &amp; Eligibility Stats'!$A$8:$M$8,0))/1000)</f>
        <v>0</v>
      </c>
      <c r="P40" s="516">
        <f>N40*(INDEX('Ex post LI &amp; Eligibility Stats'!$A:$N,MATCH($A40,'Ex post LI &amp; Eligibility Stats'!$A:$A,0),MATCH('Program MW '!O$29,'Ex post LI &amp; Eligibility Stats'!$A$8:$N$8,0))/1000)</f>
        <v>0</v>
      </c>
      <c r="Q40" s="141">
        <v>0</v>
      </c>
      <c r="R40" s="515">
        <f>Q40*(INDEX('Ex ante LI &amp; Eligibility Stats'!$A:$M,MATCH($A40,'Ex ante LI &amp; Eligibility Stats'!$A:$A,0),MATCH('Program MW '!R$29,'Ex ante LI &amp; Eligibility Stats'!$A$8:$M$8,0))/1000)</f>
        <v>0</v>
      </c>
      <c r="S40" s="516">
        <f>Q40*(INDEX('Ex post LI &amp; Eligibility Stats'!$A:$N,MATCH($A40,'Ex post LI &amp; Eligibility Stats'!$A:$A,0),MATCH('Program MW '!R$29,'Ex post LI &amp; Eligibility Stats'!$A$8:$N$8,0))/1000)</f>
        <v>0</v>
      </c>
      <c r="T40" s="4"/>
    </row>
    <row r="41" spans="1:31">
      <c r="A41" s="352" t="s">
        <v>27</v>
      </c>
      <c r="B41" s="141">
        <v>9410</v>
      </c>
      <c r="C41" s="515">
        <f>B41*(INDEX('Ex ante LI &amp; Eligibility Stats'!$A:$M,MATCH($A41,'Ex ante LI &amp; Eligibility Stats'!$A:$A,0),MATCH('Program MW '!C$29,'Ex ante LI &amp; Eligibility Stats'!$A$8:$M$8,0))/1000)</f>
        <v>2.456235388320001</v>
      </c>
      <c r="D41" s="515">
        <f>B41*(INDEX('Ex post LI &amp; Eligibility Stats'!$A:$N,MATCH($A41,'Ex post LI &amp; Eligibility Stats'!$A:$A,0),MATCH('Program MW '!C$29,'Ex post LI &amp; Eligibility Stats'!$A$8:$N$8,0))/1000)</f>
        <v>2.3212724444999999</v>
      </c>
      <c r="E41" s="141">
        <v>9151</v>
      </c>
      <c r="F41" s="521">
        <f>E41*(INDEX('Ex ante LI &amp; Eligibility Stats'!$A:$M,MATCH($A41,'Ex ante LI &amp; Eligibility Stats'!$A:$A,0),MATCH('Program MW '!F$29,'Ex ante LI &amp; Eligibility Stats'!$A$8:$M$8,0))/1000)</f>
        <v>3.5481516926659999</v>
      </c>
      <c r="G41" s="521">
        <f>E41*(INDEX('Ex post LI &amp; Eligibility Stats'!$A:$N,MATCH($A41,'Ex post LI &amp; Eligibility Stats'!$A:$A,0),MATCH('Program MW '!F$29,'Ex post LI &amp; Eligibility Stats'!$A$8:$N$8,0))/1000)</f>
        <v>2.25738194895</v>
      </c>
      <c r="H41" s="141">
        <v>0</v>
      </c>
      <c r="I41" s="521">
        <f>H41*(INDEX('Ex ante LI &amp; Eligibility Stats'!$A:$M,MATCH($A41,'Ex ante LI &amp; Eligibility Stats'!$A:$A,0),MATCH('Program MW '!I$29,'Ex ante LI &amp; Eligibility Stats'!$A$8:$M$8,0))/1000)</f>
        <v>0</v>
      </c>
      <c r="J41" s="515">
        <f>H41*(INDEX('Ex post LI &amp; Eligibility Stats'!$A:$N,MATCH($A41,'Ex post LI &amp; Eligibility Stats'!$A:$A,0),MATCH('Program MW '!I$29,'Ex post LI &amp; Eligibility Stats'!$A$8:$N$8,0))/1000)</f>
        <v>0</v>
      </c>
      <c r="K41" s="141">
        <v>0</v>
      </c>
      <c r="L41" s="515">
        <f>K41*(INDEX('Ex ante LI &amp; Eligibility Stats'!$A:$M,MATCH($A41,'Ex ante LI &amp; Eligibility Stats'!$A:$A,0),MATCH('Program MW '!L$29,'Ex ante LI &amp; Eligibility Stats'!$A$8:$M$8,0))/1000)</f>
        <v>0</v>
      </c>
      <c r="M41" s="515">
        <f>K41*(INDEX('Ex post LI &amp; Eligibility Stats'!$A:$N,MATCH($A41,'Ex post LI &amp; Eligibility Stats'!$A:$A,0),MATCH('Program MW '!L$29,'Ex post LI &amp; Eligibility Stats'!$A$8:$N$8,0))/1000)</f>
        <v>0</v>
      </c>
      <c r="N41" s="141">
        <v>0</v>
      </c>
      <c r="O41" s="515">
        <f>N41*(INDEX('Ex ante LI &amp; Eligibility Stats'!$A:$M,MATCH($A41,'Ex ante LI &amp; Eligibility Stats'!$A:$A,0),MATCH('Program MW '!O$29,'Ex ante LI &amp; Eligibility Stats'!$A$8:$M$8,0))/1000)</f>
        <v>0</v>
      </c>
      <c r="P41" s="516">
        <f>N41*(INDEX('Ex post LI &amp; Eligibility Stats'!$A:$N,MATCH($A41,'Ex post LI &amp; Eligibility Stats'!$A:$A,0),MATCH('Program MW '!O$29,'Ex post LI &amp; Eligibility Stats'!$A$8:$N$8,0))/1000)</f>
        <v>0</v>
      </c>
      <c r="Q41" s="141">
        <v>0</v>
      </c>
      <c r="R41" s="515">
        <f>Q41*(INDEX('Ex ante LI &amp; Eligibility Stats'!$A:$M,MATCH($A41,'Ex ante LI &amp; Eligibility Stats'!$A:$A,0),MATCH('Program MW '!R$29,'Ex ante LI &amp; Eligibility Stats'!$A$8:$M$8,0))/1000)</f>
        <v>0</v>
      </c>
      <c r="S41" s="516">
        <f>Q41*(INDEX('Ex post LI &amp; Eligibility Stats'!$A:$N,MATCH($A41,'Ex post LI &amp; Eligibility Stats'!$A:$A,0),MATCH('Program MW '!R$29,'Ex post LI &amp; Eligibility Stats'!$A$8:$N$8,0))/1000)</f>
        <v>0</v>
      </c>
      <c r="T41" s="4">
        <v>157189</v>
      </c>
    </row>
    <row r="42" spans="1:31">
      <c r="A42" s="352" t="s">
        <v>28</v>
      </c>
      <c r="B42" s="141">
        <v>3467</v>
      </c>
      <c r="C42" s="515">
        <f>B42*(INDEX('Ex ante LI &amp; Eligibility Stats'!$A:$M,MATCH($A42,'Ex ante LI &amp; Eligibility Stats'!$A:$A,0),MATCH('Program MW '!C$29,'Ex ante LI &amp; Eligibility Stats'!$A$8:$M$8,0))/1000)</f>
        <v>0.70711409293599981</v>
      </c>
      <c r="D42" s="515">
        <f>B42*(INDEX('Ex post LI &amp; Eligibility Stats'!$A:$N,MATCH($A42,'Ex post LI &amp; Eligibility Stats'!$A:$A,0),MATCH('Program MW '!C$29,'Ex post LI &amp; Eligibility Stats'!$A$8:$N$8,0))/1000)</f>
        <v>0.41211587605000005</v>
      </c>
      <c r="E42" s="141">
        <v>3438</v>
      </c>
      <c r="F42" s="521">
        <f>E42*(INDEX('Ex ante LI &amp; Eligibility Stats'!$A:$M,MATCH($A42,'Ex ante LI &amp; Eligibility Stats'!$A:$A,0),MATCH('Program MW '!F$29,'Ex ante LI &amp; Eligibility Stats'!$A$8:$M$8,0))/1000)</f>
        <v>0.85267887735600012</v>
      </c>
      <c r="G42" s="521">
        <f>E42*(INDEX('Ex post LI &amp; Eligibility Stats'!$A:$N,MATCH($A42,'Ex post LI &amp; Eligibility Stats'!$A:$A,0),MATCH('Program MW '!F$29,'Ex post LI &amp; Eligibility Stats'!$A$8:$N$8,0))/1000)</f>
        <v>0.40866869970000003</v>
      </c>
      <c r="H42" s="141">
        <v>0</v>
      </c>
      <c r="I42" s="515">
        <f>H42*(INDEX('Ex ante LI &amp; Eligibility Stats'!$A:$M,MATCH($A42,'Ex ante LI &amp; Eligibility Stats'!$A:$A,0),MATCH('Program MW '!I$29,'Ex ante LI &amp; Eligibility Stats'!$A$8:$M$8,0))/1000)</f>
        <v>0</v>
      </c>
      <c r="J42" s="515">
        <f>H42*(INDEX('Ex post LI &amp; Eligibility Stats'!$A:$N,MATCH($A42,'Ex post LI &amp; Eligibility Stats'!$A:$A,0),MATCH('Program MW '!I$29,'Ex post LI &amp; Eligibility Stats'!$A$8:$N$8,0))/1000)</f>
        <v>0</v>
      </c>
      <c r="K42" s="141">
        <v>0</v>
      </c>
      <c r="L42" s="515">
        <f>K42*(INDEX('Ex ante LI &amp; Eligibility Stats'!$A:$M,MATCH($A42,'Ex ante LI &amp; Eligibility Stats'!$A:$A,0),MATCH('Program MW '!L$29,'Ex ante LI &amp; Eligibility Stats'!$A$8:$M$8,0))/1000)</f>
        <v>0</v>
      </c>
      <c r="M42" s="515">
        <f>K42*(INDEX('Ex post LI &amp; Eligibility Stats'!$A:$N,MATCH($A42,'Ex post LI &amp; Eligibility Stats'!$A:$A,0),MATCH('Program MW '!L$29,'Ex post LI &amp; Eligibility Stats'!$A$8:$N$8,0))/1000)</f>
        <v>0</v>
      </c>
      <c r="N42" s="141">
        <v>0</v>
      </c>
      <c r="O42" s="515">
        <f>N42*(INDEX('Ex ante LI &amp; Eligibility Stats'!$A:$M,MATCH($A42,'Ex ante LI &amp; Eligibility Stats'!$A:$A,0),MATCH('Program MW '!O$29,'Ex ante LI &amp; Eligibility Stats'!$A$8:$M$8,0))/1000)</f>
        <v>0</v>
      </c>
      <c r="P42" s="516">
        <f>N42*(INDEX('Ex post LI &amp; Eligibility Stats'!$A:$N,MATCH($A42,'Ex post LI &amp; Eligibility Stats'!$A:$A,0),MATCH('Program MW '!O$29,'Ex post LI &amp; Eligibility Stats'!$A$8:$N$8,0))/1000)</f>
        <v>0</v>
      </c>
      <c r="Q42" s="141">
        <v>0</v>
      </c>
      <c r="R42" s="515">
        <f>Q42*(INDEX('Ex ante LI &amp; Eligibility Stats'!$A:$M,MATCH($A42,'Ex ante LI &amp; Eligibility Stats'!$A:$A,0),MATCH('Program MW '!R$29,'Ex ante LI &amp; Eligibility Stats'!$A$8:$M$8,0))/1000)</f>
        <v>0</v>
      </c>
      <c r="S42" s="516">
        <f>Q42*(INDEX('Ex post LI &amp; Eligibility Stats'!$A:$N,MATCH($A42,'Ex post LI &amp; Eligibility Stats'!$A:$A,0),MATCH('Program MW '!R$29,'Ex post LI &amp; Eligibility Stats'!$A$8:$N$8,0))/1000)</f>
        <v>0</v>
      </c>
      <c r="T42" s="4">
        <v>157189</v>
      </c>
    </row>
    <row r="43" spans="1:31">
      <c r="A43" s="101" t="s">
        <v>29</v>
      </c>
      <c r="B43" s="141">
        <v>5</v>
      </c>
      <c r="C43" s="515">
        <f>B43*(INDEX('Ex ante LI &amp; Eligibility Stats'!$A:$M,MATCH($A43,'Ex ante LI &amp; Eligibility Stats'!$A:$A,0),MATCH('Program MW '!C$29,'Ex ante LI &amp; Eligibility Stats'!$A$8:$M$8,0))/1000)</f>
        <v>1.3977575000000001E-2</v>
      </c>
      <c r="D43" s="515">
        <f>B43*(INDEX('Ex post LI &amp; Eligibility Stats'!$A:$N,MATCH($A43,'Ex post LI &amp; Eligibility Stats'!$A:$A,0),MATCH('Program MW '!C$29,'Ex post LI &amp; Eligibility Stats'!$A$8:$N$8,0))/1000)</f>
        <v>3.473719459433889E-2</v>
      </c>
      <c r="E43" s="141">
        <v>12</v>
      </c>
      <c r="F43" s="521">
        <f>E43*(INDEX('Ex ante LI &amp; Eligibility Stats'!$A:$M,MATCH($A43,'Ex ante LI &amp; Eligibility Stats'!$A:$A,0),MATCH('Program MW '!F$29,'Ex ante LI &amp; Eligibility Stats'!$A$8:$M$8,0))/1000)</f>
        <v>3.3546180000000002E-2</v>
      </c>
      <c r="G43" s="521">
        <f>E43*(INDEX('Ex post LI &amp; Eligibility Stats'!$A:$N,MATCH($A43,'Ex post LI &amp; Eligibility Stats'!$A:$A,0),MATCH('Program MW '!F$29,'Ex post LI &amp; Eligibility Stats'!$A$8:$N$8,0))/1000)</f>
        <v>8.3369267026413341E-2</v>
      </c>
      <c r="H43" s="141">
        <v>0</v>
      </c>
      <c r="I43" s="515">
        <f>H43*(INDEX('Ex ante LI &amp; Eligibility Stats'!$A:$M,MATCH($A43,'Ex ante LI &amp; Eligibility Stats'!$A:$A,0),MATCH('Program MW '!I$29,'Ex ante LI &amp; Eligibility Stats'!$A$8:$M$8,0))/1000)</f>
        <v>0</v>
      </c>
      <c r="J43" s="515">
        <f>H43*(INDEX('Ex post LI &amp; Eligibility Stats'!$A:$N,MATCH($A43,'Ex post LI &amp; Eligibility Stats'!$A:$A,0),MATCH('Program MW '!I$29,'Ex post LI &amp; Eligibility Stats'!$A$8:$N$8,0))/1000)</f>
        <v>0</v>
      </c>
      <c r="K43" s="141">
        <v>0</v>
      </c>
      <c r="L43" s="515">
        <f>K43*(INDEX('Ex ante LI &amp; Eligibility Stats'!$A:$M,MATCH($A43,'Ex ante LI &amp; Eligibility Stats'!$A:$A,0),MATCH('Program MW '!L$29,'Ex ante LI &amp; Eligibility Stats'!$A$8:$M$8,0))/1000)</f>
        <v>0</v>
      </c>
      <c r="M43" s="515">
        <f>K43*(INDEX('Ex post LI &amp; Eligibility Stats'!$A:$N,MATCH($A43,'Ex post LI &amp; Eligibility Stats'!$A:$A,0),MATCH('Program MW '!L$29,'Ex post LI &amp; Eligibility Stats'!$A$8:$N$8,0))/1000)</f>
        <v>0</v>
      </c>
      <c r="N43" s="141">
        <v>0</v>
      </c>
      <c r="O43" s="515">
        <f>N43*(INDEX('Ex ante LI &amp; Eligibility Stats'!$A:$M,MATCH($A43,'Ex ante LI &amp; Eligibility Stats'!$A:$A,0),MATCH('Program MW '!O$29,'Ex ante LI &amp; Eligibility Stats'!$A$8:$M$8,0))/1000)</f>
        <v>0</v>
      </c>
      <c r="P43" s="516">
        <f>N43*(INDEX('Ex post LI &amp; Eligibility Stats'!$A:$N,MATCH($A43,'Ex post LI &amp; Eligibility Stats'!$A:$A,0),MATCH('Program MW '!O$29,'Ex post LI &amp; Eligibility Stats'!$A$8:$N$8,0))/1000)</f>
        <v>0</v>
      </c>
      <c r="Q43" s="141">
        <v>0</v>
      </c>
      <c r="R43" s="515">
        <f>Q43*(INDEX('Ex ante LI &amp; Eligibility Stats'!$A:$M,MATCH($A43,'Ex ante LI &amp; Eligibility Stats'!$A:$A,0),MATCH('Program MW '!R$29,'Ex ante LI &amp; Eligibility Stats'!$A$8:$M$8,0))/1000)</f>
        <v>0</v>
      </c>
      <c r="S43" s="516">
        <f>Q43*(INDEX('Ex post LI &amp; Eligibility Stats'!$A:$N,MATCH($A43,'Ex post LI &amp; Eligibility Stats'!$A:$A,0),MATCH('Program MW '!R$29,'Ex post LI &amp; Eligibility Stats'!$A$8:$N$8,0))/1000)</f>
        <v>0</v>
      </c>
      <c r="T43" s="4">
        <v>18875</v>
      </c>
    </row>
    <row r="44" spans="1:31">
      <c r="A44" s="101" t="s">
        <v>30</v>
      </c>
      <c r="B44" s="141">
        <v>156</v>
      </c>
      <c r="C44" s="515">
        <f>B44*(INDEX('Ex ante LI &amp; Eligibility Stats'!$A:$M,MATCH($A44,'Ex ante LI &amp; Eligibility Stats'!$A:$A,0),MATCH('Program MW '!C$29,'Ex ante LI &amp; Eligibility Stats'!$A$8:$M$8,0))/1000)</f>
        <v>2.1686908463999996</v>
      </c>
      <c r="D44" s="515">
        <f>B44*(INDEX('Ex post LI &amp; Eligibility Stats'!$A:$N,MATCH($A44,'Ex post LI &amp; Eligibility Stats'!$A:$A,0),MATCH('Program MW '!C$29,'Ex post LI &amp; Eligibility Stats'!$A$8:$N$8,0))/1000)</f>
        <v>2.8996759999999999</v>
      </c>
      <c r="E44" s="141">
        <v>182</v>
      </c>
      <c r="F44" s="521">
        <f>E44*(INDEX('Ex ante LI &amp; Eligibility Stats'!$A:$M,MATCH($A44,'Ex ante LI &amp; Eligibility Stats'!$A:$A,0),MATCH('Program MW '!F$29,'Ex ante LI &amp; Eligibility Stats'!$A$8:$M$8,0))/1000)</f>
        <v>2.5301393207999996</v>
      </c>
      <c r="G44" s="521">
        <f>E44*(INDEX('Ex post LI &amp; Eligibility Stats'!$A:$N,MATCH($A44,'Ex post LI &amp; Eligibility Stats'!$A:$A,0),MATCH('Program MW '!F$29,'Ex post LI &amp; Eligibility Stats'!$A$8:$N$8,0))/1000)</f>
        <v>3.3829553333333333</v>
      </c>
      <c r="H44" s="141">
        <v>0</v>
      </c>
      <c r="I44" s="515">
        <f>H44*(INDEX('Ex ante LI &amp; Eligibility Stats'!$A:$M,MATCH($A44,'Ex ante LI &amp; Eligibility Stats'!$A:$A,0),MATCH('Program MW '!I$29,'Ex ante LI &amp; Eligibility Stats'!$A$8:$M$8,0))/1000)</f>
        <v>0</v>
      </c>
      <c r="J44" s="515">
        <f>H44*(INDEX('Ex post LI &amp; Eligibility Stats'!$A:$N,MATCH($A44,'Ex post LI &amp; Eligibility Stats'!$A:$A,0),MATCH('Program MW '!I$29,'Ex post LI &amp; Eligibility Stats'!$A$8:$N$8,0))/1000)</f>
        <v>0</v>
      </c>
      <c r="K44" s="141">
        <v>0</v>
      </c>
      <c r="L44" s="515">
        <f>K44*(INDEX('Ex ante LI &amp; Eligibility Stats'!$A:$M,MATCH($A44,'Ex ante LI &amp; Eligibility Stats'!$A:$A,0),MATCH('Program MW '!L$29,'Ex ante LI &amp; Eligibility Stats'!$A$8:$M$8,0))/1000)</f>
        <v>0</v>
      </c>
      <c r="M44" s="515">
        <f>K44*(INDEX('Ex post LI &amp; Eligibility Stats'!$A:$N,MATCH($A44,'Ex post LI &amp; Eligibility Stats'!$A:$A,0),MATCH('Program MW '!L$29,'Ex post LI &amp; Eligibility Stats'!$A$8:$N$8,0))/1000)</f>
        <v>0</v>
      </c>
      <c r="N44" s="141">
        <v>0</v>
      </c>
      <c r="O44" s="515">
        <f>N44*(INDEX('Ex ante LI &amp; Eligibility Stats'!$A:$M,MATCH($A44,'Ex ante LI &amp; Eligibility Stats'!$A:$A,0),MATCH('Program MW '!O$29,'Ex ante LI &amp; Eligibility Stats'!$A$8:$M$8,0))/1000)</f>
        <v>0</v>
      </c>
      <c r="P44" s="516">
        <f>N44*(INDEX('Ex post LI &amp; Eligibility Stats'!$A:$N,MATCH($A44,'Ex post LI &amp; Eligibility Stats'!$A:$A,0),MATCH('Program MW '!O$29,'Ex post LI &amp; Eligibility Stats'!$A$8:$N$8,0))/1000)</f>
        <v>0</v>
      </c>
      <c r="Q44" s="141">
        <v>0</v>
      </c>
      <c r="R44" s="515">
        <f>Q44*(INDEX('Ex ante LI &amp; Eligibility Stats'!$A:$M,MATCH($A44,'Ex ante LI &amp; Eligibility Stats'!$A:$A,0),MATCH('Program MW '!R$29,'Ex ante LI &amp; Eligibility Stats'!$A$8:$M$8,0))/1000)</f>
        <v>0</v>
      </c>
      <c r="S44" s="516">
        <f>Q44*(INDEX('Ex post LI &amp; Eligibility Stats'!$A:$N,MATCH($A44,'Ex post LI &amp; Eligibility Stats'!$A:$A,0),MATCH('Program MW '!R$29,'Ex post LI &amp; Eligibility Stats'!$A$8:$N$8,0))/1000)</f>
        <v>0</v>
      </c>
      <c r="T44" s="4">
        <v>18875</v>
      </c>
    </row>
    <row r="45" spans="1:31">
      <c r="A45" s="101" t="s">
        <v>31</v>
      </c>
      <c r="B45" s="141">
        <v>112393</v>
      </c>
      <c r="C45" s="515">
        <f>B45*(INDEX('Ex ante LI &amp; Eligibility Stats'!$A:$M,MATCH($A45,'Ex ante LI &amp; Eligibility Stats'!$A:$A,0),MATCH('Program MW '!C$29,'Ex ante LI &amp; Eligibility Stats'!$A$8:$M$8,0))/1000)</f>
        <v>1.9515478598555185</v>
      </c>
      <c r="D45" s="515">
        <f>B45*(INDEX('Ex post LI &amp; Eligibility Stats'!$A:$N,MATCH($A45,'Ex post LI &amp; Eligibility Stats'!$A:$A,0),MATCH('Program MW '!C$29,'Ex post LI &amp; Eligibility Stats'!$A$8:$N$8,0))/1000)</f>
        <v>2.7524282701102947</v>
      </c>
      <c r="E45" s="141">
        <v>112244</v>
      </c>
      <c r="F45" s="521">
        <f>E45*(INDEX('Ex ante LI &amp; Eligibility Stats'!$A:$M,MATCH($A45,'Ex ante LI &amp; Eligibility Stats'!$A:$A,0),MATCH('Program MW '!F$29,'Ex ante LI &amp; Eligibility Stats'!$A$8:$M$8,0))/1000)</f>
        <v>2.1607644234331738</v>
      </c>
      <c r="G45" s="521">
        <f>E45*(INDEX('Ex post LI &amp; Eligibility Stats'!$A:$N,MATCH($A45,'Ex post LI &amp; Eligibility Stats'!$A:$A,0),MATCH('Program MW '!F$29,'Ex post LI &amp; Eligibility Stats'!$A$8:$N$8,0))/1000)</f>
        <v>2.7487793612614655</v>
      </c>
      <c r="H45" s="141">
        <v>0</v>
      </c>
      <c r="I45" s="521">
        <f>H45*(INDEX('Ex ante LI &amp; Eligibility Stats'!$A:$M,MATCH($A45,'Ex ante LI &amp; Eligibility Stats'!$A:$A,0),MATCH('Program MW '!I$29,'Ex ante LI &amp; Eligibility Stats'!$A$8:$M$8,0))/1000)</f>
        <v>0</v>
      </c>
      <c r="J45" s="515">
        <f>H45*(INDEX('Ex post LI &amp; Eligibility Stats'!$A:$N,MATCH($A45,'Ex post LI &amp; Eligibility Stats'!$A:$A,0),MATCH('Program MW '!I$29,'Ex post LI &amp; Eligibility Stats'!$A$8:$N$8,0))/1000)</f>
        <v>0</v>
      </c>
      <c r="K45" s="141">
        <v>0</v>
      </c>
      <c r="L45" s="515">
        <f>K45*(INDEX('Ex ante LI &amp; Eligibility Stats'!$A:$M,MATCH($A45,'Ex ante LI &amp; Eligibility Stats'!$A:$A,0),MATCH('Program MW '!L$29,'Ex ante LI &amp; Eligibility Stats'!$A$8:$M$8,0))/1000)</f>
        <v>0</v>
      </c>
      <c r="M45" s="515">
        <f>K45*(INDEX('Ex post LI &amp; Eligibility Stats'!$A:$N,MATCH($A45,'Ex post LI &amp; Eligibility Stats'!$A:$A,0),MATCH('Program MW '!L$29,'Ex post LI &amp; Eligibility Stats'!$A$8:$N$8,0))/1000)</f>
        <v>0</v>
      </c>
      <c r="N45" s="141">
        <v>0</v>
      </c>
      <c r="O45" s="515">
        <f>N45*(INDEX('Ex ante LI &amp; Eligibility Stats'!$A:$M,MATCH($A45,'Ex ante LI &amp; Eligibility Stats'!$A:$A,0),MATCH('Program MW '!O$29,'Ex ante LI &amp; Eligibility Stats'!$A$8:$M$8,0))/1000)</f>
        <v>0</v>
      </c>
      <c r="P45" s="516">
        <f>N45*(INDEX('Ex post LI &amp; Eligibility Stats'!$A:$N,MATCH($A45,'Ex post LI &amp; Eligibility Stats'!$A:$A,0),MATCH('Program MW '!O$29,'Ex post LI &amp; Eligibility Stats'!$A$8:$N$8,0))/1000)</f>
        <v>0</v>
      </c>
      <c r="Q45" s="141">
        <v>0</v>
      </c>
      <c r="R45" s="515">
        <f>Q45*(INDEX('Ex ante LI &amp; Eligibility Stats'!$A:$M,MATCH($A45,'Ex ante LI &amp; Eligibility Stats'!$A:$A,0),MATCH('Program MW '!R$29,'Ex ante LI &amp; Eligibility Stats'!$A$8:$M$8,0))/1000)</f>
        <v>0</v>
      </c>
      <c r="S45" s="516">
        <f>Q45*(INDEX('Ex post LI &amp; Eligibility Stats'!$A:$N,MATCH($A45,'Ex post LI &amp; Eligibility Stats'!$A:$A,0),MATCH('Program MW '!R$29,'Ex post LI &amp; Eligibility Stats'!$A$8:$N$8,0))/1000)</f>
        <v>0</v>
      </c>
      <c r="T45" s="4"/>
    </row>
    <row r="46" spans="1:31">
      <c r="A46" s="58" t="s">
        <v>32</v>
      </c>
      <c r="B46" s="141">
        <v>13516</v>
      </c>
      <c r="C46" s="515">
        <f>B46*(INDEX('Ex ante LI &amp; Eligibility Stats'!$A:$M,MATCH($A46,'Ex ante LI &amp; Eligibility Stats'!$A:$A,0),MATCH('Program MW '!C$29,'Ex ante LI &amp; Eligibility Stats'!$A$8:$M$8,0))/1000)</f>
        <v>0.93607841378003354</v>
      </c>
      <c r="D46" s="515">
        <f>B46*(INDEX('Ex post LI &amp; Eligibility Stats'!$A:$N,MATCH($A46,'Ex post LI &amp; Eligibility Stats'!$A:$A,0),MATCH('Program MW '!C$29,'Ex post LI &amp; Eligibility Stats'!$A$8:$N$8,0))/1000)</f>
        <v>2.887456842109561</v>
      </c>
      <c r="E46" s="141">
        <v>14058</v>
      </c>
      <c r="F46" s="521">
        <f>E46*(INDEX('Ex ante LI &amp; Eligibility Stats'!$A:$M,MATCH($A46,'Ex ante LI &amp; Eligibility Stats'!$A:$A,0),MATCH('Program MW '!F$29,'Ex ante LI &amp; Eligibility Stats'!$A$8:$M$8,0))/1000)</f>
        <v>1.0628477869391439</v>
      </c>
      <c r="G46" s="521">
        <f>E46*(INDEX('Ex post LI &amp; Eligibility Stats'!$A:$N,MATCH($A46,'Ex post LI &amp; Eligibility Stats'!$A:$A,0),MATCH('Program MW '!F$29,'Ex post LI &amp; Eligibility Stats'!$A$8:$N$8,0))/1000)</f>
        <v>3.0032456559911367</v>
      </c>
      <c r="H46" s="141">
        <v>0</v>
      </c>
      <c r="I46" s="521">
        <f>H46*(INDEX('Ex ante LI &amp; Eligibility Stats'!$A:$M,MATCH($A46,'Ex ante LI &amp; Eligibility Stats'!$A:$A,0),MATCH('Program MW '!I$29,'Ex ante LI &amp; Eligibility Stats'!$A$8:$M$8,0))/1000)</f>
        <v>0</v>
      </c>
      <c r="J46" s="516">
        <f>H46*(INDEX('Ex post LI &amp; Eligibility Stats'!$A:$N,MATCH($A46,'Ex post LI &amp; Eligibility Stats'!$A:$A,0),MATCH('Program MW '!I$29,'Ex post LI &amp; Eligibility Stats'!$A$8:$N$8,0))/1000)</f>
        <v>0</v>
      </c>
      <c r="K46" s="141">
        <v>0</v>
      </c>
      <c r="L46" s="515">
        <f>K46*(INDEX('Ex ante LI &amp; Eligibility Stats'!$A:$M,MATCH($A46,'Ex ante LI &amp; Eligibility Stats'!$A:$A,0),MATCH('Program MW '!L$29,'Ex ante LI &amp; Eligibility Stats'!$A$8:$M$8,0))/1000)</f>
        <v>0</v>
      </c>
      <c r="M46" s="515">
        <f>K46*(INDEX('Ex post LI &amp; Eligibility Stats'!$A:$N,MATCH($A46,'Ex post LI &amp; Eligibility Stats'!$A:$A,0),MATCH('Program MW '!L$29,'Ex post LI &amp; Eligibility Stats'!$A$8:$N$8,0))/1000)</f>
        <v>0</v>
      </c>
      <c r="N46" s="141">
        <v>0</v>
      </c>
      <c r="O46" s="515">
        <f>N46*(INDEX('Ex ante LI &amp; Eligibility Stats'!$A:$M,MATCH($A46,'Ex ante LI &amp; Eligibility Stats'!$A:$A,0),MATCH('Program MW '!O$29,'Ex ante LI &amp; Eligibility Stats'!$A$8:$M$8,0))/1000)</f>
        <v>0</v>
      </c>
      <c r="P46" s="516">
        <f>N46*(INDEX('Ex post LI &amp; Eligibility Stats'!$A:$N,MATCH($A46,'Ex post LI &amp; Eligibility Stats'!$A:$A,0),MATCH('Program MW '!O$29,'Ex post LI &amp; Eligibility Stats'!$A$8:$N$8,0))/1000)</f>
        <v>0</v>
      </c>
      <c r="Q46" s="141">
        <v>0</v>
      </c>
      <c r="R46" s="515">
        <f>Q46*(INDEX('Ex ante LI &amp; Eligibility Stats'!$A:$M,MATCH($A46,'Ex ante LI &amp; Eligibility Stats'!$A:$A,0),MATCH('Program MW '!R$29,'Ex ante LI &amp; Eligibility Stats'!$A$8:$M$8,0))/1000)</f>
        <v>0</v>
      </c>
      <c r="S46" s="516">
        <f>Q46*(INDEX('Ex post LI &amp; Eligibility Stats'!$A:$N,MATCH($A46,'Ex post LI &amp; Eligibility Stats'!$A:$A,0),MATCH('Program MW '!R$29,'Ex post LI &amp; Eligibility Stats'!$A$8:$N$8,0))/1000)</f>
        <v>0</v>
      </c>
      <c r="T46" s="4"/>
    </row>
    <row r="47" spans="1:31" ht="13.5" thickBot="1">
      <c r="A47" s="215" t="s">
        <v>33</v>
      </c>
      <c r="B47" s="3">
        <f t="shared" ref="B47:S47" si="5">SUM(B35:B46)</f>
        <v>173696</v>
      </c>
      <c r="C47" s="314">
        <f t="shared" si="5"/>
        <v>16.0042787071846</v>
      </c>
      <c r="D47" s="282">
        <f t="shared" si="5"/>
        <v>24.231160586698973</v>
      </c>
      <c r="E47" s="3">
        <f t="shared" si="5"/>
        <v>173932</v>
      </c>
      <c r="F47" s="330">
        <f t="shared" si="5"/>
        <v>18.411423237262316</v>
      </c>
      <c r="G47" s="331">
        <f t="shared" si="5"/>
        <v>24.825268871704775</v>
      </c>
      <c r="H47" s="3">
        <f t="shared" si="5"/>
        <v>0</v>
      </c>
      <c r="I47" s="314">
        <f t="shared" si="5"/>
        <v>0</v>
      </c>
      <c r="J47" s="282">
        <f t="shared" si="5"/>
        <v>0</v>
      </c>
      <c r="K47" s="3">
        <f t="shared" si="5"/>
        <v>0</v>
      </c>
      <c r="L47" s="314">
        <f t="shared" si="5"/>
        <v>0</v>
      </c>
      <c r="M47" s="282">
        <f t="shared" si="5"/>
        <v>0</v>
      </c>
      <c r="N47" s="3">
        <f t="shared" si="5"/>
        <v>0</v>
      </c>
      <c r="O47" s="314">
        <f t="shared" si="5"/>
        <v>0</v>
      </c>
      <c r="P47" s="282">
        <f t="shared" si="5"/>
        <v>0</v>
      </c>
      <c r="Q47" s="3">
        <f t="shared" si="5"/>
        <v>0</v>
      </c>
      <c r="R47" s="314">
        <f t="shared" si="5"/>
        <v>0</v>
      </c>
      <c r="S47" s="282">
        <f t="shared" si="5"/>
        <v>0</v>
      </c>
      <c r="T47" s="9"/>
    </row>
    <row r="48" spans="1:31" ht="14.25" thickTop="1" thickBot="1">
      <c r="A48" s="222" t="s">
        <v>34</v>
      </c>
      <c r="B48" s="2">
        <f t="shared" ref="B48:S48" si="6">+B33+B47</f>
        <v>173701</v>
      </c>
      <c r="C48" s="315">
        <f t="shared" si="6"/>
        <v>16.725145887055206</v>
      </c>
      <c r="D48" s="281">
        <f t="shared" si="6"/>
        <v>26.125787681563818</v>
      </c>
      <c r="E48" s="2">
        <f t="shared" si="6"/>
        <v>173937</v>
      </c>
      <c r="F48" s="332">
        <f t="shared" si="6"/>
        <v>19.129373966632432</v>
      </c>
      <c r="G48" s="333">
        <f t="shared" si="6"/>
        <v>26.71989596656962</v>
      </c>
      <c r="H48" s="2">
        <f t="shared" si="6"/>
        <v>0</v>
      </c>
      <c r="I48" s="315">
        <f t="shared" si="6"/>
        <v>0</v>
      </c>
      <c r="J48" s="281">
        <f t="shared" si="6"/>
        <v>0</v>
      </c>
      <c r="K48" s="2">
        <f t="shared" si="6"/>
        <v>0</v>
      </c>
      <c r="L48" s="315">
        <f t="shared" si="6"/>
        <v>0</v>
      </c>
      <c r="M48" s="281">
        <f t="shared" si="6"/>
        <v>0</v>
      </c>
      <c r="N48" s="2">
        <f t="shared" si="6"/>
        <v>0</v>
      </c>
      <c r="O48" s="315">
        <f t="shared" si="6"/>
        <v>0</v>
      </c>
      <c r="P48" s="281">
        <f t="shared" si="6"/>
        <v>0</v>
      </c>
      <c r="Q48" s="2">
        <f t="shared" si="6"/>
        <v>0</v>
      </c>
      <c r="R48" s="315">
        <f t="shared" si="6"/>
        <v>0</v>
      </c>
      <c r="S48" s="281">
        <f t="shared" si="6"/>
        <v>0</v>
      </c>
      <c r="T48" s="12"/>
      <c r="U48" s="6"/>
      <c r="V48" s="12"/>
      <c r="W48" s="12"/>
      <c r="X48" s="6"/>
      <c r="Y48" s="12"/>
      <c r="Z48" s="12"/>
    </row>
    <row r="49" spans="1:26" ht="13.5" thickTop="1">
      <c r="A49" s="17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2.75" customHeight="1">
      <c r="A50" s="303" t="s">
        <v>43</v>
      </c>
      <c r="B50" s="225"/>
      <c r="C50" s="225"/>
      <c r="D50" s="225"/>
      <c r="E50" s="691"/>
      <c r="F50" s="226"/>
      <c r="G50" s="225"/>
      <c r="H50" s="226"/>
      <c r="I50" s="225"/>
      <c r="J50" s="225"/>
      <c r="K50" s="225"/>
      <c r="L50" s="225"/>
      <c r="M50" s="225"/>
      <c r="N50" s="225"/>
      <c r="O50" s="225"/>
      <c r="P50" s="227"/>
      <c r="Q50" s="225"/>
      <c r="R50" s="225"/>
      <c r="S50" s="225"/>
      <c r="T50" s="13"/>
      <c r="U50" s="13"/>
      <c r="V50" s="13"/>
      <c r="W50" s="13"/>
      <c r="X50" s="13"/>
      <c r="Y50" s="13"/>
      <c r="Z50" s="13"/>
    </row>
    <row r="51" spans="1:26" ht="33" customHeight="1">
      <c r="A51" s="724" t="s">
        <v>44</v>
      </c>
      <c r="B51" s="724"/>
      <c r="C51" s="724"/>
      <c r="D51" s="724"/>
      <c r="E51" s="724"/>
      <c r="F51" s="724"/>
      <c r="G51" s="724"/>
      <c r="H51" s="724"/>
      <c r="I51" s="724"/>
      <c r="J51" s="724"/>
      <c r="K51" s="724"/>
      <c r="L51" s="724"/>
      <c r="M51" s="724"/>
      <c r="N51" s="724"/>
      <c r="O51" s="724"/>
    </row>
    <row r="52" spans="1:26" ht="31.5" customHeight="1">
      <c r="A52" s="724" t="s">
        <v>45</v>
      </c>
      <c r="B52" s="724"/>
      <c r="C52" s="724"/>
      <c r="D52" s="724"/>
      <c r="E52" s="724"/>
      <c r="F52" s="724"/>
      <c r="G52" s="724"/>
      <c r="H52" s="724"/>
      <c r="I52" s="724"/>
      <c r="J52" s="724"/>
      <c r="K52" s="724"/>
      <c r="L52" s="724"/>
      <c r="M52" s="724"/>
      <c r="N52" s="724"/>
      <c r="O52" s="724"/>
      <c r="P52" s="13"/>
      <c r="Q52" s="13"/>
      <c r="R52" s="13"/>
      <c r="S52" s="13"/>
      <c r="T52" s="172"/>
      <c r="U52" s="172"/>
      <c r="V52" s="172"/>
      <c r="W52" s="172"/>
      <c r="X52" s="172"/>
      <c r="Y52" s="172"/>
      <c r="Z52" s="172"/>
    </row>
    <row r="53" spans="1:26" ht="32.25" customHeight="1">
      <c r="A53" s="724" t="s">
        <v>46</v>
      </c>
      <c r="B53" s="724"/>
      <c r="C53" s="724"/>
      <c r="D53" s="724"/>
      <c r="E53" s="724"/>
      <c r="F53" s="724"/>
      <c r="G53" s="724"/>
      <c r="H53" s="724"/>
      <c r="I53" s="724"/>
      <c r="J53" s="724"/>
      <c r="K53" s="724"/>
      <c r="L53" s="724"/>
      <c r="M53" s="724"/>
      <c r="N53" s="724"/>
      <c r="O53" s="724"/>
      <c r="P53" s="13"/>
      <c r="Q53" s="13"/>
      <c r="R53" s="13"/>
      <c r="S53" s="13"/>
      <c r="T53" s="172"/>
      <c r="U53" s="172"/>
      <c r="V53" s="172"/>
      <c r="W53" s="172"/>
      <c r="X53" s="172"/>
      <c r="Y53" s="172"/>
      <c r="Z53" s="172"/>
    </row>
    <row r="54" spans="1:26" ht="16.5" customHeight="1">
      <c r="A54" s="724" t="s">
        <v>47</v>
      </c>
      <c r="B54" s="724"/>
      <c r="C54" s="724"/>
      <c r="D54" s="724"/>
      <c r="E54" s="724"/>
      <c r="F54" s="724"/>
      <c r="G54" s="724"/>
      <c r="H54" s="724"/>
      <c r="I54" s="724"/>
      <c r="J54" s="724"/>
      <c r="K54" s="724"/>
      <c r="L54" s="724"/>
      <c r="M54" s="724"/>
      <c r="N54" s="724"/>
      <c r="O54" s="724"/>
      <c r="P54" s="13"/>
      <c r="Q54" s="13"/>
      <c r="R54" s="13"/>
      <c r="S54" s="13"/>
      <c r="T54" s="172"/>
      <c r="U54" s="172"/>
      <c r="V54" s="172"/>
      <c r="W54" s="172"/>
      <c r="X54" s="172"/>
      <c r="Y54" s="172"/>
      <c r="Z54" s="172"/>
    </row>
    <row r="55" spans="1:26" s="179" customFormat="1" ht="16.5" customHeight="1">
      <c r="A55" s="700"/>
      <c r="B55" s="700"/>
      <c r="C55" s="700"/>
      <c r="D55" s="700"/>
      <c r="E55" s="700"/>
      <c r="F55" s="700"/>
      <c r="G55" s="700"/>
      <c r="H55" s="700"/>
      <c r="I55" s="700"/>
      <c r="J55" s="700"/>
      <c r="K55" s="700"/>
      <c r="L55" s="700"/>
      <c r="M55" s="700"/>
      <c r="N55" s="698"/>
      <c r="O55" s="700"/>
      <c r="P55" s="654"/>
      <c r="Q55" s="654"/>
      <c r="R55" s="654"/>
      <c r="S55" s="654"/>
      <c r="T55" s="237"/>
      <c r="U55" s="237"/>
      <c r="V55" s="237"/>
      <c r="W55" s="237"/>
      <c r="X55" s="237"/>
      <c r="Y55" s="237"/>
      <c r="Z55" s="237"/>
    </row>
    <row r="56" spans="1:26" s="179" customFormat="1" ht="14.65" customHeight="1">
      <c r="A56" s="306" t="s">
        <v>48</v>
      </c>
      <c r="B56" s="237"/>
      <c r="C56" s="237"/>
      <c r="D56" s="237"/>
      <c r="E56" s="237"/>
      <c r="F56" s="237"/>
      <c r="G56" s="237"/>
      <c r="H56" s="237"/>
      <c r="I56" s="237"/>
      <c r="J56" s="237"/>
      <c r="K56" s="237"/>
      <c r="L56" s="237"/>
      <c r="M56" s="237"/>
      <c r="N56" s="237"/>
    </row>
    <row r="57" spans="1:26">
      <c r="A57" s="593" t="s">
        <v>49</v>
      </c>
      <c r="B57" s="700"/>
      <c r="C57" s="700"/>
      <c r="D57" s="700"/>
      <c r="E57" s="700"/>
      <c r="F57" s="700"/>
      <c r="G57" s="700"/>
      <c r="H57" s="592"/>
      <c r="I57" s="592"/>
      <c r="J57" s="592"/>
      <c r="K57" s="592"/>
      <c r="L57" s="592"/>
      <c r="M57" s="592"/>
      <c r="N57" s="592"/>
      <c r="O57" s="592"/>
    </row>
    <row r="58" spans="1:26">
      <c r="A58" s="725" t="s">
        <v>50</v>
      </c>
      <c r="B58" s="726"/>
      <c r="C58" s="726"/>
      <c r="D58" s="726"/>
      <c r="E58" s="726"/>
      <c r="F58" s="726"/>
      <c r="G58" s="726"/>
      <c r="H58" s="726"/>
      <c r="I58" s="726"/>
      <c r="J58" s="726"/>
      <c r="K58" s="726"/>
      <c r="L58" s="726"/>
      <c r="M58" s="726"/>
      <c r="N58" s="726"/>
      <c r="O58" s="592"/>
    </row>
    <row r="59" spans="1:26">
      <c r="A59" s="701"/>
      <c r="B59" s="702"/>
      <c r="C59" s="702"/>
      <c r="D59" s="702"/>
      <c r="E59" s="702"/>
      <c r="F59" s="702"/>
      <c r="G59" s="702"/>
      <c r="H59" s="702"/>
      <c r="I59" s="702"/>
      <c r="J59" s="702"/>
      <c r="K59" s="702"/>
      <c r="L59" s="702"/>
      <c r="M59" s="702"/>
      <c r="N59" s="702"/>
      <c r="O59" s="592"/>
    </row>
    <row r="60" spans="1:26" ht="15">
      <c r="A60" s="283" t="s">
        <v>51</v>
      </c>
    </row>
  </sheetData>
  <mergeCells count="5">
    <mergeCell ref="A51:O51"/>
    <mergeCell ref="A52:O52"/>
    <mergeCell ref="A58:N58"/>
    <mergeCell ref="A53:O53"/>
    <mergeCell ref="A54:O54"/>
  </mergeCells>
  <phoneticPr fontId="0" type="noConversion"/>
  <printOptions horizontalCentered="1"/>
  <pageMargins left="0" right="0" top="0.3" bottom="0.17" header="0.3" footer="0.15"/>
  <pageSetup paperSize="5" scale="67" orientation="landscape" cellComments="atEnd" r:id="rId1"/>
  <headerFooter alignWithMargins="0">
    <oddHeader xml:space="preserve">&amp;C&amp;"Arial,Bold"
</oddHeader>
    <oddFooter>&amp;Rpage 1 of 12
&amp;A
&amp;D  &amp;T</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I76"/>
  <sheetViews>
    <sheetView zoomScaleNormal="100" zoomScaleSheetLayoutView="90" workbookViewId="0">
      <selection activeCell="F29" sqref="F29"/>
    </sheetView>
  </sheetViews>
  <sheetFormatPr defaultColWidth="9.140625" defaultRowHeight="14.25" customHeight="1"/>
  <cols>
    <col min="1" max="1" width="56.85546875" style="557" customWidth="1"/>
    <col min="2" max="2" width="30" style="301" customWidth="1"/>
    <col min="3" max="3" width="15.7109375" style="560" customWidth="1"/>
    <col min="4" max="4" width="27" style="557" bestFit="1" customWidth="1"/>
    <col min="5" max="5" width="15.85546875" style="557" customWidth="1"/>
    <col min="6" max="6" width="22" style="557" customWidth="1"/>
    <col min="7" max="7" width="37" style="557" customWidth="1"/>
    <col min="8" max="16384" width="9.140625" style="558"/>
  </cols>
  <sheetData>
    <row r="2" spans="1:7" ht="12.75">
      <c r="C2" s="302" t="s">
        <v>0</v>
      </c>
    </row>
    <row r="3" spans="1:7" ht="12.75">
      <c r="C3" s="302" t="s">
        <v>249</v>
      </c>
    </row>
    <row r="4" spans="1:7" ht="12.75">
      <c r="C4" s="692" t="s">
        <v>250</v>
      </c>
    </row>
    <row r="5" spans="1:7" ht="12.75">
      <c r="C5" s="302"/>
    </row>
    <row r="7" spans="1:7" ht="15.75">
      <c r="A7" s="747" t="s">
        <v>251</v>
      </c>
      <c r="B7" s="748"/>
      <c r="C7" s="748"/>
      <c r="D7" s="748"/>
      <c r="E7" s="748"/>
      <c r="F7" s="748"/>
      <c r="G7" s="749"/>
    </row>
    <row r="8" spans="1:7" ht="27">
      <c r="A8" s="657" t="s">
        <v>192</v>
      </c>
      <c r="B8" s="657" t="s">
        <v>252</v>
      </c>
      <c r="C8" s="658" t="s">
        <v>195</v>
      </c>
      <c r="D8" s="657" t="s">
        <v>253</v>
      </c>
      <c r="E8" s="659" t="s">
        <v>254</v>
      </c>
      <c r="F8" s="659" t="s">
        <v>255</v>
      </c>
      <c r="G8" s="659" t="s">
        <v>256</v>
      </c>
    </row>
    <row r="9" spans="1:7" ht="12.75">
      <c r="A9" s="660" t="s">
        <v>257</v>
      </c>
      <c r="B9" s="661">
        <v>1</v>
      </c>
      <c r="C9" s="662">
        <v>43579</v>
      </c>
      <c r="D9" s="663" t="s">
        <v>258</v>
      </c>
      <c r="E9" s="664">
        <v>1.78</v>
      </c>
      <c r="F9" s="665" t="s">
        <v>259</v>
      </c>
      <c r="G9" s="666">
        <v>2</v>
      </c>
    </row>
    <row r="10" spans="1:7" ht="12.75">
      <c r="A10" s="660" t="s">
        <v>260</v>
      </c>
      <c r="B10" s="661">
        <v>2</v>
      </c>
      <c r="C10" s="662">
        <v>43579</v>
      </c>
      <c r="D10" s="663" t="s">
        <v>258</v>
      </c>
      <c r="E10" s="664">
        <v>0.33</v>
      </c>
      <c r="F10" s="665" t="s">
        <v>259</v>
      </c>
      <c r="G10" s="666">
        <v>2</v>
      </c>
    </row>
    <row r="11" spans="1:7" ht="12.75">
      <c r="A11" s="660" t="s">
        <v>261</v>
      </c>
      <c r="B11" s="661">
        <v>3</v>
      </c>
      <c r="C11" s="662">
        <v>43626</v>
      </c>
      <c r="D11" s="663" t="s">
        <v>262</v>
      </c>
      <c r="E11" s="664">
        <v>0.67074999999999951</v>
      </c>
      <c r="F11" s="665" t="s">
        <v>259</v>
      </c>
      <c r="G11" s="666">
        <v>2</v>
      </c>
    </row>
    <row r="12" spans="1:7" ht="12.75">
      <c r="A12" s="660" t="s">
        <v>263</v>
      </c>
      <c r="B12" s="661">
        <v>4</v>
      </c>
      <c r="C12" s="662">
        <v>43626</v>
      </c>
      <c r="D12" s="663" t="s">
        <v>258</v>
      </c>
      <c r="E12" s="664">
        <v>2.1387264295179524</v>
      </c>
      <c r="F12" s="665" t="s">
        <v>259</v>
      </c>
      <c r="G12" s="666">
        <v>2</v>
      </c>
    </row>
    <row r="13" spans="1:7" ht="12.75">
      <c r="A13" s="660" t="s">
        <v>264</v>
      </c>
      <c r="B13" s="661">
        <v>5</v>
      </c>
      <c r="C13" s="662">
        <v>43626</v>
      </c>
      <c r="D13" s="663" t="s">
        <v>262</v>
      </c>
      <c r="E13" s="664">
        <v>3.0811669796272803</v>
      </c>
      <c r="F13" s="665" t="s">
        <v>265</v>
      </c>
      <c r="G13" s="666">
        <v>2</v>
      </c>
    </row>
    <row r="14" spans="1:7" ht="12.75">
      <c r="A14" s="660" t="s">
        <v>261</v>
      </c>
      <c r="B14" s="661">
        <v>6</v>
      </c>
      <c r="C14" s="662">
        <v>43627</v>
      </c>
      <c r="D14" s="663" t="s">
        <v>262</v>
      </c>
      <c r="E14" s="664">
        <v>0.67261000000000015</v>
      </c>
      <c r="F14" s="665" t="s">
        <v>265</v>
      </c>
      <c r="G14" s="666">
        <v>4</v>
      </c>
    </row>
    <row r="15" spans="1:7" ht="12.75">
      <c r="A15" s="660" t="s">
        <v>264</v>
      </c>
      <c r="B15" s="661">
        <v>7</v>
      </c>
      <c r="C15" s="662">
        <v>43627</v>
      </c>
      <c r="D15" s="663" t="s">
        <v>262</v>
      </c>
      <c r="E15" s="664">
        <v>3.1754692286862012</v>
      </c>
      <c r="F15" s="665" t="s">
        <v>265</v>
      </c>
      <c r="G15" s="666">
        <v>4</v>
      </c>
    </row>
    <row r="16" spans="1:7" ht="12.75">
      <c r="A16" s="660" t="s">
        <v>261</v>
      </c>
      <c r="B16" s="661">
        <v>8</v>
      </c>
      <c r="C16" s="662">
        <v>43628</v>
      </c>
      <c r="D16" s="663" t="s">
        <v>262</v>
      </c>
      <c r="E16" s="664">
        <v>0.60821333333333361</v>
      </c>
      <c r="F16" s="665" t="s">
        <v>266</v>
      </c>
      <c r="G16" s="666">
        <v>7</v>
      </c>
    </row>
    <row r="17" spans="1:7" ht="12.75">
      <c r="A17" s="660" t="s">
        <v>263</v>
      </c>
      <c r="B17" s="661">
        <v>9</v>
      </c>
      <c r="C17" s="662">
        <v>43639</v>
      </c>
      <c r="D17" s="663" t="s">
        <v>258</v>
      </c>
      <c r="E17" s="664">
        <v>0.4245280014010484</v>
      </c>
      <c r="F17" s="665" t="s">
        <v>259</v>
      </c>
      <c r="G17" s="666">
        <v>4</v>
      </c>
    </row>
    <row r="18" spans="1:7" ht="12.75">
      <c r="A18" s="660" t="s">
        <v>263</v>
      </c>
      <c r="B18" s="661">
        <v>10</v>
      </c>
      <c r="C18" s="662">
        <v>43658</v>
      </c>
      <c r="D18" s="663" t="s">
        <v>258</v>
      </c>
      <c r="E18" s="664">
        <v>2.2498874724790205</v>
      </c>
      <c r="F18" s="665" t="s">
        <v>265</v>
      </c>
      <c r="G18" s="666">
        <v>6</v>
      </c>
    </row>
    <row r="19" spans="1:7" ht="12.75">
      <c r="A19" s="660" t="s">
        <v>263</v>
      </c>
      <c r="B19" s="661">
        <v>11</v>
      </c>
      <c r="C19" s="662">
        <v>43668</v>
      </c>
      <c r="D19" s="663" t="s">
        <v>258</v>
      </c>
      <c r="E19" s="664">
        <v>3.5565976551089893</v>
      </c>
      <c r="F19" s="665" t="s">
        <v>265</v>
      </c>
      <c r="G19" s="666">
        <v>8</v>
      </c>
    </row>
    <row r="20" spans="1:7" ht="12.75">
      <c r="A20" s="660" t="s">
        <v>263</v>
      </c>
      <c r="B20" s="661">
        <v>12</v>
      </c>
      <c r="C20" s="662">
        <v>43669</v>
      </c>
      <c r="D20" s="663" t="s">
        <v>258</v>
      </c>
      <c r="E20" s="664">
        <v>4.8023554615402277</v>
      </c>
      <c r="F20" s="665" t="s">
        <v>267</v>
      </c>
      <c r="G20" s="666">
        <v>11</v>
      </c>
    </row>
    <row r="21" spans="1:7" ht="12.75">
      <c r="A21" s="660" t="s">
        <v>268</v>
      </c>
      <c r="B21" s="661">
        <v>13</v>
      </c>
      <c r="C21" s="662">
        <v>43669</v>
      </c>
      <c r="D21" s="663" t="s">
        <v>262</v>
      </c>
      <c r="E21" s="664">
        <v>0.4</v>
      </c>
      <c r="F21" s="665" t="s">
        <v>269</v>
      </c>
      <c r="G21" s="666">
        <v>2</v>
      </c>
    </row>
    <row r="22" spans="1:7" ht="12.75">
      <c r="A22" s="660" t="s">
        <v>261</v>
      </c>
      <c r="B22" s="661">
        <v>14</v>
      </c>
      <c r="C22" s="662">
        <v>43669</v>
      </c>
      <c r="D22" s="663" t="s">
        <v>262</v>
      </c>
      <c r="E22" s="664">
        <v>0</v>
      </c>
      <c r="F22" s="665" t="s">
        <v>265</v>
      </c>
      <c r="G22" s="666">
        <v>9</v>
      </c>
    </row>
    <row r="23" spans="1:7" ht="12.75">
      <c r="A23" s="660" t="s">
        <v>264</v>
      </c>
      <c r="B23" s="661">
        <v>15</v>
      </c>
      <c r="C23" s="662">
        <v>43669</v>
      </c>
      <c r="D23" s="663" t="s">
        <v>262</v>
      </c>
      <c r="E23" s="664">
        <v>1.3</v>
      </c>
      <c r="F23" s="665" t="s">
        <v>265</v>
      </c>
      <c r="G23" s="666">
        <v>6</v>
      </c>
    </row>
    <row r="24" spans="1:7" ht="12.75">
      <c r="A24" s="660" t="s">
        <v>263</v>
      </c>
      <c r="B24" s="661">
        <v>16</v>
      </c>
      <c r="C24" s="662">
        <v>43670</v>
      </c>
      <c r="D24" s="663" t="s">
        <v>258</v>
      </c>
      <c r="E24" s="664">
        <v>6.8823938304985495</v>
      </c>
      <c r="F24" s="665" t="s">
        <v>265</v>
      </c>
      <c r="G24" s="666">
        <v>13</v>
      </c>
    </row>
    <row r="25" spans="1:7" ht="12.75">
      <c r="A25" s="660" t="s">
        <v>257</v>
      </c>
      <c r="B25" s="661">
        <v>17</v>
      </c>
      <c r="C25" s="662">
        <v>43668</v>
      </c>
      <c r="D25" s="663" t="s">
        <v>258</v>
      </c>
      <c r="E25" s="664">
        <v>2.7</v>
      </c>
      <c r="F25" s="665" t="s">
        <v>266</v>
      </c>
      <c r="G25" s="666">
        <v>5</v>
      </c>
    </row>
    <row r="26" spans="1:7" ht="12.75">
      <c r="A26" s="660" t="s">
        <v>260</v>
      </c>
      <c r="B26" s="661">
        <v>18</v>
      </c>
      <c r="C26" s="662">
        <v>43668</v>
      </c>
      <c r="D26" s="663" t="s">
        <v>258</v>
      </c>
      <c r="E26" s="664">
        <v>0.6</v>
      </c>
      <c r="F26" s="665" t="s">
        <v>266</v>
      </c>
      <c r="G26" s="666">
        <v>5</v>
      </c>
    </row>
    <row r="27" spans="1:7" ht="12.75">
      <c r="A27" s="660" t="s">
        <v>257</v>
      </c>
      <c r="B27" s="661">
        <v>19</v>
      </c>
      <c r="C27" s="662">
        <v>43669</v>
      </c>
      <c r="D27" s="663" t="s">
        <v>258</v>
      </c>
      <c r="E27" s="664">
        <v>3.7</v>
      </c>
      <c r="F27" s="665" t="s">
        <v>265</v>
      </c>
      <c r="G27" s="666">
        <v>7</v>
      </c>
    </row>
    <row r="28" spans="1:7" ht="12.75">
      <c r="A28" s="660" t="s">
        <v>260</v>
      </c>
      <c r="B28" s="661">
        <v>20</v>
      </c>
      <c r="C28" s="662">
        <v>43669</v>
      </c>
      <c r="D28" s="663" t="s">
        <v>258</v>
      </c>
      <c r="E28" s="664">
        <v>0.48</v>
      </c>
      <c r="F28" s="665" t="s">
        <v>265</v>
      </c>
      <c r="G28" s="666">
        <v>7</v>
      </c>
    </row>
    <row r="29" spans="1:7" ht="12.75">
      <c r="A29" s="660" t="s">
        <v>257</v>
      </c>
      <c r="B29" s="661">
        <v>21</v>
      </c>
      <c r="C29" s="662">
        <v>43670</v>
      </c>
      <c r="D29" s="663" t="s">
        <v>258</v>
      </c>
      <c r="E29" s="664">
        <v>7.5</v>
      </c>
      <c r="F29" s="665" t="s">
        <v>265</v>
      </c>
      <c r="G29" s="666">
        <v>11</v>
      </c>
    </row>
    <row r="30" spans="1:7" ht="12.75">
      <c r="A30" s="660" t="s">
        <v>260</v>
      </c>
      <c r="B30" s="661">
        <v>22</v>
      </c>
      <c r="C30" s="662">
        <v>43670</v>
      </c>
      <c r="D30" s="663" t="s">
        <v>258</v>
      </c>
      <c r="E30" s="664">
        <v>0.8</v>
      </c>
      <c r="F30" s="665" t="s">
        <v>265</v>
      </c>
      <c r="G30" s="666">
        <v>9</v>
      </c>
    </row>
    <row r="31" spans="1:7" ht="12.75">
      <c r="A31" s="660" t="s">
        <v>268</v>
      </c>
      <c r="B31" s="661">
        <v>23</v>
      </c>
      <c r="C31" s="662">
        <v>43670</v>
      </c>
      <c r="D31" s="663" t="s">
        <v>262</v>
      </c>
      <c r="E31" s="664">
        <v>0.49116794444444434</v>
      </c>
      <c r="F31" s="665" t="s">
        <v>269</v>
      </c>
      <c r="G31" s="666">
        <v>4</v>
      </c>
    </row>
    <row r="32" spans="1:7" ht="12.75">
      <c r="A32" s="660" t="s">
        <v>261</v>
      </c>
      <c r="B32" s="661">
        <v>24</v>
      </c>
      <c r="C32" s="662">
        <v>43670</v>
      </c>
      <c r="D32" s="663" t="s">
        <v>262</v>
      </c>
      <c r="E32" s="664">
        <v>-0.10649599999999998</v>
      </c>
      <c r="F32" s="665" t="s">
        <v>265</v>
      </c>
      <c r="G32" s="666">
        <v>11</v>
      </c>
    </row>
    <row r="33" spans="1:7" ht="12.75">
      <c r="A33" s="660" t="s">
        <v>270</v>
      </c>
      <c r="B33" s="661">
        <v>25</v>
      </c>
      <c r="C33" s="662">
        <v>43670</v>
      </c>
      <c r="D33" s="663" t="s">
        <v>262</v>
      </c>
      <c r="E33" s="664">
        <v>9.3902765150991871E-2</v>
      </c>
      <c r="F33" s="665" t="s">
        <v>269</v>
      </c>
      <c r="G33" s="666">
        <v>2</v>
      </c>
    </row>
    <row r="34" spans="1:7" ht="12.75">
      <c r="A34" s="660" t="s">
        <v>264</v>
      </c>
      <c r="B34" s="661">
        <v>26</v>
      </c>
      <c r="C34" s="662">
        <v>43670</v>
      </c>
      <c r="D34" s="663" t="s">
        <v>262</v>
      </c>
      <c r="E34" s="664">
        <v>1.4187378410452176</v>
      </c>
      <c r="F34" s="665" t="s">
        <v>265</v>
      </c>
      <c r="G34" s="666">
        <v>8</v>
      </c>
    </row>
    <row r="35" spans="1:7" ht="12.75">
      <c r="A35" s="660" t="s">
        <v>261</v>
      </c>
      <c r="B35" s="661">
        <v>27</v>
      </c>
      <c r="C35" s="662">
        <v>43671</v>
      </c>
      <c r="D35" s="663" t="s">
        <v>262</v>
      </c>
      <c r="E35" s="664">
        <v>-7.6816000000000023E-2</v>
      </c>
      <c r="F35" s="665" t="s">
        <v>265</v>
      </c>
      <c r="G35" s="666">
        <v>13</v>
      </c>
    </row>
    <row r="36" spans="1:7" ht="12.75">
      <c r="A36" s="660" t="s">
        <v>264</v>
      </c>
      <c r="B36" s="661">
        <v>28</v>
      </c>
      <c r="C36" s="662">
        <v>43671</v>
      </c>
      <c r="D36" s="663" t="s">
        <v>262</v>
      </c>
      <c r="E36" s="664">
        <v>1.2546738234333725</v>
      </c>
      <c r="F36" s="665" t="s">
        <v>265</v>
      </c>
      <c r="G36" s="666">
        <v>10</v>
      </c>
    </row>
    <row r="37" spans="1:7" ht="12.75">
      <c r="A37" s="660" t="s">
        <v>263</v>
      </c>
      <c r="B37" s="661">
        <v>29</v>
      </c>
      <c r="C37" s="662">
        <v>43675</v>
      </c>
      <c r="D37" s="663" t="s">
        <v>258</v>
      </c>
      <c r="E37" s="664">
        <v>1.5893271253845014</v>
      </c>
      <c r="F37" s="665" t="s">
        <v>265</v>
      </c>
      <c r="G37" s="666">
        <v>15</v>
      </c>
    </row>
    <row r="38" spans="1:7" ht="12.75">
      <c r="A38" s="660" t="s">
        <v>257</v>
      </c>
      <c r="B38" s="661">
        <v>30</v>
      </c>
      <c r="C38" s="662">
        <v>43675</v>
      </c>
      <c r="D38" s="663" t="s">
        <v>258</v>
      </c>
      <c r="E38" s="664">
        <v>3.8</v>
      </c>
      <c r="F38" s="665" t="s">
        <v>265</v>
      </c>
      <c r="G38" s="666">
        <v>13</v>
      </c>
    </row>
    <row r="39" spans="1:7" ht="12.75">
      <c r="A39" s="660" t="s">
        <v>260</v>
      </c>
      <c r="B39" s="661">
        <v>31</v>
      </c>
      <c r="C39" s="662">
        <v>43675</v>
      </c>
      <c r="D39" s="663" t="s">
        <v>258</v>
      </c>
      <c r="E39" s="664">
        <v>0.2</v>
      </c>
      <c r="F39" s="665" t="s">
        <v>265</v>
      </c>
      <c r="G39" s="666">
        <v>11</v>
      </c>
    </row>
    <row r="40" spans="1:7" ht="12.75">
      <c r="A40" s="660" t="s">
        <v>257</v>
      </c>
      <c r="B40" s="661">
        <v>32</v>
      </c>
      <c r="C40" s="662">
        <v>43681</v>
      </c>
      <c r="D40" s="663" t="s">
        <v>258</v>
      </c>
      <c r="E40" s="664">
        <v>4.5999999999999996</v>
      </c>
      <c r="F40" s="665" t="s">
        <v>265</v>
      </c>
      <c r="G40" s="666">
        <v>15</v>
      </c>
    </row>
    <row r="41" spans="1:7" ht="12.75">
      <c r="A41" s="660" t="s">
        <v>260</v>
      </c>
      <c r="B41" s="661">
        <v>33</v>
      </c>
      <c r="C41" s="662">
        <v>43681</v>
      </c>
      <c r="D41" s="663" t="s">
        <v>258</v>
      </c>
      <c r="E41" s="664">
        <v>0.39</v>
      </c>
      <c r="F41" s="665" t="s">
        <v>265</v>
      </c>
      <c r="G41" s="666">
        <v>13</v>
      </c>
    </row>
    <row r="42" spans="1:7" ht="12.75">
      <c r="A42" s="660" t="s">
        <v>257</v>
      </c>
      <c r="B42" s="661">
        <v>34</v>
      </c>
      <c r="C42" s="662">
        <v>43682</v>
      </c>
      <c r="D42" s="663" t="s">
        <v>258</v>
      </c>
      <c r="E42" s="664">
        <v>4.5999999999999996</v>
      </c>
      <c r="F42" s="665" t="s">
        <v>265</v>
      </c>
      <c r="G42" s="666">
        <v>17</v>
      </c>
    </row>
    <row r="43" spans="1:7" ht="12.75">
      <c r="A43" s="660" t="s">
        <v>260</v>
      </c>
      <c r="B43" s="661">
        <v>35</v>
      </c>
      <c r="C43" s="662">
        <v>43682</v>
      </c>
      <c r="D43" s="663" t="s">
        <v>258</v>
      </c>
      <c r="E43" s="664">
        <v>0.37</v>
      </c>
      <c r="F43" s="665" t="s">
        <v>265</v>
      </c>
      <c r="G43" s="666">
        <v>15</v>
      </c>
    </row>
    <row r="44" spans="1:7" ht="12.75">
      <c r="A44" s="660" t="s">
        <v>263</v>
      </c>
      <c r="B44" s="661">
        <v>36</v>
      </c>
      <c r="C44" s="662">
        <v>43681</v>
      </c>
      <c r="D44" s="663" t="s">
        <v>258</v>
      </c>
      <c r="E44" s="664">
        <v>3.4079449019775763</v>
      </c>
      <c r="F44" s="665" t="s">
        <v>265</v>
      </c>
      <c r="G44" s="666">
        <v>17</v>
      </c>
    </row>
    <row r="45" spans="1:7" ht="12.75">
      <c r="A45" s="660" t="s">
        <v>268</v>
      </c>
      <c r="B45" s="661">
        <v>37</v>
      </c>
      <c r="C45" s="662">
        <v>43682</v>
      </c>
      <c r="D45" s="663" t="s">
        <v>258</v>
      </c>
      <c r="E45" s="664">
        <v>0.70368811300235046</v>
      </c>
      <c r="F45" s="665" t="s">
        <v>269</v>
      </c>
      <c r="G45" s="666">
        <v>6</v>
      </c>
    </row>
    <row r="46" spans="1:7" ht="12.75">
      <c r="A46" s="660" t="s">
        <v>263</v>
      </c>
      <c r="B46" s="661">
        <v>38</v>
      </c>
      <c r="C46" s="662">
        <v>43682</v>
      </c>
      <c r="D46" s="663" t="s">
        <v>258</v>
      </c>
      <c r="E46" s="664">
        <v>3.253288494859218</v>
      </c>
      <c r="F46" s="665" t="s">
        <v>265</v>
      </c>
      <c r="G46" s="666">
        <v>19</v>
      </c>
    </row>
    <row r="47" spans="1:7" ht="12.75">
      <c r="A47" s="660" t="s">
        <v>257</v>
      </c>
      <c r="B47" s="661">
        <v>39</v>
      </c>
      <c r="C47" s="662">
        <v>43683</v>
      </c>
      <c r="D47" s="663" t="s">
        <v>258</v>
      </c>
      <c r="E47" s="664">
        <v>4.8</v>
      </c>
      <c r="F47" s="665" t="s">
        <v>265</v>
      </c>
      <c r="G47" s="666">
        <v>19</v>
      </c>
    </row>
    <row r="48" spans="1:7" ht="12.75">
      <c r="A48" s="660" t="s">
        <v>260</v>
      </c>
      <c r="B48" s="661">
        <v>40</v>
      </c>
      <c r="C48" s="662">
        <v>43683</v>
      </c>
      <c r="D48" s="663" t="s">
        <v>258</v>
      </c>
      <c r="E48" s="664">
        <v>0.46</v>
      </c>
      <c r="F48" s="665" t="s">
        <v>265</v>
      </c>
      <c r="G48" s="666">
        <v>17</v>
      </c>
    </row>
    <row r="49" spans="1:7" ht="12.75">
      <c r="A49" s="660" t="s">
        <v>263</v>
      </c>
      <c r="B49" s="661">
        <v>41</v>
      </c>
      <c r="C49" s="662">
        <v>43683</v>
      </c>
      <c r="D49" s="663" t="s">
        <v>258</v>
      </c>
      <c r="E49" s="664">
        <v>3.6785272637663269</v>
      </c>
      <c r="F49" s="665" t="s">
        <v>265</v>
      </c>
      <c r="G49" s="666">
        <v>21</v>
      </c>
    </row>
    <row r="50" spans="1:7" ht="12.75">
      <c r="A50" s="660" t="s">
        <v>263</v>
      </c>
      <c r="B50" s="661">
        <v>42</v>
      </c>
      <c r="C50" s="662">
        <v>43688</v>
      </c>
      <c r="D50" s="663" t="s">
        <v>258</v>
      </c>
      <c r="E50" s="664">
        <v>2.1199248921499643</v>
      </c>
      <c r="F50" s="665" t="s">
        <v>259</v>
      </c>
      <c r="G50" s="666">
        <v>23</v>
      </c>
    </row>
    <row r="51" spans="1:7" ht="12.75">
      <c r="A51" s="660" t="s">
        <v>268</v>
      </c>
      <c r="B51" s="661">
        <v>43</v>
      </c>
      <c r="C51" s="662">
        <v>43691</v>
      </c>
      <c r="D51" s="663" t="s">
        <v>258</v>
      </c>
      <c r="E51" s="664">
        <v>0.62</v>
      </c>
      <c r="F51" s="665" t="s">
        <v>269</v>
      </c>
      <c r="G51" s="666">
        <v>8</v>
      </c>
    </row>
    <row r="52" spans="1:7" ht="12.75">
      <c r="A52" s="660" t="s">
        <v>268</v>
      </c>
      <c r="B52" s="661">
        <v>44</v>
      </c>
      <c r="C52" s="662">
        <v>43692</v>
      </c>
      <c r="D52" s="663" t="s">
        <v>258</v>
      </c>
      <c r="E52" s="664">
        <v>0.6284923046736115</v>
      </c>
      <c r="F52" s="665" t="s">
        <v>269</v>
      </c>
      <c r="G52" s="666">
        <v>10</v>
      </c>
    </row>
    <row r="53" spans="1:7" ht="12.75">
      <c r="A53" s="660" t="s">
        <v>257</v>
      </c>
      <c r="B53" s="661">
        <v>45</v>
      </c>
      <c r="C53" s="662">
        <v>43691</v>
      </c>
      <c r="D53" s="663" t="s">
        <v>258</v>
      </c>
      <c r="E53" s="664">
        <v>4</v>
      </c>
      <c r="F53" s="665" t="s">
        <v>265</v>
      </c>
      <c r="G53" s="666">
        <v>21</v>
      </c>
    </row>
    <row r="54" spans="1:7" ht="12.75">
      <c r="A54" s="660" t="s">
        <v>260</v>
      </c>
      <c r="B54" s="661">
        <v>46</v>
      </c>
      <c r="C54" s="662">
        <v>43691</v>
      </c>
      <c r="D54" s="663" t="s">
        <v>258</v>
      </c>
      <c r="E54" s="664">
        <v>0.69</v>
      </c>
      <c r="F54" s="665" t="s">
        <v>265</v>
      </c>
      <c r="G54" s="666">
        <v>19</v>
      </c>
    </row>
    <row r="55" spans="1:7" ht="12.75">
      <c r="A55" s="660" t="s">
        <v>263</v>
      </c>
      <c r="B55" s="661">
        <v>47</v>
      </c>
      <c r="C55" s="662">
        <v>43691</v>
      </c>
      <c r="D55" s="663" t="s">
        <v>258</v>
      </c>
      <c r="E55" s="664">
        <v>1.9820189794517122</v>
      </c>
      <c r="F55" s="665" t="s">
        <v>265</v>
      </c>
      <c r="G55" s="666">
        <v>25</v>
      </c>
    </row>
    <row r="56" spans="1:7" ht="12.75">
      <c r="A56" s="660" t="s">
        <v>257</v>
      </c>
      <c r="B56" s="661">
        <v>48</v>
      </c>
      <c r="C56" s="662">
        <v>43692</v>
      </c>
      <c r="D56" s="663" t="s">
        <v>258</v>
      </c>
      <c r="E56" s="664">
        <v>3.9</v>
      </c>
      <c r="F56" s="665" t="s">
        <v>265</v>
      </c>
      <c r="G56" s="666">
        <v>23</v>
      </c>
    </row>
    <row r="57" spans="1:7" ht="12.75">
      <c r="A57" s="660" t="s">
        <v>260</v>
      </c>
      <c r="B57" s="661">
        <v>49</v>
      </c>
      <c r="C57" s="662">
        <v>43692</v>
      </c>
      <c r="D57" s="663" t="s">
        <v>258</v>
      </c>
      <c r="E57" s="664">
        <v>0.8</v>
      </c>
      <c r="F57" s="665" t="s">
        <v>265</v>
      </c>
      <c r="G57" s="666">
        <v>21</v>
      </c>
    </row>
    <row r="58" spans="1:7" ht="12.75">
      <c r="A58" s="660" t="s">
        <v>263</v>
      </c>
      <c r="B58" s="661">
        <v>50</v>
      </c>
      <c r="C58" s="662">
        <v>43692</v>
      </c>
      <c r="D58" s="663" t="s">
        <v>258</v>
      </c>
      <c r="E58" s="664">
        <v>2.3592123287577058</v>
      </c>
      <c r="F58" s="665" t="s">
        <v>265</v>
      </c>
      <c r="G58" s="666">
        <v>27</v>
      </c>
    </row>
    <row r="59" spans="1:7" ht="12.75">
      <c r="A59" s="660" t="s">
        <v>264</v>
      </c>
      <c r="B59" s="661">
        <v>51</v>
      </c>
      <c r="C59" s="662">
        <v>43692</v>
      </c>
      <c r="D59" s="663" t="s">
        <v>258</v>
      </c>
      <c r="E59" s="664">
        <v>2.31</v>
      </c>
      <c r="F59" s="665" t="s">
        <v>265</v>
      </c>
      <c r="G59" s="666">
        <v>12</v>
      </c>
    </row>
    <row r="60" spans="1:7" ht="12.75">
      <c r="A60" s="660" t="s">
        <v>263</v>
      </c>
      <c r="B60" s="661">
        <v>52</v>
      </c>
      <c r="C60" s="662">
        <v>43703</v>
      </c>
      <c r="D60" s="663" t="s">
        <v>258</v>
      </c>
      <c r="E60" s="664">
        <v>4.1961944982552772</v>
      </c>
      <c r="F60" s="665" t="s">
        <v>265</v>
      </c>
      <c r="G60" s="666">
        <v>29</v>
      </c>
    </row>
    <row r="61" spans="1:7" ht="12.75">
      <c r="A61" s="660" t="s">
        <v>257</v>
      </c>
      <c r="B61" s="661">
        <v>53</v>
      </c>
      <c r="C61" s="662">
        <v>43703</v>
      </c>
      <c r="D61" s="663" t="s">
        <v>258</v>
      </c>
      <c r="E61" s="664">
        <v>6.4</v>
      </c>
      <c r="F61" s="665" t="s">
        <v>265</v>
      </c>
      <c r="G61" s="666">
        <v>25</v>
      </c>
    </row>
    <row r="62" spans="1:7" ht="12.75">
      <c r="A62" s="660" t="s">
        <v>260</v>
      </c>
      <c r="B62" s="661">
        <v>54</v>
      </c>
      <c r="C62" s="662">
        <v>43703</v>
      </c>
      <c r="D62" s="663" t="s">
        <v>258</v>
      </c>
      <c r="E62" s="664">
        <v>0.48</v>
      </c>
      <c r="F62" s="665" t="s">
        <v>265</v>
      </c>
      <c r="G62" s="666">
        <v>23</v>
      </c>
    </row>
    <row r="63" spans="1:7" ht="12.75">
      <c r="A63" s="660" t="s">
        <v>257</v>
      </c>
      <c r="B63" s="661">
        <v>55</v>
      </c>
      <c r="C63" s="662">
        <v>43704</v>
      </c>
      <c r="D63" s="663" t="s">
        <v>258</v>
      </c>
      <c r="E63" s="664">
        <v>5.4</v>
      </c>
      <c r="F63" s="665" t="s">
        <v>265</v>
      </c>
      <c r="G63" s="666">
        <v>27</v>
      </c>
    </row>
    <row r="64" spans="1:7" ht="12.75">
      <c r="A64" s="660" t="s">
        <v>260</v>
      </c>
      <c r="B64" s="661">
        <v>56</v>
      </c>
      <c r="C64" s="662">
        <v>43704</v>
      </c>
      <c r="D64" s="663" t="s">
        <v>258</v>
      </c>
      <c r="E64" s="664">
        <v>0.48</v>
      </c>
      <c r="F64" s="665" t="s">
        <v>265</v>
      </c>
      <c r="G64" s="666">
        <v>25</v>
      </c>
    </row>
    <row r="65" spans="1:9" ht="12.75">
      <c r="A65" s="660" t="s">
        <v>263</v>
      </c>
      <c r="B65" s="661">
        <v>57</v>
      </c>
      <c r="C65" s="662">
        <v>43704</v>
      </c>
      <c r="D65" s="663" t="s">
        <v>258</v>
      </c>
      <c r="E65" s="664">
        <v>3.3648637675546977</v>
      </c>
      <c r="F65" s="665" t="s">
        <v>265</v>
      </c>
      <c r="G65" s="666">
        <v>31</v>
      </c>
    </row>
    <row r="66" spans="1:9" ht="12.75">
      <c r="A66" s="660" t="s">
        <v>268</v>
      </c>
      <c r="B66" s="661">
        <v>58</v>
      </c>
      <c r="C66" s="662">
        <v>43704</v>
      </c>
      <c r="D66" s="663" t="s">
        <v>258</v>
      </c>
      <c r="E66" s="664">
        <v>0.60917144011533386</v>
      </c>
      <c r="F66" s="665" t="s">
        <v>269</v>
      </c>
      <c r="G66" s="666">
        <v>12</v>
      </c>
    </row>
    <row r="67" spans="1:9" ht="12.75">
      <c r="A67" s="667"/>
      <c r="B67" s="668"/>
      <c r="C67" s="669"/>
      <c r="D67" s="670"/>
      <c r="E67" s="671"/>
      <c r="F67" s="672"/>
      <c r="G67" s="673"/>
    </row>
    <row r="68" spans="1:9" ht="14.25" customHeight="1">
      <c r="A68" s="693"/>
      <c r="B68" s="694"/>
      <c r="C68" s="559"/>
      <c r="D68" s="670"/>
      <c r="E68" s="671"/>
      <c r="F68" s="672"/>
      <c r="G68" s="673"/>
    </row>
    <row r="69" spans="1:9" ht="12.75">
      <c r="A69" s="674" t="s">
        <v>43</v>
      </c>
      <c r="B69" s="675"/>
      <c r="C69" s="676"/>
      <c r="D69" s="670"/>
      <c r="E69" s="677"/>
      <c r="F69" s="672"/>
      <c r="G69" s="670"/>
    </row>
    <row r="70" spans="1:9" ht="18.75">
      <c r="A70" s="678" t="s">
        <v>271</v>
      </c>
      <c r="B70" s="675"/>
      <c r="C70" s="676"/>
      <c r="D70" s="670"/>
      <c r="E70" s="677"/>
      <c r="F70" s="672"/>
      <c r="G70" s="670"/>
    </row>
    <row r="71" spans="1:9" ht="18.75">
      <c r="A71" s="678" t="s">
        <v>272</v>
      </c>
      <c r="B71" s="675"/>
      <c r="C71" s="676"/>
      <c r="D71" s="670"/>
      <c r="E71" s="677"/>
      <c r="F71" s="672"/>
      <c r="G71" s="670"/>
    </row>
    <row r="72" spans="1:9" ht="15.75">
      <c r="A72" s="678"/>
      <c r="B72" s="675"/>
      <c r="C72" s="676"/>
      <c r="D72" s="670"/>
      <c r="E72" s="677"/>
      <c r="F72" s="672"/>
      <c r="G72" s="670"/>
    </row>
    <row r="73" spans="1:9" ht="12.75">
      <c r="A73" s="531" t="s">
        <v>51</v>
      </c>
      <c r="B73" s="679"/>
      <c r="C73" s="679"/>
      <c r="D73" s="679"/>
      <c r="E73" s="695"/>
      <c r="F73" s="679"/>
      <c r="G73" s="679"/>
    </row>
    <row r="74" spans="1:9" ht="14.25" customHeight="1">
      <c r="E74" s="696"/>
      <c r="F74" s="697"/>
    </row>
    <row r="75" spans="1:9" ht="14.25" customHeight="1">
      <c r="E75" s="696"/>
      <c r="F75" s="697"/>
    </row>
    <row r="76" spans="1:9" s="680" customFormat="1" ht="13.5">
      <c r="C76" s="559"/>
      <c r="D76" s="697"/>
      <c r="E76" s="697"/>
      <c r="F76" s="681"/>
      <c r="G76" s="681"/>
      <c r="H76" s="681"/>
      <c r="I76" s="682"/>
    </row>
  </sheetData>
  <mergeCells count="1">
    <mergeCell ref="A7:G7"/>
  </mergeCells>
  <phoneticPr fontId="0" type="noConversion"/>
  <printOptions horizontalCentered="1"/>
  <pageMargins left="0" right="0" top="0.55000000000000004" bottom="0.17" header="0.3" footer="0.15"/>
  <pageSetup paperSize="5" scale="53" orientation="landscape" cellComments="atEnd" r:id="rId1"/>
  <headerFooter alignWithMargins="0">
    <oddHeader xml:space="preserve">&amp;C&amp;"Arial,Bold"
</oddHeader>
    <oddFooter>&amp;Rpage 9 of 12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6"/>
  <sheetViews>
    <sheetView zoomScaleNormal="100" zoomScaleSheetLayoutView="75" workbookViewId="0">
      <selection activeCell="H19" sqref="H19"/>
    </sheetView>
  </sheetViews>
  <sheetFormatPr defaultColWidth="17" defaultRowHeight="12"/>
  <cols>
    <col min="1" max="1" width="46.140625" style="246" customWidth="1"/>
    <col min="2" max="3" width="11.7109375" style="246" customWidth="1"/>
    <col min="4" max="4" width="15.5703125" style="246" customWidth="1"/>
    <col min="5" max="7" width="11.7109375" style="246" customWidth="1"/>
    <col min="8" max="8" width="14.85546875" style="246" customWidth="1"/>
    <col min="9" max="9" width="11.7109375" style="246" customWidth="1"/>
    <col min="10" max="10" width="11.7109375" style="247" customWidth="1"/>
    <col min="11" max="11" width="11.7109375" style="246" customWidth="1"/>
    <col min="12" max="12" width="12.28515625" style="246" customWidth="1"/>
    <col min="13" max="13" width="11.7109375" style="246" customWidth="1"/>
    <col min="14" max="14" width="12.7109375" style="246" customWidth="1"/>
    <col min="15" max="16384" width="17" style="246"/>
  </cols>
  <sheetData>
    <row r="1" spans="1:14">
      <c r="E1" s="244" t="s">
        <v>0</v>
      </c>
    </row>
    <row r="2" spans="1:14">
      <c r="E2" s="244" t="s">
        <v>273</v>
      </c>
    </row>
    <row r="3" spans="1:14">
      <c r="D3" s="248"/>
      <c r="E3" s="249" t="str">
        <f>'Program MW '!H3</f>
        <v>August 2019</v>
      </c>
      <c r="F3" s="248"/>
    </row>
    <row r="4" spans="1:14" ht="12.75" thickBot="1"/>
    <row r="5" spans="1:14">
      <c r="A5" s="250"/>
      <c r="B5" s="251"/>
      <c r="C5" s="251"/>
      <c r="D5" s="251"/>
      <c r="E5" s="251"/>
      <c r="F5" s="251"/>
      <c r="G5" s="251"/>
      <c r="H5" s="251"/>
      <c r="I5" s="251"/>
      <c r="J5" s="252"/>
      <c r="K5" s="251"/>
      <c r="L5" s="251"/>
      <c r="M5" s="475"/>
      <c r="N5" s="319"/>
    </row>
    <row r="6" spans="1:14" ht="24">
      <c r="A6" s="253" t="s">
        <v>274</v>
      </c>
      <c r="B6" s="254" t="s">
        <v>3</v>
      </c>
      <c r="C6" s="254" t="s">
        <v>4</v>
      </c>
      <c r="D6" s="254" t="s">
        <v>5</v>
      </c>
      <c r="E6" s="254" t="s">
        <v>6</v>
      </c>
      <c r="F6" s="254" t="s">
        <v>7</v>
      </c>
      <c r="G6" s="254" t="s">
        <v>8</v>
      </c>
      <c r="H6" s="254" t="s">
        <v>35</v>
      </c>
      <c r="I6" s="254" t="s">
        <v>90</v>
      </c>
      <c r="J6" s="255" t="s">
        <v>91</v>
      </c>
      <c r="K6" s="254" t="s">
        <v>38</v>
      </c>
      <c r="L6" s="254" t="s">
        <v>92</v>
      </c>
      <c r="M6" s="476" t="s">
        <v>40</v>
      </c>
      <c r="N6" s="320" t="s">
        <v>275</v>
      </c>
    </row>
    <row r="7" spans="1:14">
      <c r="A7" s="256"/>
      <c r="B7" s="257"/>
      <c r="C7" s="257"/>
      <c r="D7" s="257"/>
      <c r="E7" s="257"/>
      <c r="F7" s="257"/>
      <c r="G7" s="257"/>
      <c r="H7" s="257"/>
      <c r="I7" s="257"/>
      <c r="J7" s="258"/>
      <c r="K7" s="257"/>
      <c r="L7" s="257"/>
      <c r="M7" s="477"/>
      <c r="N7" s="321"/>
    </row>
    <row r="8" spans="1:14">
      <c r="A8" s="259" t="s">
        <v>276</v>
      </c>
      <c r="B8" s="257"/>
      <c r="C8" s="257"/>
      <c r="D8" s="257"/>
      <c r="E8" s="257"/>
      <c r="F8" s="257"/>
      <c r="G8" s="257"/>
      <c r="H8" s="257"/>
      <c r="I8" s="257"/>
      <c r="J8" s="258"/>
      <c r="K8" s="257"/>
      <c r="L8" s="257"/>
      <c r="M8" s="477"/>
      <c r="N8" s="322"/>
    </row>
    <row r="9" spans="1:14">
      <c r="A9" s="448" t="s">
        <v>277</v>
      </c>
      <c r="B9" s="585">
        <v>3.992</v>
      </c>
      <c r="C9" s="586">
        <v>7.93</v>
      </c>
      <c r="D9" s="586">
        <v>6.8150000000000004</v>
      </c>
      <c r="E9" s="586">
        <v>8.9749999999999996</v>
      </c>
      <c r="F9" s="586">
        <v>8.7210000000000001</v>
      </c>
      <c r="G9" s="586">
        <v>7.3550000000000004</v>
      </c>
      <c r="H9" s="586">
        <v>11.489000000000001</v>
      </c>
      <c r="I9" s="586">
        <v>12.964</v>
      </c>
      <c r="J9" s="586">
        <v>0</v>
      </c>
      <c r="K9" s="586">
        <v>0</v>
      </c>
      <c r="L9" s="586">
        <v>0</v>
      </c>
      <c r="M9" s="587">
        <v>0</v>
      </c>
      <c r="N9" s="584">
        <f t="shared" ref="N9:N32" si="0">SUM(B9:M9)</f>
        <v>68.241000000000014</v>
      </c>
    </row>
    <row r="10" spans="1:14" ht="13.5">
      <c r="A10" s="448" t="s">
        <v>278</v>
      </c>
      <c r="B10" s="446">
        <v>8.7970000000000006</v>
      </c>
      <c r="C10" s="577">
        <v>94.406000000000006</v>
      </c>
      <c r="D10" s="577">
        <v>43.981999999999999</v>
      </c>
      <c r="E10" s="577">
        <v>2.6850000000000001</v>
      </c>
      <c r="F10" s="577">
        <v>73.950999999999993</v>
      </c>
      <c r="G10" s="577">
        <v>68.212000000000003</v>
      </c>
      <c r="H10" s="577">
        <v>37.917000000000002</v>
      </c>
      <c r="I10" s="577">
        <v>17.015000000000001</v>
      </c>
      <c r="J10" s="577">
        <v>0</v>
      </c>
      <c r="K10" s="577">
        <v>0</v>
      </c>
      <c r="L10" s="577">
        <v>0</v>
      </c>
      <c r="M10" s="588">
        <v>0</v>
      </c>
      <c r="N10" s="584">
        <f t="shared" si="0"/>
        <v>346.96500000000003</v>
      </c>
    </row>
    <row r="11" spans="1:14" ht="14.25">
      <c r="A11" s="448" t="s">
        <v>279</v>
      </c>
      <c r="B11" s="446">
        <v>-3.8959999999999999</v>
      </c>
      <c r="C11" s="577">
        <v>8.3930000000000007</v>
      </c>
      <c r="D11" s="577">
        <v>9.35</v>
      </c>
      <c r="E11" s="577">
        <v>3.87</v>
      </c>
      <c r="F11" s="577">
        <v>22.364000000000001</v>
      </c>
      <c r="G11" s="577">
        <v>9.7149999999999999</v>
      </c>
      <c r="H11" s="577">
        <v>-10.641999999999999</v>
      </c>
      <c r="I11" s="577">
        <v>5.66</v>
      </c>
      <c r="J11" s="577">
        <v>0</v>
      </c>
      <c r="K11" s="577">
        <v>0</v>
      </c>
      <c r="L11" s="577">
        <v>0</v>
      </c>
      <c r="M11" s="588">
        <v>0</v>
      </c>
      <c r="N11" s="584">
        <f t="shared" si="0"/>
        <v>44.814000000000007</v>
      </c>
    </row>
    <row r="12" spans="1:14">
      <c r="A12" s="448" t="s">
        <v>280</v>
      </c>
      <c r="B12" s="446">
        <v>0</v>
      </c>
      <c r="C12" s="577">
        <v>0</v>
      </c>
      <c r="D12" s="577">
        <v>0.36</v>
      </c>
      <c r="E12" s="577">
        <v>0.58399999999999996</v>
      </c>
      <c r="F12" s="577">
        <v>0.56000000000000005</v>
      </c>
      <c r="G12" s="577">
        <v>0</v>
      </c>
      <c r="H12" s="577">
        <v>0</v>
      </c>
      <c r="I12" s="577">
        <v>0</v>
      </c>
      <c r="J12" s="577">
        <v>0</v>
      </c>
      <c r="K12" s="577">
        <v>0</v>
      </c>
      <c r="L12" s="577">
        <v>0</v>
      </c>
      <c r="M12" s="588">
        <v>0</v>
      </c>
      <c r="N12" s="584">
        <f t="shared" si="0"/>
        <v>1.504</v>
      </c>
    </row>
    <row r="13" spans="1:14" ht="13.5">
      <c r="A13" s="448" t="s">
        <v>281</v>
      </c>
      <c r="B13" s="446">
        <v>17.975999999999999</v>
      </c>
      <c r="C13" s="577">
        <v>11.595000000000001</v>
      </c>
      <c r="D13" s="577">
        <v>15.244</v>
      </c>
      <c r="E13" s="577">
        <v>14</v>
      </c>
      <c r="F13" s="577">
        <v>27.783999999999999</v>
      </c>
      <c r="G13" s="577">
        <v>12.414</v>
      </c>
      <c r="H13" s="577">
        <v>-2.97</v>
      </c>
      <c r="I13" s="577">
        <v>16.518999999999998</v>
      </c>
      <c r="J13" s="577">
        <v>0</v>
      </c>
      <c r="K13" s="577">
        <v>0</v>
      </c>
      <c r="L13" s="577">
        <v>0</v>
      </c>
      <c r="M13" s="588">
        <v>0</v>
      </c>
      <c r="N13" s="584">
        <f t="shared" si="0"/>
        <v>112.56199999999998</v>
      </c>
    </row>
    <row r="14" spans="1:14" ht="14.25">
      <c r="A14" s="449" t="s">
        <v>282</v>
      </c>
      <c r="B14" s="446">
        <v>-0.19400000000000001</v>
      </c>
      <c r="C14" s="577">
        <v>0</v>
      </c>
      <c r="D14" s="577">
        <v>0</v>
      </c>
      <c r="E14" s="577">
        <v>0</v>
      </c>
      <c r="F14" s="577">
        <v>0</v>
      </c>
      <c r="G14" s="577">
        <v>0</v>
      </c>
      <c r="H14" s="577">
        <v>0</v>
      </c>
      <c r="I14" s="577">
        <v>0</v>
      </c>
      <c r="J14" s="577">
        <v>0</v>
      </c>
      <c r="K14" s="577">
        <v>0</v>
      </c>
      <c r="L14" s="577">
        <v>0</v>
      </c>
      <c r="M14" s="588">
        <v>0</v>
      </c>
      <c r="N14" s="584">
        <f t="shared" si="0"/>
        <v>-0.19400000000000001</v>
      </c>
    </row>
    <row r="15" spans="1:14">
      <c r="A15" s="448" t="s">
        <v>283</v>
      </c>
      <c r="B15" s="446">
        <v>9.7260000000000009</v>
      </c>
      <c r="C15" s="577">
        <v>7.2779999999999996</v>
      </c>
      <c r="D15" s="577">
        <v>11.63</v>
      </c>
      <c r="E15" s="577">
        <v>6.1349999999999998</v>
      </c>
      <c r="F15" s="577">
        <v>11.103999999999999</v>
      </c>
      <c r="G15" s="577">
        <v>8.3000000000000007</v>
      </c>
      <c r="H15" s="577">
        <v>5.2439999999999998</v>
      </c>
      <c r="I15" s="577">
        <v>9.76</v>
      </c>
      <c r="J15" s="577">
        <v>0</v>
      </c>
      <c r="K15" s="577">
        <v>0</v>
      </c>
      <c r="L15" s="577">
        <v>0</v>
      </c>
      <c r="M15" s="588">
        <v>0</v>
      </c>
      <c r="N15" s="584">
        <f t="shared" si="0"/>
        <v>69.177000000000007</v>
      </c>
    </row>
    <row r="16" spans="1:14">
      <c r="A16" s="448" t="s">
        <v>284</v>
      </c>
      <c r="B16" s="446">
        <v>13.273</v>
      </c>
      <c r="C16" s="577">
        <v>23.611000000000001</v>
      </c>
      <c r="D16" s="577">
        <v>14.292999999999999</v>
      </c>
      <c r="E16" s="577">
        <v>19.298999999999999</v>
      </c>
      <c r="F16" s="577">
        <v>39.445</v>
      </c>
      <c r="G16" s="577">
        <v>25.308</v>
      </c>
      <c r="H16" s="577">
        <v>56.316000000000003</v>
      </c>
      <c r="I16" s="577">
        <v>27.305</v>
      </c>
      <c r="J16" s="577">
        <v>0</v>
      </c>
      <c r="K16" s="577">
        <v>0</v>
      </c>
      <c r="L16" s="577">
        <v>0</v>
      </c>
      <c r="M16" s="588">
        <v>0</v>
      </c>
      <c r="N16" s="584">
        <f t="shared" si="0"/>
        <v>218.85</v>
      </c>
    </row>
    <row r="17" spans="1:15" ht="14.25">
      <c r="A17" s="448" t="s">
        <v>285</v>
      </c>
      <c r="B17" s="446">
        <v>21.32</v>
      </c>
      <c r="C17" s="577">
        <v>35.82</v>
      </c>
      <c r="D17" s="577">
        <v>36.146000000000001</v>
      </c>
      <c r="E17" s="577">
        <v>23.731999999999999</v>
      </c>
      <c r="F17" s="577">
        <v>26.366</v>
      </c>
      <c r="G17" s="577">
        <v>30.914999999999999</v>
      </c>
      <c r="H17" s="577">
        <v>40.823999999999998</v>
      </c>
      <c r="I17" s="577">
        <v>-20.094999999999999</v>
      </c>
      <c r="J17" s="577">
        <v>0</v>
      </c>
      <c r="K17" s="577">
        <v>0</v>
      </c>
      <c r="L17" s="577">
        <v>0</v>
      </c>
      <c r="M17" s="588">
        <v>0</v>
      </c>
      <c r="N17" s="584">
        <f t="shared" si="0"/>
        <v>195.02799999999999</v>
      </c>
    </row>
    <row r="18" spans="1:15" ht="14.25">
      <c r="A18" s="448" t="s">
        <v>286</v>
      </c>
      <c r="B18" s="446">
        <v>79.647999999999996</v>
      </c>
      <c r="C18" s="577">
        <v>20.718</v>
      </c>
      <c r="D18" s="577">
        <v>22.684999999999999</v>
      </c>
      <c r="E18" s="577">
        <v>23.381</v>
      </c>
      <c r="F18" s="577">
        <v>83.96</v>
      </c>
      <c r="G18" s="577">
        <v>21.596</v>
      </c>
      <c r="H18" s="577">
        <v>-99.956999999999994</v>
      </c>
      <c r="I18" s="577">
        <v>23.506</v>
      </c>
      <c r="J18" s="577">
        <v>0</v>
      </c>
      <c r="K18" s="577">
        <v>0</v>
      </c>
      <c r="L18" s="577">
        <v>0</v>
      </c>
      <c r="M18" s="588">
        <v>0</v>
      </c>
      <c r="N18" s="584">
        <f t="shared" si="0"/>
        <v>175.53700000000001</v>
      </c>
    </row>
    <row r="19" spans="1:15">
      <c r="A19" s="448" t="s">
        <v>287</v>
      </c>
      <c r="B19" s="446">
        <v>0</v>
      </c>
      <c r="C19" s="577">
        <v>0</v>
      </c>
      <c r="D19" s="577">
        <v>0</v>
      </c>
      <c r="E19" s="577">
        <v>0</v>
      </c>
      <c r="F19" s="577">
        <v>0</v>
      </c>
      <c r="G19" s="577">
        <v>0</v>
      </c>
      <c r="H19" s="577">
        <v>0</v>
      </c>
      <c r="I19" s="577">
        <v>0</v>
      </c>
      <c r="J19" s="577">
        <v>0</v>
      </c>
      <c r="K19" s="577">
        <v>0</v>
      </c>
      <c r="L19" s="577">
        <v>0</v>
      </c>
      <c r="M19" s="588">
        <v>0</v>
      </c>
      <c r="N19" s="584">
        <f t="shared" si="0"/>
        <v>0</v>
      </c>
    </row>
    <row r="20" spans="1:15" ht="14.25">
      <c r="A20" s="448" t="s">
        <v>288</v>
      </c>
      <c r="B20" s="446">
        <v>4.1109999999999998</v>
      </c>
      <c r="C20" s="577">
        <v>5.7510000000000003</v>
      </c>
      <c r="D20" s="577">
        <v>4.9039999999999999</v>
      </c>
      <c r="E20" s="577">
        <v>5.0549999999999997</v>
      </c>
      <c r="F20" s="577">
        <v>4.9279999999999999</v>
      </c>
      <c r="G20" s="577">
        <v>4.141</v>
      </c>
      <c r="H20" s="577">
        <v>2.5289999999999999</v>
      </c>
      <c r="I20" s="577">
        <v>-2.3719999999999999</v>
      </c>
      <c r="J20" s="577">
        <v>0</v>
      </c>
      <c r="K20" s="577">
        <v>0</v>
      </c>
      <c r="L20" s="577">
        <v>0</v>
      </c>
      <c r="M20" s="588">
        <v>0</v>
      </c>
      <c r="N20" s="584">
        <f t="shared" si="0"/>
        <v>29.047000000000001</v>
      </c>
    </row>
    <row r="21" spans="1:15" ht="14.25">
      <c r="A21" s="419" t="s">
        <v>289</v>
      </c>
      <c r="B21" s="446">
        <v>3.1850000000000001</v>
      </c>
      <c r="C21" s="577">
        <v>3.6120000000000001</v>
      </c>
      <c r="D21" s="577">
        <v>1.679</v>
      </c>
      <c r="E21" s="577">
        <v>1.2989999999999999</v>
      </c>
      <c r="F21" s="577">
        <v>-6.407</v>
      </c>
      <c r="G21" s="577">
        <v>3.3340000000000001</v>
      </c>
      <c r="H21" s="577">
        <v>0</v>
      </c>
      <c r="I21" s="577">
        <v>-1.427</v>
      </c>
      <c r="J21" s="577">
        <v>0</v>
      </c>
      <c r="K21" s="577">
        <v>0</v>
      </c>
      <c r="L21" s="577">
        <v>0</v>
      </c>
      <c r="M21" s="588">
        <v>0</v>
      </c>
      <c r="N21" s="584">
        <f t="shared" si="0"/>
        <v>5.2750000000000004</v>
      </c>
    </row>
    <row r="22" spans="1:15" ht="12.75">
      <c r="A22" s="419" t="s">
        <v>290</v>
      </c>
      <c r="B22" s="446">
        <v>0</v>
      </c>
      <c r="C22" s="577">
        <v>0</v>
      </c>
      <c r="D22" s="577">
        <v>0</v>
      </c>
      <c r="E22" s="577">
        <v>0</v>
      </c>
      <c r="F22" s="577">
        <v>0</v>
      </c>
      <c r="G22" s="577">
        <v>0</v>
      </c>
      <c r="H22" s="577">
        <v>0</v>
      </c>
      <c r="I22" s="577">
        <v>0</v>
      </c>
      <c r="J22" s="577">
        <v>0</v>
      </c>
      <c r="K22" s="577">
        <v>0</v>
      </c>
      <c r="L22" s="577">
        <v>0</v>
      </c>
      <c r="M22" s="588">
        <v>0</v>
      </c>
      <c r="N22" s="584">
        <f t="shared" si="0"/>
        <v>0</v>
      </c>
    </row>
    <row r="23" spans="1:15" ht="14.25">
      <c r="A23" s="448" t="s">
        <v>291</v>
      </c>
      <c r="B23" s="446">
        <v>123.34699999999999</v>
      </c>
      <c r="C23" s="577">
        <v>8.8780000000000001</v>
      </c>
      <c r="D23" s="577">
        <v>46.003</v>
      </c>
      <c r="E23" s="577">
        <v>-6.8890000000000002</v>
      </c>
      <c r="F23" s="577">
        <v>-36.381</v>
      </c>
      <c r="G23" s="577">
        <v>179.04900000000001</v>
      </c>
      <c r="H23" s="577">
        <v>64.644999999999996</v>
      </c>
      <c r="I23" s="577">
        <v>49.726999999999997</v>
      </c>
      <c r="J23" s="577">
        <v>0</v>
      </c>
      <c r="K23" s="577">
        <v>0</v>
      </c>
      <c r="L23" s="577">
        <v>0</v>
      </c>
      <c r="M23" s="588">
        <v>0</v>
      </c>
      <c r="N23" s="584">
        <f t="shared" si="0"/>
        <v>428.37899999999996</v>
      </c>
    </row>
    <row r="24" spans="1:15">
      <c r="A24" s="448" t="s">
        <v>292</v>
      </c>
      <c r="B24" s="446">
        <v>31.242000000000001</v>
      </c>
      <c r="C24" s="577">
        <v>37.570999999999998</v>
      </c>
      <c r="D24" s="577">
        <v>33.664000000000001</v>
      </c>
      <c r="E24" s="577">
        <v>22.012</v>
      </c>
      <c r="F24" s="577">
        <v>35.551000000000002</v>
      </c>
      <c r="G24" s="577">
        <v>26.681000000000001</v>
      </c>
      <c r="H24" s="577">
        <v>36.438000000000002</v>
      </c>
      <c r="I24" s="577">
        <v>43.542000000000002</v>
      </c>
      <c r="J24" s="577">
        <v>0</v>
      </c>
      <c r="K24" s="577">
        <v>0</v>
      </c>
      <c r="L24" s="577">
        <v>0</v>
      </c>
      <c r="M24" s="588">
        <v>0</v>
      </c>
      <c r="N24" s="584">
        <f t="shared" si="0"/>
        <v>266.70100000000002</v>
      </c>
    </row>
    <row r="25" spans="1:15" ht="14.25">
      <c r="A25" s="448" t="s">
        <v>293</v>
      </c>
      <c r="B25" s="446">
        <v>43.570999999999998</v>
      </c>
      <c r="C25" s="577">
        <v>187.72800000000001</v>
      </c>
      <c r="D25" s="577">
        <v>1003.871</v>
      </c>
      <c r="E25" s="577">
        <v>211.41900000000001</v>
      </c>
      <c r="F25" s="577">
        <v>200.886</v>
      </c>
      <c r="G25" s="577">
        <v>180.02500000000001</v>
      </c>
      <c r="H25" s="577">
        <v>206.42500000000001</v>
      </c>
      <c r="I25" s="577">
        <v>232.06200000000001</v>
      </c>
      <c r="J25" s="577">
        <v>0</v>
      </c>
      <c r="K25" s="577">
        <v>0</v>
      </c>
      <c r="L25" s="577">
        <v>0</v>
      </c>
      <c r="M25" s="588">
        <v>0</v>
      </c>
      <c r="N25" s="584">
        <f t="shared" si="0"/>
        <v>2265.9870000000001</v>
      </c>
    </row>
    <row r="26" spans="1:15" ht="14.25">
      <c r="A26" s="448" t="s">
        <v>294</v>
      </c>
      <c r="B26" s="446">
        <v>67.688000000000002</v>
      </c>
      <c r="C26" s="577">
        <v>80.075999999999993</v>
      </c>
      <c r="D26" s="577">
        <v>247.53200000000001</v>
      </c>
      <c r="E26" s="577">
        <v>-14.914</v>
      </c>
      <c r="F26" s="577">
        <v>107.962</v>
      </c>
      <c r="G26" s="577">
        <v>92.117999999999995</v>
      </c>
      <c r="H26" s="577">
        <v>-40.747999999999998</v>
      </c>
      <c r="I26" s="577">
        <v>117.488</v>
      </c>
      <c r="J26" s="577">
        <v>0</v>
      </c>
      <c r="K26" s="577">
        <v>0</v>
      </c>
      <c r="L26" s="577">
        <v>0</v>
      </c>
      <c r="M26" s="588">
        <v>0</v>
      </c>
      <c r="N26" s="584">
        <f t="shared" si="0"/>
        <v>657.202</v>
      </c>
    </row>
    <row r="27" spans="1:15" s="261" customFormat="1">
      <c r="A27" s="448" t="s">
        <v>162</v>
      </c>
      <c r="B27" s="446">
        <v>0</v>
      </c>
      <c r="C27" s="577">
        <v>0</v>
      </c>
      <c r="D27" s="577">
        <v>0</v>
      </c>
      <c r="E27" s="577">
        <v>0</v>
      </c>
      <c r="F27" s="577">
        <v>0</v>
      </c>
      <c r="G27" s="577">
        <v>0</v>
      </c>
      <c r="H27" s="577">
        <v>100</v>
      </c>
      <c r="I27" s="577">
        <v>0</v>
      </c>
      <c r="J27" s="577">
        <v>0</v>
      </c>
      <c r="K27" s="577">
        <v>0</v>
      </c>
      <c r="L27" s="577">
        <v>0</v>
      </c>
      <c r="M27" s="588">
        <v>0</v>
      </c>
      <c r="N27" s="584">
        <f t="shared" si="0"/>
        <v>100</v>
      </c>
      <c r="O27" s="246"/>
    </row>
    <row r="28" spans="1:15" s="261" customFormat="1" ht="13.5">
      <c r="A28" s="448" t="s">
        <v>295</v>
      </c>
      <c r="B28" s="446">
        <v>112.672</v>
      </c>
      <c r="C28" s="577">
        <v>29.806999999999999</v>
      </c>
      <c r="D28" s="577">
        <v>84.501999999999995</v>
      </c>
      <c r="E28" s="577">
        <v>4.9450000000000003</v>
      </c>
      <c r="F28" s="577">
        <v>8.2759999999999998</v>
      </c>
      <c r="G28" s="577">
        <v>30.009</v>
      </c>
      <c r="H28" s="577">
        <v>2.4849999999999999</v>
      </c>
      <c r="I28" s="577">
        <v>27.61</v>
      </c>
      <c r="J28" s="577">
        <v>0</v>
      </c>
      <c r="K28" s="577">
        <v>0</v>
      </c>
      <c r="L28" s="577">
        <v>0</v>
      </c>
      <c r="M28" s="588">
        <v>0</v>
      </c>
      <c r="N28" s="584">
        <f t="shared" si="0"/>
        <v>300.30600000000004</v>
      </c>
    </row>
    <row r="29" spans="1:15" s="261" customFormat="1" ht="14.25">
      <c r="A29" s="448" t="s">
        <v>296</v>
      </c>
      <c r="B29" s="446">
        <v>-7.625</v>
      </c>
      <c r="C29" s="577">
        <v>-3.6829999999999998</v>
      </c>
      <c r="D29" s="577">
        <v>21.204000000000001</v>
      </c>
      <c r="E29" s="577">
        <v>-5.4820000000000002</v>
      </c>
      <c r="F29" s="577">
        <v>-11.239000000000001</v>
      </c>
      <c r="G29" s="577">
        <v>7.7110000000000003</v>
      </c>
      <c r="H29" s="577">
        <v>0</v>
      </c>
      <c r="I29" s="577">
        <v>-1.994</v>
      </c>
      <c r="J29" s="577">
        <v>0</v>
      </c>
      <c r="K29" s="577">
        <v>0</v>
      </c>
      <c r="L29" s="577">
        <v>0</v>
      </c>
      <c r="M29" s="588">
        <v>0</v>
      </c>
      <c r="N29" s="584">
        <f t="shared" si="0"/>
        <v>-1.1079999999999999</v>
      </c>
    </row>
    <row r="30" spans="1:15" s="261" customFormat="1" ht="14.25">
      <c r="A30" s="448" t="s">
        <v>297</v>
      </c>
      <c r="B30" s="446">
        <v>1.3660000000000001</v>
      </c>
      <c r="C30" s="577">
        <v>-1.393</v>
      </c>
      <c r="D30" s="577">
        <v>1.081</v>
      </c>
      <c r="E30" s="577">
        <v>0.44400000000000001</v>
      </c>
      <c r="F30" s="577">
        <v>-3.5489999999999999</v>
      </c>
      <c r="G30" s="577">
        <v>1.8180000000000001</v>
      </c>
      <c r="H30" s="577">
        <v>0</v>
      </c>
      <c r="I30" s="577">
        <v>0</v>
      </c>
      <c r="J30" s="577">
        <v>0</v>
      </c>
      <c r="K30" s="577">
        <v>0</v>
      </c>
      <c r="L30" s="577">
        <v>0</v>
      </c>
      <c r="M30" s="588">
        <v>0</v>
      </c>
      <c r="N30" s="584">
        <f t="shared" si="0"/>
        <v>-0.2330000000000001</v>
      </c>
    </row>
    <row r="31" spans="1:15" s="261" customFormat="1">
      <c r="A31" s="448" t="s">
        <v>298</v>
      </c>
      <c r="B31" s="446">
        <v>42.610999999999997</v>
      </c>
      <c r="C31" s="577">
        <v>49.061999999999998</v>
      </c>
      <c r="D31" s="577">
        <v>60.54</v>
      </c>
      <c r="E31" s="577">
        <v>48.725000000000001</v>
      </c>
      <c r="F31" s="577">
        <v>25.727</v>
      </c>
      <c r="G31" s="577">
        <v>32.493000000000002</v>
      </c>
      <c r="H31" s="577">
        <v>20.047999999999998</v>
      </c>
      <c r="I31" s="577">
        <v>46.780999999999999</v>
      </c>
      <c r="J31" s="577">
        <v>0</v>
      </c>
      <c r="K31" s="577">
        <v>0</v>
      </c>
      <c r="L31" s="577">
        <v>0</v>
      </c>
      <c r="M31" s="588">
        <v>0</v>
      </c>
      <c r="N31" s="584">
        <f t="shared" si="0"/>
        <v>325.98700000000002</v>
      </c>
    </row>
    <row r="32" spans="1:15" s="261" customFormat="1" ht="14.25">
      <c r="A32" s="448" t="s">
        <v>299</v>
      </c>
      <c r="B32" s="589">
        <v>100.67400000000001</v>
      </c>
      <c r="C32" s="590">
        <v>188.37899999999999</v>
      </c>
      <c r="D32" s="590">
        <v>93.867999999999995</v>
      </c>
      <c r="E32" s="590">
        <v>101.17400000000001</v>
      </c>
      <c r="F32" s="590">
        <v>101.09</v>
      </c>
      <c r="G32" s="590">
        <v>-433.63099999999997</v>
      </c>
      <c r="H32" s="590">
        <v>126.238</v>
      </c>
      <c r="I32" s="590">
        <v>99.992000000000004</v>
      </c>
      <c r="J32" s="590">
        <v>0</v>
      </c>
      <c r="K32" s="590">
        <v>0</v>
      </c>
      <c r="L32" s="590">
        <v>0</v>
      </c>
      <c r="M32" s="591">
        <v>0</v>
      </c>
      <c r="N32" s="584">
        <f t="shared" si="0"/>
        <v>377.78400000000011</v>
      </c>
    </row>
    <row r="33" spans="1:15" ht="12.75" thickBot="1">
      <c r="A33" s="478" t="s">
        <v>300</v>
      </c>
      <c r="B33" s="580">
        <f t="shared" ref="B33:N33" si="1">SUM(B9:B32)</f>
        <v>673.48399999999992</v>
      </c>
      <c r="C33" s="581">
        <f t="shared" si="1"/>
        <v>795.53899999999999</v>
      </c>
      <c r="D33" s="581">
        <f t="shared" si="1"/>
        <v>1759.3529999999996</v>
      </c>
      <c r="E33" s="581">
        <f t="shared" si="1"/>
        <v>470.44900000000007</v>
      </c>
      <c r="F33" s="581">
        <f t="shared" si="1"/>
        <v>721.09899999999993</v>
      </c>
      <c r="G33" s="581">
        <f t="shared" si="1"/>
        <v>307.5630000000001</v>
      </c>
      <c r="H33" s="581">
        <f t="shared" si="1"/>
        <v>556.28100000000006</v>
      </c>
      <c r="I33" s="581">
        <f t="shared" si="1"/>
        <v>704.04299999999989</v>
      </c>
      <c r="J33" s="581">
        <f t="shared" si="1"/>
        <v>0</v>
      </c>
      <c r="K33" s="581">
        <f t="shared" si="1"/>
        <v>0</v>
      </c>
      <c r="L33" s="581">
        <f t="shared" si="1"/>
        <v>0</v>
      </c>
      <c r="M33" s="583">
        <f t="shared" si="1"/>
        <v>0</v>
      </c>
      <c r="N33" s="582">
        <f t="shared" si="1"/>
        <v>5987.8110000000015</v>
      </c>
    </row>
    <row r="34" spans="1:15">
      <c r="A34" s="448"/>
      <c r="B34" s="446"/>
      <c r="C34" s="260"/>
      <c r="D34" s="260"/>
      <c r="E34" s="260"/>
      <c r="F34" s="260"/>
      <c r="G34" s="260"/>
      <c r="H34" s="260"/>
      <c r="I34" s="260"/>
      <c r="J34" s="260"/>
      <c r="K34" s="260"/>
      <c r="L34" s="260"/>
      <c r="M34" s="260"/>
      <c r="N34" s="323"/>
    </row>
    <row r="35" spans="1:15" s="261" customFormat="1">
      <c r="A35" s="447" t="s">
        <v>301</v>
      </c>
      <c r="B35" s="446"/>
      <c r="C35" s="260"/>
      <c r="D35" s="260"/>
      <c r="E35" s="260"/>
      <c r="F35" s="260"/>
      <c r="G35" s="260"/>
      <c r="H35" s="260"/>
      <c r="I35" s="260"/>
      <c r="J35" s="260"/>
      <c r="K35" s="260"/>
      <c r="L35" s="260"/>
      <c r="M35" s="260"/>
      <c r="N35" s="323"/>
      <c r="O35" s="246"/>
    </row>
    <row r="36" spans="1:15">
      <c r="A36" s="448" t="s">
        <v>277</v>
      </c>
      <c r="B36" s="446">
        <v>46.45</v>
      </c>
      <c r="C36" s="260">
        <v>9.875</v>
      </c>
      <c r="D36" s="260">
        <v>0.125</v>
      </c>
      <c r="E36" s="260">
        <v>0</v>
      </c>
      <c r="F36" s="260">
        <v>0</v>
      </c>
      <c r="G36" s="260">
        <v>0</v>
      </c>
      <c r="H36" s="260">
        <v>0</v>
      </c>
      <c r="I36" s="260">
        <v>0</v>
      </c>
      <c r="J36" s="260">
        <v>0</v>
      </c>
      <c r="K36" s="260">
        <v>0</v>
      </c>
      <c r="L36" s="260">
        <v>0</v>
      </c>
      <c r="M36" s="260">
        <v>0</v>
      </c>
      <c r="N36" s="323">
        <f t="shared" ref="N36:N47" si="2">B36+C36+D36+E36+F36+G36+H36+I36+J36+K36+L36+M36</f>
        <v>56.45</v>
      </c>
    </row>
    <row r="37" spans="1:15" ht="14.25">
      <c r="A37" s="448" t="s">
        <v>302</v>
      </c>
      <c r="B37" s="446">
        <v>0</v>
      </c>
      <c r="C37" s="260">
        <v>-0.18</v>
      </c>
      <c r="D37" s="260">
        <v>0.35099999999999998</v>
      </c>
      <c r="E37" s="260">
        <v>0</v>
      </c>
      <c r="F37" s="260">
        <v>0</v>
      </c>
      <c r="G37" s="260">
        <v>0</v>
      </c>
      <c r="H37" s="260">
        <v>0</v>
      </c>
      <c r="I37" s="260">
        <v>0</v>
      </c>
      <c r="J37" s="260">
        <v>0</v>
      </c>
      <c r="K37" s="260">
        <v>0</v>
      </c>
      <c r="L37" s="260">
        <v>0</v>
      </c>
      <c r="M37" s="260">
        <v>0</v>
      </c>
      <c r="N37" s="323">
        <f t="shared" si="2"/>
        <v>0.17099999999999999</v>
      </c>
    </row>
    <row r="38" spans="1:15">
      <c r="A38" s="448" t="s">
        <v>303</v>
      </c>
      <c r="B38" s="446">
        <v>2.98</v>
      </c>
      <c r="C38" s="260">
        <v>0</v>
      </c>
      <c r="D38" s="260">
        <v>2.64</v>
      </c>
      <c r="E38" s="260">
        <v>1.919</v>
      </c>
      <c r="F38" s="260">
        <v>1.7490000000000001</v>
      </c>
      <c r="G38" s="260">
        <v>6.867</v>
      </c>
      <c r="H38" s="260">
        <v>7.7460000000000004</v>
      </c>
      <c r="I38" s="260">
        <v>6.8570000000000002</v>
      </c>
      <c r="J38" s="260">
        <v>0</v>
      </c>
      <c r="K38" s="260">
        <v>0</v>
      </c>
      <c r="L38" s="260">
        <v>0</v>
      </c>
      <c r="M38" s="260">
        <v>0</v>
      </c>
      <c r="N38" s="323">
        <f t="shared" si="2"/>
        <v>30.758000000000003</v>
      </c>
    </row>
    <row r="39" spans="1:15">
      <c r="A39" s="448" t="s">
        <v>197</v>
      </c>
      <c r="B39" s="446">
        <v>0</v>
      </c>
      <c r="C39" s="260">
        <v>0</v>
      </c>
      <c r="D39" s="260">
        <v>0</v>
      </c>
      <c r="E39" s="260">
        <v>0</v>
      </c>
      <c r="F39" s="260">
        <v>0</v>
      </c>
      <c r="G39" s="260">
        <v>0</v>
      </c>
      <c r="H39" s="260">
        <v>15.451000000000001</v>
      </c>
      <c r="I39" s="260">
        <v>8.7720000000000002</v>
      </c>
      <c r="J39" s="260">
        <v>0</v>
      </c>
      <c r="K39" s="260">
        <v>0</v>
      </c>
      <c r="L39" s="260">
        <v>0</v>
      </c>
      <c r="M39" s="260">
        <v>0</v>
      </c>
      <c r="N39" s="323">
        <f t="shared" si="2"/>
        <v>24.222999999999999</v>
      </c>
    </row>
    <row r="40" spans="1:15">
      <c r="A40" s="448" t="str">
        <f>A15</f>
        <v>Demand Response Auction Mechanism (DRAM)</v>
      </c>
      <c r="B40" s="446">
        <v>87.307000000000002</v>
      </c>
      <c r="C40" s="260">
        <v>14.372</v>
      </c>
      <c r="D40" s="260">
        <v>190.43299999999999</v>
      </c>
      <c r="E40" s="260">
        <v>8.4659999999999993</v>
      </c>
      <c r="F40" s="260">
        <v>6.9749999999999996</v>
      </c>
      <c r="G40" s="260">
        <v>191.91200000000001</v>
      </c>
      <c r="H40" s="260">
        <v>26.006</v>
      </c>
      <c r="I40" s="260">
        <v>0</v>
      </c>
      <c r="J40" s="260">
        <v>0</v>
      </c>
      <c r="K40" s="260">
        <v>0</v>
      </c>
      <c r="L40" s="260">
        <v>0</v>
      </c>
      <c r="M40" s="260">
        <v>0</v>
      </c>
      <c r="N40" s="323">
        <f t="shared" si="2"/>
        <v>525.471</v>
      </c>
    </row>
    <row r="41" spans="1:15">
      <c r="A41" s="449" t="s">
        <v>304</v>
      </c>
      <c r="B41" s="446">
        <v>21.524999999999999</v>
      </c>
      <c r="C41" s="260">
        <v>24.85</v>
      </c>
      <c r="D41" s="260">
        <v>9.75</v>
      </c>
      <c r="E41" s="260">
        <v>18.75</v>
      </c>
      <c r="F41" s="260">
        <v>10.6</v>
      </c>
      <c r="G41" s="260">
        <v>19.024999999999999</v>
      </c>
      <c r="H41" s="260">
        <v>49.5</v>
      </c>
      <c r="I41" s="260">
        <v>35.6</v>
      </c>
      <c r="J41" s="260">
        <v>0</v>
      </c>
      <c r="K41" s="260">
        <v>0</v>
      </c>
      <c r="L41" s="260">
        <v>0</v>
      </c>
      <c r="M41" s="260">
        <v>0</v>
      </c>
      <c r="N41" s="323">
        <f t="shared" si="2"/>
        <v>189.6</v>
      </c>
    </row>
    <row r="42" spans="1:15">
      <c r="A42" s="448" t="s">
        <v>199</v>
      </c>
      <c r="B42" s="446">
        <v>13.416</v>
      </c>
      <c r="C42" s="260">
        <v>0</v>
      </c>
      <c r="D42" s="260">
        <v>0</v>
      </c>
      <c r="E42" s="260">
        <v>0</v>
      </c>
      <c r="F42" s="260">
        <v>0</v>
      </c>
      <c r="G42" s="260">
        <v>0</v>
      </c>
      <c r="H42" s="260">
        <v>0</v>
      </c>
      <c r="I42" s="260">
        <v>0</v>
      </c>
      <c r="J42" s="260">
        <v>0</v>
      </c>
      <c r="K42" s="260">
        <v>0</v>
      </c>
      <c r="L42" s="260">
        <v>0</v>
      </c>
      <c r="M42" s="260">
        <v>0</v>
      </c>
      <c r="N42" s="323">
        <f t="shared" si="2"/>
        <v>13.416</v>
      </c>
    </row>
    <row r="43" spans="1:15">
      <c r="A43" s="448" t="s">
        <v>287</v>
      </c>
      <c r="B43" s="446">
        <v>0</v>
      </c>
      <c r="C43" s="260">
        <v>0</v>
      </c>
      <c r="D43" s="260">
        <v>0</v>
      </c>
      <c r="E43" s="260">
        <v>0</v>
      </c>
      <c r="F43" s="260">
        <v>0</v>
      </c>
      <c r="G43" s="260">
        <v>0</v>
      </c>
      <c r="H43" s="260">
        <v>0</v>
      </c>
      <c r="I43" s="260">
        <v>0</v>
      </c>
      <c r="J43" s="260">
        <v>0</v>
      </c>
      <c r="K43" s="260">
        <v>0</v>
      </c>
      <c r="L43" s="260">
        <v>0</v>
      </c>
      <c r="M43" s="260">
        <v>0</v>
      </c>
      <c r="N43" s="323">
        <f t="shared" si="2"/>
        <v>0</v>
      </c>
    </row>
    <row r="44" spans="1:15" ht="12.75">
      <c r="A44" s="419" t="s">
        <v>305</v>
      </c>
      <c r="B44" s="446">
        <v>0</v>
      </c>
      <c r="C44" s="260">
        <v>0</v>
      </c>
      <c r="D44" s="260">
        <v>0</v>
      </c>
      <c r="E44" s="260">
        <v>0</v>
      </c>
      <c r="F44" s="260">
        <v>0</v>
      </c>
      <c r="G44" s="260">
        <v>0</v>
      </c>
      <c r="H44" s="260">
        <v>0</v>
      </c>
      <c r="I44" s="260">
        <v>0</v>
      </c>
      <c r="J44" s="260">
        <v>0</v>
      </c>
      <c r="K44" s="260">
        <v>0</v>
      </c>
      <c r="L44" s="260">
        <v>0</v>
      </c>
      <c r="M44" s="260">
        <v>0</v>
      </c>
      <c r="N44" s="323">
        <f t="shared" si="2"/>
        <v>0</v>
      </c>
    </row>
    <row r="45" spans="1:15">
      <c r="A45" s="448" t="s">
        <v>306</v>
      </c>
      <c r="B45" s="446">
        <v>0</v>
      </c>
      <c r="C45" s="260">
        <v>0</v>
      </c>
      <c r="D45" s="260">
        <v>0</v>
      </c>
      <c r="E45" s="260">
        <v>0</v>
      </c>
      <c r="F45" s="260">
        <v>0</v>
      </c>
      <c r="G45" s="260">
        <v>0</v>
      </c>
      <c r="H45" s="260">
        <v>0</v>
      </c>
      <c r="I45" s="260">
        <v>0</v>
      </c>
      <c r="J45" s="260">
        <v>0</v>
      </c>
      <c r="K45" s="260">
        <v>0</v>
      </c>
      <c r="L45" s="260">
        <v>0</v>
      </c>
      <c r="M45" s="260">
        <v>0</v>
      </c>
      <c r="N45" s="323">
        <f t="shared" si="2"/>
        <v>0</v>
      </c>
    </row>
    <row r="46" spans="1:15" ht="14.25">
      <c r="A46" s="449" t="s">
        <v>307</v>
      </c>
      <c r="B46" s="446">
        <v>0</v>
      </c>
      <c r="C46" s="260">
        <v>0</v>
      </c>
      <c r="D46" s="260">
        <v>0</v>
      </c>
      <c r="E46" s="260">
        <v>-8.3000000000000007</v>
      </c>
      <c r="F46" s="260">
        <v>0</v>
      </c>
      <c r="G46" s="260">
        <v>0</v>
      </c>
      <c r="H46" s="260">
        <v>0</v>
      </c>
      <c r="I46" s="260">
        <v>0</v>
      </c>
      <c r="J46" s="260">
        <v>0</v>
      </c>
      <c r="K46" s="260">
        <v>0</v>
      </c>
      <c r="L46" s="260">
        <v>0</v>
      </c>
      <c r="M46" s="260">
        <v>0</v>
      </c>
      <c r="N46" s="323">
        <f t="shared" si="2"/>
        <v>-8.3000000000000007</v>
      </c>
    </row>
    <row r="47" spans="1:15" ht="14.25">
      <c r="A47" s="449" t="s">
        <v>308</v>
      </c>
      <c r="B47" s="446">
        <v>-121.8</v>
      </c>
      <c r="C47" s="260">
        <v>0</v>
      </c>
      <c r="D47" s="260">
        <v>0</v>
      </c>
      <c r="E47" s="260">
        <v>0</v>
      </c>
      <c r="F47" s="260">
        <v>0</v>
      </c>
      <c r="G47" s="260">
        <v>0</v>
      </c>
      <c r="H47" s="260">
        <v>0</v>
      </c>
      <c r="I47" s="260">
        <v>0</v>
      </c>
      <c r="J47" s="260">
        <v>0</v>
      </c>
      <c r="K47" s="260">
        <v>0</v>
      </c>
      <c r="L47" s="260">
        <v>0</v>
      </c>
      <c r="M47" s="260">
        <v>0</v>
      </c>
      <c r="N47" s="323">
        <f t="shared" si="2"/>
        <v>-121.8</v>
      </c>
    </row>
    <row r="48" spans="1:15" ht="12.75" thickBot="1">
      <c r="A48" s="443" t="s">
        <v>309</v>
      </c>
      <c r="B48" s="450">
        <f t="shared" ref="B48:N48" si="3">SUM(B36:B47)</f>
        <v>49.878</v>
      </c>
      <c r="C48" s="450">
        <f t="shared" si="3"/>
        <v>48.917000000000002</v>
      </c>
      <c r="D48" s="450">
        <f t="shared" si="3"/>
        <v>203.29900000000001</v>
      </c>
      <c r="E48" s="450">
        <f t="shared" si="3"/>
        <v>20.834999999999997</v>
      </c>
      <c r="F48" s="450">
        <f t="shared" si="3"/>
        <v>19.323999999999998</v>
      </c>
      <c r="G48" s="450">
        <f t="shared" si="3"/>
        <v>217.804</v>
      </c>
      <c r="H48" s="450">
        <f t="shared" si="3"/>
        <v>98.703000000000003</v>
      </c>
      <c r="I48" s="450">
        <f t="shared" si="3"/>
        <v>51.228999999999999</v>
      </c>
      <c r="J48" s="450">
        <f t="shared" si="3"/>
        <v>0</v>
      </c>
      <c r="K48" s="450">
        <f t="shared" si="3"/>
        <v>0</v>
      </c>
      <c r="L48" s="450">
        <f t="shared" si="3"/>
        <v>0</v>
      </c>
      <c r="M48" s="578">
        <f t="shared" si="3"/>
        <v>0</v>
      </c>
      <c r="N48" s="451">
        <f t="shared" si="3"/>
        <v>709.98900000000015</v>
      </c>
    </row>
    <row r="49" spans="1:14" ht="20.25" customHeight="1" thickBot="1">
      <c r="A49" s="263" t="s">
        <v>310</v>
      </c>
      <c r="B49" s="262">
        <f t="shared" ref="B49:N49" si="4">B48+B33</f>
        <v>723.36199999999997</v>
      </c>
      <c r="C49" s="262">
        <f t="shared" si="4"/>
        <v>844.45600000000002</v>
      </c>
      <c r="D49" s="262">
        <f t="shared" si="4"/>
        <v>1962.6519999999996</v>
      </c>
      <c r="E49" s="262">
        <f t="shared" si="4"/>
        <v>491.28400000000005</v>
      </c>
      <c r="F49" s="262">
        <f t="shared" si="4"/>
        <v>740.42299999999989</v>
      </c>
      <c r="G49" s="262">
        <f t="shared" si="4"/>
        <v>525.36700000000008</v>
      </c>
      <c r="H49" s="262">
        <f t="shared" si="4"/>
        <v>654.98400000000004</v>
      </c>
      <c r="I49" s="262">
        <f t="shared" si="4"/>
        <v>755.27199999999993</v>
      </c>
      <c r="J49" s="262">
        <f t="shared" si="4"/>
        <v>0</v>
      </c>
      <c r="K49" s="262">
        <f t="shared" si="4"/>
        <v>0</v>
      </c>
      <c r="L49" s="450">
        <f t="shared" si="4"/>
        <v>0</v>
      </c>
      <c r="M49" s="262">
        <f t="shared" si="4"/>
        <v>0</v>
      </c>
      <c r="N49" s="445">
        <f t="shared" si="4"/>
        <v>6697.800000000002</v>
      </c>
    </row>
    <row r="50" spans="1:14" ht="16.149999999999999" customHeight="1">
      <c r="A50" s="264"/>
      <c r="B50" s="262"/>
      <c r="C50" s="262"/>
      <c r="D50" s="262"/>
      <c r="E50" s="262"/>
      <c r="F50" s="262"/>
      <c r="G50" s="262"/>
      <c r="H50" s="262"/>
      <c r="I50" s="262"/>
      <c r="J50" s="265"/>
      <c r="K50" s="262"/>
      <c r="L50" s="262"/>
      <c r="M50" s="262"/>
      <c r="N50" s="444"/>
    </row>
    <row r="51" spans="1:14" ht="30.4" customHeight="1" thickBot="1">
      <c r="A51" s="266" t="s">
        <v>311</v>
      </c>
      <c r="B51" s="267">
        <f>0.76+B49</f>
        <v>724.12199999999996</v>
      </c>
      <c r="C51" s="268">
        <f>C49+2.436</f>
        <v>846.89200000000005</v>
      </c>
      <c r="D51" s="268">
        <f>D49+5.296</f>
        <v>1967.9479999999996</v>
      </c>
      <c r="E51" s="528">
        <f>E49+7.853</f>
        <v>499.13700000000006</v>
      </c>
      <c r="F51" s="268">
        <f>F49+9.074</f>
        <v>749.49699999999984</v>
      </c>
      <c r="G51" s="268">
        <f>G49+10.269</f>
        <v>535.63600000000008</v>
      </c>
      <c r="H51" s="268">
        <f>H49+10.878</f>
        <v>665.86200000000008</v>
      </c>
      <c r="I51" s="268">
        <f>I49+11.619</f>
        <v>766.89099999999996</v>
      </c>
      <c r="J51" s="268">
        <v>0</v>
      </c>
      <c r="K51" s="268">
        <v>0</v>
      </c>
      <c r="L51" s="268">
        <v>0</v>
      </c>
      <c r="M51" s="268">
        <v>0</v>
      </c>
      <c r="N51" s="324">
        <f>SUM(B51:M51)</f>
        <v>6755.9849999999997</v>
      </c>
    </row>
    <row r="52" spans="1:14" ht="12.75" customHeight="1">
      <c r="A52" s="311"/>
      <c r="B52" s="312"/>
      <c r="C52" s="312"/>
      <c r="D52" s="312"/>
      <c r="E52" s="312"/>
      <c r="F52" s="312"/>
      <c r="G52" s="312"/>
      <c r="H52" s="312"/>
      <c r="I52" s="312"/>
      <c r="J52" s="312"/>
      <c r="K52" s="312"/>
      <c r="L52" s="312"/>
      <c r="M52" s="312"/>
      <c r="N52" s="313"/>
    </row>
    <row r="53" spans="1:14" s="261" customFormat="1" ht="16.5">
      <c r="A53" s="402" t="s">
        <v>165</v>
      </c>
      <c r="G53" s="260"/>
      <c r="H53" s="260"/>
      <c r="J53" s="383"/>
    </row>
    <row r="54" spans="1:14" s="261" customFormat="1" ht="16.5">
      <c r="A54" s="410" t="s">
        <v>312</v>
      </c>
      <c r="G54" s="260"/>
      <c r="H54" s="260"/>
      <c r="J54" s="383"/>
    </row>
    <row r="55" spans="1:14" s="248" customFormat="1" ht="16.5">
      <c r="A55" s="410" t="s">
        <v>313</v>
      </c>
      <c r="J55" s="348"/>
    </row>
    <row r="56" spans="1:14" s="248" customFormat="1" ht="16.5">
      <c r="A56" s="410" t="s">
        <v>314</v>
      </c>
      <c r="J56" s="348"/>
    </row>
    <row r="57" spans="1:14" ht="16.5">
      <c r="A57" s="410" t="s">
        <v>315</v>
      </c>
    </row>
    <row r="58" spans="1:14" ht="18.75" customHeight="1">
      <c r="A58" s="652" t="s">
        <v>316</v>
      </c>
      <c r="B58" s="648"/>
      <c r="C58" s="648"/>
      <c r="D58" s="648"/>
      <c r="E58" s="648"/>
      <c r="F58" s="648"/>
      <c r="G58" s="648"/>
      <c r="H58" s="648"/>
      <c r="I58" s="648"/>
      <c r="J58" s="648"/>
      <c r="K58" s="648"/>
      <c r="L58" s="648"/>
      <c r="M58" s="648"/>
      <c r="N58" s="648"/>
    </row>
    <row r="59" spans="1:14" ht="16.5">
      <c r="A59" s="410" t="s">
        <v>317</v>
      </c>
      <c r="B59" s="648"/>
      <c r="C59" s="648"/>
      <c r="D59" s="648"/>
      <c r="E59" s="648"/>
      <c r="F59" s="648"/>
      <c r="G59" s="648"/>
      <c r="H59" s="648"/>
      <c r="I59" s="648"/>
      <c r="J59" s="648"/>
      <c r="K59" s="648"/>
      <c r="L59" s="648"/>
      <c r="M59" s="648"/>
      <c r="N59" s="648"/>
    </row>
    <row r="60" spans="1:14" ht="16.5">
      <c r="A60" s="410" t="s">
        <v>318</v>
      </c>
    </row>
    <row r="61" spans="1:14" s="147" customFormat="1" ht="16.5">
      <c r="A61" s="410" t="s">
        <v>319</v>
      </c>
      <c r="N61" s="543"/>
    </row>
    <row r="62" spans="1:14" s="147" customFormat="1" ht="16.5">
      <c r="A62" s="655" t="s">
        <v>320</v>
      </c>
      <c r="N62" s="543"/>
    </row>
    <row r="63" spans="1:14" s="230" customFormat="1" ht="16.5">
      <c r="A63" s="688" t="s">
        <v>321</v>
      </c>
      <c r="N63" s="689"/>
    </row>
    <row r="64" spans="1:14" ht="16.5">
      <c r="A64" s="688" t="s">
        <v>322</v>
      </c>
    </row>
    <row r="65" spans="1:1" ht="16.5">
      <c r="A65" s="688" t="s">
        <v>323</v>
      </c>
    </row>
    <row r="66" spans="1:1" ht="12.75">
      <c r="A66" s="284" t="s">
        <v>51</v>
      </c>
    </row>
  </sheetData>
  <printOptions horizontalCentered="1"/>
  <pageMargins left="0" right="0" top="0.55000000000000004" bottom="0" header="0.3" footer="0.15"/>
  <pageSetup paperSize="5" scale="78" orientation="landscape" cellComments="atEnd" r:id="rId1"/>
  <headerFooter alignWithMargins="0">
    <oddHeader xml:space="preserve">&amp;C&amp;"Arial,Bold"
</oddHeader>
    <oddFooter>&amp;Rpage 10 of 12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40"/>
  <sheetViews>
    <sheetView showGridLines="0" zoomScaleNormal="100" zoomScaleSheetLayoutView="75" workbookViewId="0">
      <selection sqref="A1:XFD1048576"/>
    </sheetView>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75" t="s">
        <v>0</v>
      </c>
    </row>
    <row r="3" spans="1:14">
      <c r="C3" s="187"/>
      <c r="D3" s="187"/>
      <c r="E3" s="188" t="s">
        <v>324</v>
      </c>
      <c r="F3" s="187"/>
      <c r="G3" s="187"/>
    </row>
    <row r="4" spans="1:14">
      <c r="A4" s="26"/>
      <c r="D4" s="187"/>
      <c r="E4" s="178" t="str">
        <f>'Program MW '!H3</f>
        <v>August 2019</v>
      </c>
      <c r="F4" s="187"/>
    </row>
    <row r="5" spans="1:14">
      <c r="A5" s="26"/>
      <c r="E5" s="178"/>
    </row>
    <row r="6" spans="1:14" ht="13.5" thickBot="1">
      <c r="A6" s="26"/>
      <c r="E6" s="178"/>
    </row>
    <row r="7" spans="1:14" ht="31.9" customHeight="1">
      <c r="A7" s="27" t="s">
        <v>274</v>
      </c>
      <c r="B7" s="28" t="s">
        <v>3</v>
      </c>
      <c r="C7" s="28" t="s">
        <v>4</v>
      </c>
      <c r="D7" s="28" t="s">
        <v>5</v>
      </c>
      <c r="E7" s="28" t="s">
        <v>6</v>
      </c>
      <c r="F7" s="28" t="s">
        <v>7</v>
      </c>
      <c r="G7" s="28" t="s">
        <v>8</v>
      </c>
      <c r="H7" s="28" t="s">
        <v>35</v>
      </c>
      <c r="I7" s="28" t="s">
        <v>90</v>
      </c>
      <c r="J7" s="28" t="s">
        <v>91</v>
      </c>
      <c r="K7" s="28" t="s">
        <v>38</v>
      </c>
      <c r="L7" s="28" t="s">
        <v>92</v>
      </c>
      <c r="M7" s="28" t="s">
        <v>40</v>
      </c>
      <c r="N7" s="29" t="s">
        <v>325</v>
      </c>
    </row>
    <row r="8" spans="1:14" ht="16.5">
      <c r="A8" s="30" t="s">
        <v>326</v>
      </c>
      <c r="N8" s="31"/>
    </row>
    <row r="9" spans="1:14" ht="6" customHeight="1">
      <c r="A9" s="32"/>
      <c r="N9" s="31"/>
    </row>
    <row r="10" spans="1:14">
      <c r="A10" s="32" t="s">
        <v>276</v>
      </c>
      <c r="N10" s="31"/>
    </row>
    <row r="11" spans="1:14">
      <c r="A11" s="33" t="s">
        <v>327</v>
      </c>
      <c r="B11" s="34">
        <v>0</v>
      </c>
      <c r="C11" s="34">
        <v>0</v>
      </c>
      <c r="D11" s="285">
        <v>0</v>
      </c>
      <c r="E11" s="285">
        <v>0</v>
      </c>
      <c r="F11" s="285">
        <v>0</v>
      </c>
      <c r="G11" s="285">
        <v>0</v>
      </c>
      <c r="H11" s="285">
        <v>0</v>
      </c>
      <c r="I11" s="285">
        <v>0</v>
      </c>
      <c r="J11" s="285">
        <v>0</v>
      </c>
      <c r="K11" s="285">
        <v>0</v>
      </c>
      <c r="L11" s="285">
        <v>0</v>
      </c>
      <c r="M11" s="285">
        <v>0</v>
      </c>
      <c r="N11" s="35">
        <f>SUM(B11:M11)</f>
        <v>0</v>
      </c>
    </row>
    <row r="12" spans="1:14" ht="14.25" customHeight="1">
      <c r="A12" s="33" t="s">
        <v>328</v>
      </c>
      <c r="B12" s="34">
        <v>2.5299999999999998</v>
      </c>
      <c r="C12" s="34">
        <v>4.0359999999999996</v>
      </c>
      <c r="D12" s="285">
        <v>3.9830000000000001</v>
      </c>
      <c r="E12" s="285">
        <v>2.8980000000000001</v>
      </c>
      <c r="F12" s="285">
        <v>4.1529999999999996</v>
      </c>
      <c r="G12" s="285">
        <v>3.2519999999999998</v>
      </c>
      <c r="H12" s="285">
        <v>2.9220000000000002</v>
      </c>
      <c r="I12" s="285">
        <v>1.9039999999999999</v>
      </c>
      <c r="J12" s="285">
        <v>0</v>
      </c>
      <c r="K12" s="285">
        <v>0</v>
      </c>
      <c r="L12" s="285">
        <v>0</v>
      </c>
      <c r="M12" s="285">
        <v>0</v>
      </c>
      <c r="N12" s="35">
        <f>SUM(B12:M12)</f>
        <v>25.677999999999997</v>
      </c>
    </row>
    <row r="13" spans="1:14">
      <c r="A13" s="33" t="s">
        <v>86</v>
      </c>
      <c r="B13" s="34">
        <v>0</v>
      </c>
      <c r="C13" s="34">
        <v>0</v>
      </c>
      <c r="D13" s="285">
        <v>0</v>
      </c>
      <c r="E13" s="285">
        <v>0</v>
      </c>
      <c r="F13" s="285">
        <v>0</v>
      </c>
      <c r="G13" s="285">
        <v>0</v>
      </c>
      <c r="H13" s="285">
        <v>0</v>
      </c>
      <c r="I13" s="285">
        <v>0</v>
      </c>
      <c r="J13" s="285">
        <v>0</v>
      </c>
      <c r="K13" s="285">
        <v>0</v>
      </c>
      <c r="L13" s="285">
        <v>0</v>
      </c>
      <c r="M13" s="285">
        <v>0</v>
      </c>
      <c r="N13" s="35">
        <f>SUM(B13:M13)</f>
        <v>0</v>
      </c>
    </row>
    <row r="14" spans="1:14">
      <c r="A14" s="33" t="s">
        <v>329</v>
      </c>
      <c r="B14" s="34">
        <v>0</v>
      </c>
      <c r="C14" s="34">
        <v>0</v>
      </c>
      <c r="D14" s="285">
        <v>0</v>
      </c>
      <c r="E14" s="285">
        <v>0</v>
      </c>
      <c r="F14" s="285">
        <v>0</v>
      </c>
      <c r="G14" s="285">
        <v>0</v>
      </c>
      <c r="H14" s="285">
        <v>0</v>
      </c>
      <c r="I14" s="285">
        <v>0</v>
      </c>
      <c r="J14" s="285">
        <v>0</v>
      </c>
      <c r="K14" s="285">
        <v>0</v>
      </c>
      <c r="L14" s="285">
        <v>0</v>
      </c>
      <c r="M14" s="285">
        <v>0</v>
      </c>
      <c r="N14" s="35">
        <f>SUM(B14:M14)</f>
        <v>0</v>
      </c>
    </row>
    <row r="15" spans="1:14">
      <c r="A15" s="24" t="s">
        <v>330</v>
      </c>
      <c r="B15" s="36">
        <f t="shared" ref="B15:M15" si="0">SUM(B11:B14)</f>
        <v>2.5299999999999998</v>
      </c>
      <c r="C15" s="36">
        <f t="shared" si="0"/>
        <v>4.0359999999999996</v>
      </c>
      <c r="D15" s="286">
        <f t="shared" si="0"/>
        <v>3.9830000000000001</v>
      </c>
      <c r="E15" s="286">
        <f t="shared" si="0"/>
        <v>2.8980000000000001</v>
      </c>
      <c r="F15" s="286">
        <f t="shared" si="0"/>
        <v>4.1529999999999996</v>
      </c>
      <c r="G15" s="286">
        <f t="shared" si="0"/>
        <v>3.2519999999999998</v>
      </c>
      <c r="H15" s="286">
        <f t="shared" si="0"/>
        <v>2.9220000000000002</v>
      </c>
      <c r="I15" s="286">
        <f t="shared" si="0"/>
        <v>1.9039999999999999</v>
      </c>
      <c r="J15" s="286">
        <f t="shared" si="0"/>
        <v>0</v>
      </c>
      <c r="K15" s="286">
        <f t="shared" si="0"/>
        <v>0</v>
      </c>
      <c r="L15" s="286">
        <f t="shared" si="0"/>
        <v>0</v>
      </c>
      <c r="M15" s="286">
        <f t="shared" si="0"/>
        <v>0</v>
      </c>
      <c r="N15" s="37">
        <f>SUM(B15:M15)</f>
        <v>25.677999999999997</v>
      </c>
    </row>
    <row r="16" spans="1:14">
      <c r="A16" s="33"/>
      <c r="B16" s="34"/>
      <c r="C16" s="34"/>
      <c r="D16" s="285"/>
      <c r="E16" s="285"/>
      <c r="F16" s="285"/>
      <c r="G16" s="285"/>
      <c r="H16" s="285"/>
      <c r="I16" s="285"/>
      <c r="J16" s="285"/>
      <c r="K16" s="285"/>
      <c r="L16" s="285"/>
      <c r="M16" s="285"/>
      <c r="N16" s="35"/>
    </row>
    <row r="17" spans="1:19">
      <c r="A17" s="32" t="s">
        <v>331</v>
      </c>
      <c r="B17" s="34"/>
      <c r="C17" s="34"/>
      <c r="D17" s="285"/>
      <c r="E17" s="285"/>
      <c r="F17" s="285"/>
      <c r="G17" s="285"/>
      <c r="H17" s="285"/>
      <c r="I17" s="285"/>
      <c r="J17" s="285"/>
      <c r="K17" s="285"/>
      <c r="L17" s="285"/>
      <c r="M17" s="285"/>
      <c r="N17" s="35"/>
    </row>
    <row r="18" spans="1:19" ht="14.25">
      <c r="A18" s="33" t="s">
        <v>332</v>
      </c>
      <c r="B18" s="34">
        <v>0</v>
      </c>
      <c r="C18" s="34">
        <v>0</v>
      </c>
      <c r="D18" s="285">
        <v>0</v>
      </c>
      <c r="E18" s="285">
        <v>0</v>
      </c>
      <c r="F18" s="285">
        <v>0</v>
      </c>
      <c r="G18" s="285">
        <v>0</v>
      </c>
      <c r="H18" s="291">
        <v>0</v>
      </c>
      <c r="I18" s="291">
        <v>0</v>
      </c>
      <c r="J18" s="291">
        <v>0</v>
      </c>
      <c r="K18" s="291">
        <v>0</v>
      </c>
      <c r="L18" s="291">
        <v>0</v>
      </c>
      <c r="M18" s="291">
        <v>0</v>
      </c>
      <c r="N18" s="35">
        <f>SUM(B18:M18)</f>
        <v>0</v>
      </c>
    </row>
    <row r="19" spans="1:19">
      <c r="A19" s="24" t="s">
        <v>333</v>
      </c>
      <c r="B19" s="36">
        <f t="shared" ref="B19:M19" si="1">SUM(B18:B18)</f>
        <v>0</v>
      </c>
      <c r="C19" s="36">
        <f t="shared" si="1"/>
        <v>0</v>
      </c>
      <c r="D19" s="286">
        <f t="shared" si="1"/>
        <v>0</v>
      </c>
      <c r="E19" s="286">
        <f t="shared" si="1"/>
        <v>0</v>
      </c>
      <c r="F19" s="286">
        <f t="shared" si="1"/>
        <v>0</v>
      </c>
      <c r="G19" s="286">
        <f t="shared" si="1"/>
        <v>0</v>
      </c>
      <c r="H19" s="286">
        <f t="shared" si="1"/>
        <v>0</v>
      </c>
      <c r="I19" s="286">
        <f t="shared" si="1"/>
        <v>0</v>
      </c>
      <c r="J19" s="286">
        <f t="shared" si="1"/>
        <v>0</v>
      </c>
      <c r="K19" s="286">
        <f t="shared" si="1"/>
        <v>0</v>
      </c>
      <c r="L19" s="286">
        <f t="shared" si="1"/>
        <v>0</v>
      </c>
      <c r="M19" s="286">
        <f t="shared" si="1"/>
        <v>0</v>
      </c>
      <c r="N19" s="37">
        <f>SUM(B19:M19)</f>
        <v>0</v>
      </c>
    </row>
    <row r="20" spans="1:19">
      <c r="A20" s="38"/>
      <c r="B20" s="34"/>
      <c r="C20" s="34"/>
      <c r="D20" s="285"/>
      <c r="E20" s="285"/>
      <c r="F20" s="285"/>
      <c r="G20" s="285"/>
      <c r="H20" s="285"/>
      <c r="I20" s="285"/>
      <c r="J20" s="285"/>
      <c r="K20" s="285"/>
      <c r="L20" s="285"/>
      <c r="M20" s="285"/>
      <c r="N20" s="35"/>
    </row>
    <row r="21" spans="1:19">
      <c r="A21" s="32" t="s">
        <v>334</v>
      </c>
      <c r="B21" s="34" t="s">
        <v>85</v>
      </c>
      <c r="C21" s="34" t="s">
        <v>85</v>
      </c>
      <c r="D21" s="285" t="s">
        <v>85</v>
      </c>
      <c r="E21" s="285"/>
      <c r="F21" s="285" t="s">
        <v>85</v>
      </c>
      <c r="G21" s="292"/>
      <c r="H21" s="285" t="s">
        <v>85</v>
      </c>
      <c r="I21" s="285" t="s">
        <v>85</v>
      </c>
      <c r="J21" s="285" t="s">
        <v>85</v>
      </c>
      <c r="K21" s="285" t="s">
        <v>85</v>
      </c>
      <c r="L21" s="285" t="s">
        <v>85</v>
      </c>
      <c r="M21" s="285" t="s">
        <v>85</v>
      </c>
      <c r="N21" s="35" t="s">
        <v>85</v>
      </c>
    </row>
    <row r="22" spans="1:19">
      <c r="A22" s="33" t="s">
        <v>335</v>
      </c>
      <c r="B22" s="34">
        <v>0</v>
      </c>
      <c r="C22" s="34">
        <v>0</v>
      </c>
      <c r="D22" s="285">
        <v>0</v>
      </c>
      <c r="E22" s="285">
        <v>0</v>
      </c>
      <c r="F22" s="285">
        <v>0</v>
      </c>
      <c r="G22" s="285">
        <v>0</v>
      </c>
      <c r="H22" s="291">
        <v>0</v>
      </c>
      <c r="I22" s="291">
        <v>0</v>
      </c>
      <c r="J22" s="291">
        <v>0</v>
      </c>
      <c r="K22" s="291">
        <v>0</v>
      </c>
      <c r="L22" s="291">
        <v>0</v>
      </c>
      <c r="M22" s="291">
        <v>0</v>
      </c>
      <c r="N22" s="35">
        <f>SUM(B22:M22)</f>
        <v>0</v>
      </c>
    </row>
    <row r="23" spans="1:19">
      <c r="A23" s="242" t="s">
        <v>336</v>
      </c>
      <c r="B23" s="36">
        <f t="shared" ref="B23:M23" si="2">SUM(B22:B22)</f>
        <v>0</v>
      </c>
      <c r="C23" s="36">
        <f t="shared" si="2"/>
        <v>0</v>
      </c>
      <c r="D23" s="286">
        <f t="shared" si="2"/>
        <v>0</v>
      </c>
      <c r="E23" s="286">
        <f t="shared" si="2"/>
        <v>0</v>
      </c>
      <c r="F23" s="286">
        <f t="shared" si="2"/>
        <v>0</v>
      </c>
      <c r="G23" s="286">
        <f t="shared" si="2"/>
        <v>0</v>
      </c>
      <c r="H23" s="286">
        <f t="shared" si="2"/>
        <v>0</v>
      </c>
      <c r="I23" s="286">
        <f t="shared" si="2"/>
        <v>0</v>
      </c>
      <c r="J23" s="286">
        <f t="shared" si="2"/>
        <v>0</v>
      </c>
      <c r="K23" s="286">
        <f t="shared" si="2"/>
        <v>0</v>
      </c>
      <c r="L23" s="286">
        <f t="shared" si="2"/>
        <v>0</v>
      </c>
      <c r="M23" s="286">
        <f t="shared" si="2"/>
        <v>0</v>
      </c>
      <c r="N23" s="37">
        <f>SUM(B23:M23)</f>
        <v>0</v>
      </c>
    </row>
    <row r="24" spans="1:19">
      <c r="A24" s="40"/>
      <c r="B24" s="34"/>
      <c r="C24" s="34"/>
      <c r="D24" s="285"/>
      <c r="E24" s="285"/>
      <c r="F24" s="285"/>
      <c r="G24" s="287"/>
      <c r="H24" s="285"/>
      <c r="I24" s="287"/>
      <c r="J24" s="285"/>
      <c r="K24" s="285"/>
      <c r="L24" s="287"/>
      <c r="M24" s="285"/>
      <c r="N24" s="35"/>
    </row>
    <row r="25" spans="1:19">
      <c r="A25" s="42" t="s">
        <v>301</v>
      </c>
      <c r="B25" s="34"/>
      <c r="C25" s="34"/>
      <c r="D25" s="285"/>
      <c r="E25" s="285"/>
      <c r="F25" s="285"/>
      <c r="G25" s="285"/>
      <c r="H25" s="285"/>
      <c r="I25" s="285"/>
      <c r="J25" s="285"/>
      <c r="K25" s="285"/>
      <c r="L25" s="285"/>
      <c r="M25" s="285"/>
      <c r="N25" s="35"/>
    </row>
    <row r="26" spans="1:19">
      <c r="A26" s="33" t="s">
        <v>337</v>
      </c>
      <c r="B26" s="39">
        <v>0</v>
      </c>
      <c r="C26" s="39">
        <v>0</v>
      </c>
      <c r="D26" s="285">
        <v>0</v>
      </c>
      <c r="E26" s="285">
        <v>0</v>
      </c>
      <c r="F26" s="285">
        <v>0</v>
      </c>
      <c r="G26" s="285">
        <v>0</v>
      </c>
      <c r="H26" s="291">
        <v>0</v>
      </c>
      <c r="I26" s="291">
        <v>0</v>
      </c>
      <c r="J26" s="291">
        <v>0</v>
      </c>
      <c r="K26" s="291">
        <v>0</v>
      </c>
      <c r="L26" s="291">
        <v>0</v>
      </c>
      <c r="M26" s="291">
        <v>0</v>
      </c>
      <c r="N26" s="35">
        <f>SUM(B26:M26)</f>
        <v>0</v>
      </c>
    </row>
    <row r="27" spans="1:19">
      <c r="A27" s="33" t="s">
        <v>84</v>
      </c>
      <c r="B27" s="39">
        <v>0</v>
      </c>
      <c r="C27" s="39">
        <v>0</v>
      </c>
      <c r="D27" s="285">
        <v>0</v>
      </c>
      <c r="E27" s="285">
        <v>0</v>
      </c>
      <c r="F27" s="285">
        <v>0</v>
      </c>
      <c r="G27" s="285">
        <v>0</v>
      </c>
      <c r="H27" s="291">
        <v>0</v>
      </c>
      <c r="I27" s="291">
        <v>0</v>
      </c>
      <c r="J27" s="291">
        <v>0</v>
      </c>
      <c r="K27" s="291">
        <v>0</v>
      </c>
      <c r="L27" s="291">
        <v>0</v>
      </c>
      <c r="M27" s="291">
        <v>0</v>
      </c>
      <c r="N27" s="35">
        <f>SUM(B27:M27)</f>
        <v>0</v>
      </c>
    </row>
    <row r="28" spans="1:19">
      <c r="A28" s="33" t="s">
        <v>86</v>
      </c>
      <c r="B28" s="39">
        <v>0</v>
      </c>
      <c r="C28" s="39">
        <v>0</v>
      </c>
      <c r="D28" s="285">
        <v>0</v>
      </c>
      <c r="E28" s="285">
        <v>0</v>
      </c>
      <c r="F28" s="285">
        <v>0</v>
      </c>
      <c r="G28" s="285">
        <v>0</v>
      </c>
      <c r="H28" s="291">
        <v>0</v>
      </c>
      <c r="I28" s="291">
        <v>0</v>
      </c>
      <c r="J28" s="291">
        <v>0</v>
      </c>
      <c r="K28" s="291">
        <v>0</v>
      </c>
      <c r="L28" s="291">
        <v>0</v>
      </c>
      <c r="M28" s="291">
        <v>0</v>
      </c>
      <c r="N28" s="35">
        <f>SUM(B28:M28)</f>
        <v>0</v>
      </c>
    </row>
    <row r="29" spans="1:19">
      <c r="A29" s="33" t="s">
        <v>329</v>
      </c>
      <c r="B29" s="39">
        <v>0</v>
      </c>
      <c r="C29" s="39">
        <v>0</v>
      </c>
      <c r="D29" s="285">
        <v>0</v>
      </c>
      <c r="E29" s="285">
        <v>0</v>
      </c>
      <c r="F29" s="285">
        <v>0</v>
      </c>
      <c r="G29" s="285">
        <v>0</v>
      </c>
      <c r="H29" s="291">
        <v>0</v>
      </c>
      <c r="I29" s="291">
        <v>0</v>
      </c>
      <c r="J29" s="291">
        <v>0</v>
      </c>
      <c r="K29" s="291">
        <v>0</v>
      </c>
      <c r="L29" s="291">
        <v>0</v>
      </c>
      <c r="M29" s="293">
        <v>0</v>
      </c>
      <c r="N29" s="35">
        <f>SUM(B29:M29)</f>
        <v>0</v>
      </c>
    </row>
    <row r="30" spans="1:19">
      <c r="A30" s="43" t="s">
        <v>309</v>
      </c>
      <c r="B30" s="36">
        <f t="shared" ref="B30:H30" si="3">SUM(B26:B29)</f>
        <v>0</v>
      </c>
      <c r="C30" s="36">
        <f t="shared" si="3"/>
        <v>0</v>
      </c>
      <c r="D30" s="286">
        <f t="shared" si="3"/>
        <v>0</v>
      </c>
      <c r="E30" s="286">
        <f t="shared" si="3"/>
        <v>0</v>
      </c>
      <c r="F30" s="286">
        <f t="shared" si="3"/>
        <v>0</v>
      </c>
      <c r="G30" s="286">
        <f t="shared" si="3"/>
        <v>0</v>
      </c>
      <c r="H30" s="286">
        <f t="shared" si="3"/>
        <v>0</v>
      </c>
      <c r="I30" s="286">
        <f>SUM(I25:I29)</f>
        <v>0</v>
      </c>
      <c r="J30" s="286">
        <f>SUM(J26:J29)</f>
        <v>0</v>
      </c>
      <c r="K30" s="286">
        <f>SUM(K26:K29)</f>
        <v>0</v>
      </c>
      <c r="L30" s="286">
        <f>SUM(L26:L29)</f>
        <v>0</v>
      </c>
      <c r="M30" s="286">
        <f>SUM(M26:M29)</f>
        <v>0</v>
      </c>
      <c r="N30" s="37">
        <f>SUM(B30:M30)</f>
        <v>0</v>
      </c>
      <c r="O30" s="34"/>
    </row>
    <row r="31" spans="1:19" ht="10.5" customHeight="1">
      <c r="A31" s="44"/>
      <c r="B31" s="41"/>
      <c r="C31" s="41"/>
      <c r="D31" s="287"/>
      <c r="E31" s="287"/>
      <c r="F31" s="287"/>
      <c r="G31" s="287"/>
      <c r="H31" s="287"/>
      <c r="I31" s="287"/>
      <c r="J31" s="287"/>
      <c r="K31" s="287"/>
      <c r="L31" s="287"/>
      <c r="M31" s="287"/>
      <c r="N31" s="45"/>
    </row>
    <row r="32" spans="1:19" ht="15" customHeight="1">
      <c r="A32" s="24" t="s">
        <v>338</v>
      </c>
      <c r="B32" s="47">
        <v>0</v>
      </c>
      <c r="C32" s="47">
        <v>0</v>
      </c>
      <c r="D32" s="288">
        <v>0</v>
      </c>
      <c r="E32" s="288">
        <v>0</v>
      </c>
      <c r="F32" s="288">
        <v>0</v>
      </c>
      <c r="G32" s="288">
        <v>0</v>
      </c>
      <c r="H32" s="288">
        <v>0</v>
      </c>
      <c r="I32" s="288">
        <v>0</v>
      </c>
      <c r="J32" s="286">
        <v>0</v>
      </c>
      <c r="K32" s="286">
        <v>0</v>
      </c>
      <c r="L32" s="288">
        <v>0</v>
      </c>
      <c r="M32" s="294">
        <v>0</v>
      </c>
      <c r="N32" s="48">
        <f>SUM(B32:M32)</f>
        <v>0</v>
      </c>
      <c r="O32" s="39"/>
      <c r="P32" s="39"/>
      <c r="Q32" s="39"/>
      <c r="R32" s="39"/>
      <c r="S32" s="49"/>
    </row>
    <row r="33" spans="1:15" ht="28.5" customHeight="1" thickBot="1">
      <c r="A33" s="25" t="s">
        <v>339</v>
      </c>
      <c r="B33" s="50">
        <f t="shared" ref="B33:M33" si="4">B15+B19+B23+B30+B32</f>
        <v>2.5299999999999998</v>
      </c>
      <c r="C33" s="50">
        <f t="shared" si="4"/>
        <v>4.0359999999999996</v>
      </c>
      <c r="D33" s="289">
        <f t="shared" si="4"/>
        <v>3.9830000000000001</v>
      </c>
      <c r="E33" s="289">
        <f t="shared" si="4"/>
        <v>2.8980000000000001</v>
      </c>
      <c r="F33" s="289">
        <f t="shared" si="4"/>
        <v>4.1529999999999996</v>
      </c>
      <c r="G33" s="289">
        <f t="shared" si="4"/>
        <v>3.2519999999999998</v>
      </c>
      <c r="H33" s="289">
        <f t="shared" si="4"/>
        <v>2.9220000000000002</v>
      </c>
      <c r="I33" s="289">
        <f t="shared" si="4"/>
        <v>1.9039999999999999</v>
      </c>
      <c r="J33" s="289">
        <f t="shared" si="4"/>
        <v>0</v>
      </c>
      <c r="K33" s="289">
        <f t="shared" si="4"/>
        <v>0</v>
      </c>
      <c r="L33" s="289">
        <f t="shared" si="4"/>
        <v>0</v>
      </c>
      <c r="M33" s="289">
        <f t="shared" si="4"/>
        <v>0</v>
      </c>
      <c r="N33" s="51">
        <f>SUM(B33:M33)</f>
        <v>25.677999999999997</v>
      </c>
      <c r="O33" s="34"/>
    </row>
    <row r="34" spans="1:15" ht="11.65" customHeight="1">
      <c r="A34" s="52"/>
      <c r="B34" s="53"/>
      <c r="C34" s="53"/>
      <c r="D34" s="290"/>
      <c r="E34" s="53"/>
      <c r="F34" s="53"/>
      <c r="G34" s="53"/>
      <c r="H34" s="53"/>
      <c r="I34" s="290"/>
      <c r="J34" s="290"/>
      <c r="K34" s="290"/>
      <c r="L34" s="290"/>
      <c r="M34" s="290"/>
      <c r="N34" s="53"/>
    </row>
    <row r="36" spans="1:15" ht="11.65" customHeight="1">
      <c r="A36" s="283" t="s">
        <v>51</v>
      </c>
      <c r="B36" s="34"/>
      <c r="C36" s="34"/>
      <c r="D36" s="34"/>
      <c r="E36" s="34"/>
      <c r="F36" s="34"/>
      <c r="G36" s="34"/>
      <c r="H36" s="34"/>
      <c r="I36" s="34"/>
      <c r="J36" s="34"/>
      <c r="K36" s="34"/>
      <c r="L36" s="34"/>
      <c r="M36" s="34"/>
      <c r="N36" s="34"/>
    </row>
    <row r="37" spans="1:15" ht="13.9" customHeight="1">
      <c r="A37" s="750"/>
      <c r="B37" s="750"/>
      <c r="C37" s="750"/>
      <c r="D37" s="750"/>
      <c r="E37" s="750"/>
      <c r="F37" s="750"/>
      <c r="G37" s="750"/>
      <c r="H37" s="750"/>
      <c r="I37" s="750"/>
      <c r="J37" s="750"/>
      <c r="K37" s="750"/>
      <c r="L37" s="750"/>
      <c r="M37" s="750"/>
      <c r="N37" s="750"/>
    </row>
    <row r="40" spans="1:15">
      <c r="H40" s="34"/>
    </row>
  </sheetData>
  <mergeCells count="1">
    <mergeCell ref="A37:N37"/>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11 of 12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zoomScaleNormal="100" zoomScaleSheetLayoutView="75" workbookViewId="0">
      <selection activeCell="A7" sqref="A7"/>
    </sheetView>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75" t="s">
        <v>0</v>
      </c>
    </row>
    <row r="4" spans="1:15">
      <c r="C4" s="187"/>
      <c r="D4" s="187"/>
      <c r="E4" s="188" t="s">
        <v>340</v>
      </c>
      <c r="F4" s="187"/>
      <c r="G4" s="187"/>
    </row>
    <row r="5" spans="1:15">
      <c r="D5" s="187"/>
      <c r="E5" s="178" t="str">
        <f>'Program MW '!H3</f>
        <v>August 2019</v>
      </c>
      <c r="F5" s="187"/>
    </row>
    <row r="6" spans="1:15">
      <c r="E6" s="178"/>
    </row>
    <row r="7" spans="1:15" ht="13.5" thickBot="1">
      <c r="A7" s="26"/>
    </row>
    <row r="8" spans="1:15" ht="31.9" customHeight="1" thickBot="1">
      <c r="A8" s="562" t="s">
        <v>274</v>
      </c>
      <c r="B8" s="498" t="s">
        <v>3</v>
      </c>
      <c r="C8" s="28" t="s">
        <v>4</v>
      </c>
      <c r="D8" s="28" t="s">
        <v>5</v>
      </c>
      <c r="E8" s="28" t="s">
        <v>6</v>
      </c>
      <c r="F8" s="28" t="s">
        <v>7</v>
      </c>
      <c r="G8" s="28" t="s">
        <v>8</v>
      </c>
      <c r="H8" s="28" t="s">
        <v>35</v>
      </c>
      <c r="I8" s="28" t="s">
        <v>90</v>
      </c>
      <c r="J8" s="28" t="s">
        <v>91</v>
      </c>
      <c r="K8" s="28" t="s">
        <v>38</v>
      </c>
      <c r="L8" s="28" t="s">
        <v>92</v>
      </c>
      <c r="M8" s="499" t="s">
        <v>40</v>
      </c>
      <c r="N8" s="491" t="s">
        <v>325</v>
      </c>
    </row>
    <row r="9" spans="1:15" ht="25.5">
      <c r="A9" s="564" t="s">
        <v>341</v>
      </c>
      <c r="B9" s="561"/>
      <c r="M9" s="492"/>
      <c r="N9" s="492"/>
    </row>
    <row r="10" spans="1:15" ht="6" customHeight="1">
      <c r="A10" s="480"/>
      <c r="B10" s="561"/>
      <c r="M10" s="492"/>
      <c r="N10" s="492"/>
    </row>
    <row r="11" spans="1:15">
      <c r="A11" s="480" t="s">
        <v>276</v>
      </c>
      <c r="B11" s="561"/>
      <c r="M11" s="492"/>
      <c r="N11" s="492"/>
    </row>
    <row r="12" spans="1:15">
      <c r="A12" s="481" t="s">
        <v>342</v>
      </c>
      <c r="B12" s="556">
        <v>0.84299999999999997</v>
      </c>
      <c r="C12" s="34">
        <v>14.757</v>
      </c>
      <c r="D12" s="285">
        <v>7.351</v>
      </c>
      <c r="E12" s="285">
        <v>3.363</v>
      </c>
      <c r="F12" s="285">
        <v>6.6319999999999997</v>
      </c>
      <c r="G12" s="285">
        <v>4.6760000000000002</v>
      </c>
      <c r="H12" s="285">
        <v>4.7960000000000003</v>
      </c>
      <c r="I12" s="285">
        <v>5.8179999999999996</v>
      </c>
      <c r="J12" s="285">
        <v>0</v>
      </c>
      <c r="K12" s="285">
        <v>0</v>
      </c>
      <c r="L12" s="285">
        <v>0</v>
      </c>
      <c r="M12" s="501">
        <v>0</v>
      </c>
      <c r="N12" s="493">
        <f t="shared" ref="N12:N17" si="0">SUM(B12:M12)</f>
        <v>48.235999999999997</v>
      </c>
    </row>
    <row r="13" spans="1:15" ht="14.25">
      <c r="A13" s="481" t="s">
        <v>343</v>
      </c>
      <c r="B13" s="556">
        <v>11.128</v>
      </c>
      <c r="C13" s="34">
        <v>36.481999999999999</v>
      </c>
      <c r="D13" s="285">
        <v>18.846</v>
      </c>
      <c r="E13" s="285">
        <v>19.452000000000002</v>
      </c>
      <c r="F13" s="285">
        <v>33.902999999999999</v>
      </c>
      <c r="G13" s="285">
        <v>21.138000000000002</v>
      </c>
      <c r="H13" s="285">
        <v>27.491</v>
      </c>
      <c r="I13" s="285">
        <v>21.306000000000001</v>
      </c>
      <c r="J13" s="285">
        <v>0</v>
      </c>
      <c r="K13" s="285">
        <v>0</v>
      </c>
      <c r="L13" s="285">
        <v>0</v>
      </c>
      <c r="M13" s="501">
        <v>0</v>
      </c>
      <c r="N13" s="35">
        <f t="shared" si="0"/>
        <v>189.74600000000001</v>
      </c>
    </row>
    <row r="14" spans="1:15">
      <c r="A14" s="481" t="s">
        <v>344</v>
      </c>
      <c r="B14" s="556">
        <v>5.9370000000000003</v>
      </c>
      <c r="C14" s="34">
        <v>5.6740000000000004</v>
      </c>
      <c r="D14" s="285">
        <v>0.995</v>
      </c>
      <c r="E14" s="285">
        <v>0</v>
      </c>
      <c r="F14" s="285">
        <v>0</v>
      </c>
      <c r="G14" s="285">
        <v>0</v>
      </c>
      <c r="H14" s="285">
        <v>0</v>
      </c>
      <c r="I14" s="285">
        <v>0</v>
      </c>
      <c r="J14" s="285">
        <v>0</v>
      </c>
      <c r="K14" s="285">
        <v>0</v>
      </c>
      <c r="L14" s="285">
        <v>0</v>
      </c>
      <c r="M14" s="501">
        <v>0</v>
      </c>
      <c r="N14" s="35">
        <f t="shared" si="0"/>
        <v>12.606</v>
      </c>
    </row>
    <row r="15" spans="1:15" ht="14.25">
      <c r="A15" s="481" t="s">
        <v>345</v>
      </c>
      <c r="B15" s="556">
        <v>0</v>
      </c>
      <c r="C15" s="34">
        <v>2.3570000000000002</v>
      </c>
      <c r="D15" s="285">
        <v>25.724</v>
      </c>
      <c r="E15" s="285">
        <v>30.103000000000002</v>
      </c>
      <c r="F15" s="285">
        <v>0.97099999999999997</v>
      </c>
      <c r="G15" s="285">
        <v>297.38600000000002</v>
      </c>
      <c r="H15" s="285">
        <v>-52.134</v>
      </c>
      <c r="I15" s="285">
        <v>146.26400000000001</v>
      </c>
      <c r="J15" s="285">
        <v>0</v>
      </c>
      <c r="K15" s="285">
        <v>0</v>
      </c>
      <c r="L15" s="285">
        <v>0</v>
      </c>
      <c r="M15" s="285">
        <v>0</v>
      </c>
      <c r="N15" s="35">
        <f t="shared" si="0"/>
        <v>450.67099999999999</v>
      </c>
    </row>
    <row r="16" spans="1:15" ht="14.25">
      <c r="A16" s="565" t="s">
        <v>346</v>
      </c>
      <c r="B16" s="556">
        <v>11.414</v>
      </c>
      <c r="C16" s="34">
        <v>13.749000000000001</v>
      </c>
      <c r="D16" s="285">
        <v>3.2610000000000001</v>
      </c>
      <c r="E16" s="285">
        <v>2.9529999999999998</v>
      </c>
      <c r="F16" s="285">
        <v>-0.441</v>
      </c>
      <c r="G16" s="285">
        <v>0.752</v>
      </c>
      <c r="H16" s="285">
        <v>0.70899999999999996</v>
      </c>
      <c r="I16" s="285">
        <f>0.941+0.107</f>
        <v>1.048</v>
      </c>
      <c r="J16" s="285">
        <v>0</v>
      </c>
      <c r="K16" s="285">
        <v>0</v>
      </c>
      <c r="L16" s="285">
        <v>0</v>
      </c>
      <c r="M16" s="501">
        <v>0</v>
      </c>
      <c r="N16" s="493">
        <f t="shared" si="0"/>
        <v>33.445</v>
      </c>
      <c r="O16" s="34"/>
    </row>
    <row r="17" spans="1:16">
      <c r="A17" s="563" t="s">
        <v>330</v>
      </c>
      <c r="B17" s="502">
        <f t="shared" ref="B17:M17" si="1">SUM(B12:B16)</f>
        <v>29.322000000000003</v>
      </c>
      <c r="C17" s="36">
        <f t="shared" si="1"/>
        <v>73.018999999999991</v>
      </c>
      <c r="D17" s="286">
        <f t="shared" si="1"/>
        <v>56.177</v>
      </c>
      <c r="E17" s="286">
        <f t="shared" si="1"/>
        <v>55.871000000000009</v>
      </c>
      <c r="F17" s="286">
        <f t="shared" si="1"/>
        <v>41.064999999999991</v>
      </c>
      <c r="G17" s="286">
        <f t="shared" si="1"/>
        <v>323.95200000000006</v>
      </c>
      <c r="H17" s="286">
        <f t="shared" si="1"/>
        <v>-19.138000000000002</v>
      </c>
      <c r="I17" s="286">
        <f t="shared" si="1"/>
        <v>174.43600000000001</v>
      </c>
      <c r="J17" s="286">
        <f t="shared" si="1"/>
        <v>0</v>
      </c>
      <c r="K17" s="286">
        <f t="shared" si="1"/>
        <v>0</v>
      </c>
      <c r="L17" s="286">
        <f t="shared" si="1"/>
        <v>0</v>
      </c>
      <c r="M17" s="503">
        <f t="shared" si="1"/>
        <v>0</v>
      </c>
      <c r="N17" s="494">
        <f t="shared" si="0"/>
        <v>734.70400000000006</v>
      </c>
    </row>
    <row r="18" spans="1:16">
      <c r="A18" s="483"/>
      <c r="B18" s="500"/>
      <c r="C18" s="34"/>
      <c r="D18" s="285"/>
      <c r="E18" s="285"/>
      <c r="F18" s="285"/>
      <c r="G18" s="285"/>
      <c r="H18" s="285"/>
      <c r="I18" s="285"/>
      <c r="J18" s="285" t="s">
        <v>85</v>
      </c>
      <c r="K18" s="285"/>
      <c r="L18" s="285"/>
      <c r="M18" s="501"/>
      <c r="N18" s="493"/>
      <c r="P18" s="555"/>
    </row>
    <row r="19" spans="1:16">
      <c r="A19" s="480" t="s">
        <v>347</v>
      </c>
      <c r="B19" s="500"/>
      <c r="C19" s="34"/>
      <c r="D19" s="285"/>
      <c r="E19" s="285"/>
      <c r="F19" s="285"/>
      <c r="G19" s="285"/>
      <c r="H19" s="285"/>
      <c r="I19" s="285"/>
      <c r="J19" s="285"/>
      <c r="K19" s="285"/>
      <c r="L19" s="285"/>
      <c r="M19" s="501"/>
      <c r="N19" s="493"/>
      <c r="P19" s="555"/>
    </row>
    <row r="20" spans="1:16">
      <c r="A20" s="481" t="s">
        <v>348</v>
      </c>
      <c r="B20" s="500">
        <v>43.601999999999997</v>
      </c>
      <c r="C20" s="34">
        <v>43.601999999999997</v>
      </c>
      <c r="D20" s="285">
        <v>43.601999999999997</v>
      </c>
      <c r="E20" s="285">
        <v>43.601999999999997</v>
      </c>
      <c r="F20" s="285">
        <v>43.343000000000004</v>
      </c>
      <c r="G20" s="285">
        <v>43.343000000000004</v>
      </c>
      <c r="H20" s="285">
        <v>43.343000000000004</v>
      </c>
      <c r="I20" s="285">
        <v>43.343000000000004</v>
      </c>
      <c r="J20" s="285">
        <v>0</v>
      </c>
      <c r="K20" s="285">
        <v>0</v>
      </c>
      <c r="L20" s="285">
        <v>0</v>
      </c>
      <c r="M20" s="501">
        <v>0</v>
      </c>
      <c r="N20" s="493">
        <f>SUM(B20:M20)</f>
        <v>347.78000000000003</v>
      </c>
      <c r="P20" s="555"/>
    </row>
    <row r="21" spans="1:16">
      <c r="A21" s="481" t="s">
        <v>349</v>
      </c>
      <c r="B21" s="556">
        <v>0</v>
      </c>
      <c r="C21" s="34">
        <v>0</v>
      </c>
      <c r="D21" s="651">
        <v>0</v>
      </c>
      <c r="E21" s="285">
        <v>516.10599999999999</v>
      </c>
      <c r="F21" s="285">
        <v>19.728999999999999</v>
      </c>
      <c r="G21" s="285">
        <v>19.648</v>
      </c>
      <c r="H21" s="285">
        <v>19.567</v>
      </c>
      <c r="I21" s="285">
        <v>19.486000000000001</v>
      </c>
      <c r="J21" s="285">
        <v>0</v>
      </c>
      <c r="K21" s="285">
        <v>0</v>
      </c>
      <c r="L21" s="285">
        <v>0</v>
      </c>
      <c r="M21" s="501">
        <v>0</v>
      </c>
      <c r="N21" s="493">
        <f t="shared" ref="N21:N22" si="2">SUM(B21:M21)</f>
        <v>594.53600000000006</v>
      </c>
      <c r="P21" s="555"/>
    </row>
    <row r="22" spans="1:16">
      <c r="A22" s="481" t="s">
        <v>350</v>
      </c>
      <c r="B22" s="556">
        <v>0</v>
      </c>
      <c r="C22" s="34">
        <v>0</v>
      </c>
      <c r="D22" s="651">
        <v>0</v>
      </c>
      <c r="E22" s="285">
        <v>25.07</v>
      </c>
      <c r="F22" s="285">
        <v>2.5070000000000001</v>
      </c>
      <c r="G22" s="285">
        <v>2.5070000000000001</v>
      </c>
      <c r="H22" s="285">
        <v>2.4089999999999998</v>
      </c>
      <c r="I22" s="285">
        <v>2.4089999999999998</v>
      </c>
      <c r="J22" s="285">
        <v>0</v>
      </c>
      <c r="K22" s="285">
        <v>0</v>
      </c>
      <c r="L22" s="285">
        <v>0</v>
      </c>
      <c r="M22" s="501">
        <v>0</v>
      </c>
      <c r="N22" s="493">
        <f t="shared" si="2"/>
        <v>34.902000000000001</v>
      </c>
      <c r="P22" s="555"/>
    </row>
    <row r="23" spans="1:16">
      <c r="A23" s="484" t="s">
        <v>351</v>
      </c>
      <c r="B23" s="500">
        <v>11.589</v>
      </c>
      <c r="C23" s="34">
        <v>11.315</v>
      </c>
      <c r="D23" s="285">
        <v>11.041</v>
      </c>
      <c r="E23" s="285">
        <v>10.766</v>
      </c>
      <c r="F23" s="285">
        <v>10.493</v>
      </c>
      <c r="G23" s="285">
        <v>10.220000000000001</v>
      </c>
      <c r="H23" s="291">
        <v>9.9469999999999992</v>
      </c>
      <c r="I23" s="291">
        <v>9.6750000000000007</v>
      </c>
      <c r="J23" s="291">
        <v>0</v>
      </c>
      <c r="K23" s="291">
        <v>0</v>
      </c>
      <c r="L23" s="291">
        <v>0</v>
      </c>
      <c r="M23" s="504">
        <v>0</v>
      </c>
      <c r="N23" s="493">
        <f>SUM(B23:M23)</f>
        <v>85.046000000000006</v>
      </c>
      <c r="P23" s="555"/>
    </row>
    <row r="24" spans="1:16">
      <c r="A24" s="482" t="s">
        <v>333</v>
      </c>
      <c r="B24" s="502">
        <f>SUM(B20:B23)</f>
        <v>55.190999999999995</v>
      </c>
      <c r="C24" s="36">
        <f t="shared" ref="C24:M24" si="3">SUM(C20:C23)</f>
        <v>54.916999999999994</v>
      </c>
      <c r="D24" s="286">
        <f t="shared" si="3"/>
        <v>54.643000000000001</v>
      </c>
      <c r="E24" s="286">
        <f t="shared" si="3"/>
        <v>595.54399999999998</v>
      </c>
      <c r="F24" s="286">
        <f t="shared" si="3"/>
        <v>76.072000000000003</v>
      </c>
      <c r="G24" s="286">
        <f t="shared" si="3"/>
        <v>75.718000000000004</v>
      </c>
      <c r="H24" s="286">
        <f t="shared" si="3"/>
        <v>75.266000000000005</v>
      </c>
      <c r="I24" s="286">
        <f t="shared" si="3"/>
        <v>74.913000000000011</v>
      </c>
      <c r="J24" s="286">
        <f t="shared" si="3"/>
        <v>0</v>
      </c>
      <c r="K24" s="286">
        <f t="shared" si="3"/>
        <v>0</v>
      </c>
      <c r="L24" s="286">
        <f t="shared" si="3"/>
        <v>0</v>
      </c>
      <c r="M24" s="503">
        <f t="shared" si="3"/>
        <v>0</v>
      </c>
      <c r="N24" s="494">
        <f>SUM(B24:M24)</f>
        <v>1062.2639999999999</v>
      </c>
      <c r="P24" s="555"/>
    </row>
    <row r="25" spans="1:16">
      <c r="A25" s="484"/>
      <c r="B25" s="500"/>
      <c r="C25" s="34"/>
      <c r="D25" s="285"/>
      <c r="E25" s="285"/>
      <c r="F25" s="285"/>
      <c r="G25" s="285"/>
      <c r="H25" s="285"/>
      <c r="I25" s="285"/>
      <c r="J25" s="285"/>
      <c r="K25" s="285"/>
      <c r="L25" s="285"/>
      <c r="M25" s="501"/>
      <c r="N25" s="493"/>
      <c r="P25" s="555"/>
    </row>
    <row r="26" spans="1:16">
      <c r="A26" s="480"/>
      <c r="B26" s="500" t="s">
        <v>85</v>
      </c>
      <c r="C26" s="34" t="s">
        <v>85</v>
      </c>
      <c r="D26" s="285" t="s">
        <v>85</v>
      </c>
      <c r="E26" s="285"/>
      <c r="F26" s="285" t="s">
        <v>85</v>
      </c>
      <c r="G26" s="292"/>
      <c r="H26" s="291" t="s">
        <v>85</v>
      </c>
      <c r="I26" s="291" t="s">
        <v>85</v>
      </c>
      <c r="J26" s="291" t="s">
        <v>85</v>
      </c>
      <c r="K26" s="291" t="s">
        <v>85</v>
      </c>
      <c r="L26" s="291" t="s">
        <v>85</v>
      </c>
      <c r="M26" s="504" t="s">
        <v>85</v>
      </c>
      <c r="N26" s="493" t="s">
        <v>85</v>
      </c>
      <c r="P26" s="555"/>
    </row>
    <row r="27" spans="1:16">
      <c r="A27" s="480" t="s">
        <v>334</v>
      </c>
      <c r="B27" s="500">
        <v>0</v>
      </c>
      <c r="C27" s="34">
        <v>0</v>
      </c>
      <c r="D27" s="285">
        <v>0</v>
      </c>
      <c r="E27" s="285">
        <v>0</v>
      </c>
      <c r="F27" s="285">
        <v>0</v>
      </c>
      <c r="G27" s="285">
        <v>0</v>
      </c>
      <c r="H27" s="291">
        <v>0</v>
      </c>
      <c r="I27" s="291">
        <v>0</v>
      </c>
      <c r="J27" s="291">
        <v>0</v>
      </c>
      <c r="K27" s="291">
        <v>0</v>
      </c>
      <c r="L27" s="291">
        <v>0</v>
      </c>
      <c r="M27" s="504">
        <v>0</v>
      </c>
      <c r="N27" s="493">
        <f>SUM(B27:M27)</f>
        <v>0</v>
      </c>
      <c r="P27" s="555"/>
    </row>
    <row r="28" spans="1:16">
      <c r="A28" s="485" t="s">
        <v>336</v>
      </c>
      <c r="B28" s="502">
        <f t="shared" ref="B28:H28" si="4">SUM(B27:B27)</f>
        <v>0</v>
      </c>
      <c r="C28" s="36">
        <f t="shared" si="4"/>
        <v>0</v>
      </c>
      <c r="D28" s="286">
        <f t="shared" si="4"/>
        <v>0</v>
      </c>
      <c r="E28" s="286">
        <f>SUM(E27:E27)</f>
        <v>0</v>
      </c>
      <c r="F28" s="286">
        <f t="shared" si="4"/>
        <v>0</v>
      </c>
      <c r="G28" s="286">
        <f t="shared" si="4"/>
        <v>0</v>
      </c>
      <c r="H28" s="286">
        <f t="shared" si="4"/>
        <v>0</v>
      </c>
      <c r="I28" s="286">
        <f>SUM(I27:I27)</f>
        <v>0</v>
      </c>
      <c r="J28" s="286">
        <f>SUM(J27:J27)</f>
        <v>0</v>
      </c>
      <c r="K28" s="286">
        <f>SUM(K27:K27)</f>
        <v>0</v>
      </c>
      <c r="L28" s="286">
        <f>SUM(L27:L27)</f>
        <v>0</v>
      </c>
      <c r="M28" s="503">
        <f>SUM(M27:M27)</f>
        <v>0</v>
      </c>
      <c r="N28" s="494">
        <f>SUM(B28:M28)</f>
        <v>0</v>
      </c>
      <c r="P28" s="555"/>
    </row>
    <row r="29" spans="1:16">
      <c r="A29" s="486"/>
      <c r="B29" s="500"/>
      <c r="C29" s="34"/>
      <c r="D29" s="285"/>
      <c r="E29" s="285"/>
      <c r="F29" s="285"/>
      <c r="G29" s="287"/>
      <c r="H29" s="285"/>
      <c r="I29" s="287"/>
      <c r="J29" s="285"/>
      <c r="K29" s="285"/>
      <c r="L29" s="287"/>
      <c r="M29" s="501"/>
      <c r="N29" s="493"/>
    </row>
    <row r="30" spans="1:16">
      <c r="A30" s="487"/>
      <c r="B30" s="500"/>
      <c r="C30" s="34"/>
      <c r="D30" s="285"/>
      <c r="E30" s="285"/>
      <c r="F30" s="285"/>
      <c r="G30" s="285"/>
      <c r="H30" s="285"/>
      <c r="I30" s="285"/>
      <c r="J30" s="285"/>
      <c r="K30" s="285"/>
      <c r="L30" s="285"/>
      <c r="M30" s="501"/>
      <c r="N30" s="493"/>
    </row>
    <row r="31" spans="1:16">
      <c r="A31" s="487" t="s">
        <v>301</v>
      </c>
      <c r="B31" s="500">
        <v>0</v>
      </c>
      <c r="C31" s="34">
        <v>0</v>
      </c>
      <c r="D31" s="285">
        <v>0</v>
      </c>
      <c r="E31" s="285">
        <v>0</v>
      </c>
      <c r="F31" s="285">
        <v>0</v>
      </c>
      <c r="G31" s="285">
        <v>0</v>
      </c>
      <c r="H31" s="291">
        <v>0</v>
      </c>
      <c r="I31" s="291">
        <v>0</v>
      </c>
      <c r="J31" s="291">
        <v>0</v>
      </c>
      <c r="K31" s="291">
        <v>0</v>
      </c>
      <c r="L31" s="291">
        <v>0</v>
      </c>
      <c r="M31" s="504">
        <v>0</v>
      </c>
      <c r="N31" s="493">
        <f>SUM(B31:M31)</f>
        <v>0</v>
      </c>
    </row>
    <row r="32" spans="1:16">
      <c r="A32" s="483"/>
      <c r="B32" s="500"/>
      <c r="C32" s="34"/>
      <c r="D32" s="285"/>
      <c r="E32" s="285"/>
      <c r="F32" s="285"/>
      <c r="G32" s="285"/>
      <c r="H32" s="291"/>
      <c r="I32" s="291"/>
      <c r="J32" s="291"/>
      <c r="K32" s="291"/>
      <c r="L32" s="291"/>
      <c r="M32" s="505"/>
      <c r="N32" s="493" t="s">
        <v>85</v>
      </c>
    </row>
    <row r="33" spans="1:19">
      <c r="A33" s="488" t="s">
        <v>309</v>
      </c>
      <c r="B33" s="502">
        <f t="shared" ref="B33:H33" si="5">SUM(B31:B32)</f>
        <v>0</v>
      </c>
      <c r="C33" s="36">
        <f t="shared" si="5"/>
        <v>0</v>
      </c>
      <c r="D33" s="286">
        <f t="shared" si="5"/>
        <v>0</v>
      </c>
      <c r="E33" s="286">
        <f t="shared" si="5"/>
        <v>0</v>
      </c>
      <c r="F33" s="286">
        <f t="shared" si="5"/>
        <v>0</v>
      </c>
      <c r="G33" s="286">
        <f t="shared" si="5"/>
        <v>0</v>
      </c>
      <c r="H33" s="286">
        <f t="shared" si="5"/>
        <v>0</v>
      </c>
      <c r="I33" s="286">
        <f>SUM(I30:I32)</f>
        <v>0</v>
      </c>
      <c r="J33" s="286">
        <f>SUM(J31:J32)</f>
        <v>0</v>
      </c>
      <c r="K33" s="286">
        <f>SUM(K31:K32)</f>
        <v>0</v>
      </c>
      <c r="L33" s="286">
        <f>SUM(L31:L32)</f>
        <v>0</v>
      </c>
      <c r="M33" s="503">
        <f>SUM(M31:M32)</f>
        <v>0</v>
      </c>
      <c r="N33" s="494">
        <f>SUM(B33:M33)</f>
        <v>0</v>
      </c>
      <c r="O33" s="34"/>
    </row>
    <row r="34" spans="1:19" ht="10.5" customHeight="1">
      <c r="A34" s="489"/>
      <c r="B34" s="506"/>
      <c r="C34" s="41"/>
      <c r="D34" s="287"/>
      <c r="E34" s="287"/>
      <c r="F34" s="287"/>
      <c r="G34" s="287"/>
      <c r="H34" s="287"/>
      <c r="I34" s="287"/>
      <c r="J34" s="287"/>
      <c r="K34" s="287"/>
      <c r="L34" s="287"/>
      <c r="M34" s="507"/>
      <c r="N34" s="495"/>
    </row>
    <row r="35" spans="1:19" ht="15" customHeight="1">
      <c r="A35" s="482" t="s">
        <v>338</v>
      </c>
      <c r="B35" s="508">
        <v>0</v>
      </c>
      <c r="C35" s="47">
        <v>0</v>
      </c>
      <c r="D35" s="288">
        <v>0</v>
      </c>
      <c r="E35" s="288">
        <v>0</v>
      </c>
      <c r="F35" s="288">
        <v>0</v>
      </c>
      <c r="G35" s="288">
        <v>0</v>
      </c>
      <c r="H35" s="288">
        <v>0</v>
      </c>
      <c r="I35" s="288">
        <v>0</v>
      </c>
      <c r="J35" s="286">
        <v>0</v>
      </c>
      <c r="K35" s="286">
        <v>0</v>
      </c>
      <c r="L35" s="288">
        <v>0</v>
      </c>
      <c r="M35" s="509">
        <v>0</v>
      </c>
      <c r="N35" s="496">
        <f>SUM(B35:M35)</f>
        <v>0</v>
      </c>
      <c r="O35" s="39"/>
      <c r="P35" s="39"/>
      <c r="Q35" s="39"/>
      <c r="R35" s="39"/>
      <c r="S35" s="49"/>
    </row>
    <row r="36" spans="1:19" ht="15" customHeight="1" thickBot="1">
      <c r="A36" s="490" t="s">
        <v>352</v>
      </c>
      <c r="B36" s="510">
        <f t="shared" ref="B36:L36" si="6">B17+B24+B28+B33+B35</f>
        <v>84.513000000000005</v>
      </c>
      <c r="C36" s="50">
        <f t="shared" si="6"/>
        <v>127.93599999999998</v>
      </c>
      <c r="D36" s="289">
        <f t="shared" si="6"/>
        <v>110.82</v>
      </c>
      <c r="E36" s="289">
        <f t="shared" si="6"/>
        <v>651.41499999999996</v>
      </c>
      <c r="F36" s="289">
        <f t="shared" si="6"/>
        <v>117.137</v>
      </c>
      <c r="G36" s="289">
        <f t="shared" si="6"/>
        <v>399.67000000000007</v>
      </c>
      <c r="H36" s="289">
        <f>H17+H24+H28+H33+H35</f>
        <v>56.128</v>
      </c>
      <c r="I36" s="289">
        <f t="shared" si="6"/>
        <v>249.34900000000002</v>
      </c>
      <c r="J36" s="289">
        <f t="shared" si="6"/>
        <v>0</v>
      </c>
      <c r="K36" s="289">
        <f t="shared" si="6"/>
        <v>0</v>
      </c>
      <c r="L36" s="289">
        <f t="shared" si="6"/>
        <v>0</v>
      </c>
      <c r="M36" s="511">
        <f>M17+M24+M28+M33+M35</f>
        <v>0</v>
      </c>
      <c r="N36" s="497">
        <f>SUM(B36:M36)</f>
        <v>1796.9679999999998</v>
      </c>
      <c r="O36" s="39"/>
      <c r="P36" s="39"/>
      <c r="Q36" s="39"/>
      <c r="R36" s="39"/>
      <c r="S36" s="49"/>
    </row>
    <row r="37" spans="1:19" ht="28.5" customHeight="1" thickBot="1">
      <c r="A37" s="490" t="s">
        <v>353</v>
      </c>
      <c r="B37" s="510">
        <f>B36+0.089</f>
        <v>84.602000000000004</v>
      </c>
      <c r="C37" s="50">
        <f>C36+0.316</f>
        <v>128.25199999999998</v>
      </c>
      <c r="D37" s="289">
        <f>D36+0.557</f>
        <v>111.377</v>
      </c>
      <c r="E37" s="289">
        <f>E36+1.338+0.57+10.127</f>
        <v>663.44999999999993</v>
      </c>
      <c r="F37" s="289">
        <f>F36+2.154</f>
        <v>119.291</v>
      </c>
      <c r="G37" s="289">
        <f>G36+2.657</f>
        <v>402.32700000000006</v>
      </c>
      <c r="H37" s="289">
        <f>H36+2.959</f>
        <v>59.087000000000003</v>
      </c>
      <c r="I37" s="289">
        <f>I36+3.09</f>
        <v>252.43900000000002</v>
      </c>
      <c r="J37" s="289">
        <v>0</v>
      </c>
      <c r="K37" s="289">
        <v>0</v>
      </c>
      <c r="L37" s="289">
        <v>0</v>
      </c>
      <c r="M37" s="511">
        <v>0</v>
      </c>
      <c r="N37" s="497">
        <f>SUM(B37:M37)</f>
        <v>1820.825</v>
      </c>
      <c r="O37" s="34"/>
    </row>
    <row r="38" spans="1:19">
      <c r="A38" s="52"/>
      <c r="B38" s="53"/>
      <c r="C38" s="53"/>
      <c r="D38" s="53"/>
      <c r="E38" s="53"/>
      <c r="F38" s="53"/>
      <c r="G38" s="53"/>
      <c r="H38" s="53"/>
      <c r="I38" s="53"/>
      <c r="J38" s="53"/>
      <c r="K38" s="53"/>
      <c r="L38" s="53"/>
      <c r="M38" s="53"/>
      <c r="N38" s="53"/>
    </row>
    <row r="39" spans="1:19" ht="16.5">
      <c r="A39" s="394" t="s">
        <v>354</v>
      </c>
      <c r="B39" s="395"/>
      <c r="C39" s="395"/>
      <c r="D39" s="395"/>
      <c r="E39" s="395"/>
      <c r="F39" s="395"/>
      <c r="G39" s="395"/>
      <c r="H39" s="395"/>
      <c r="I39" s="395"/>
      <c r="J39" s="395"/>
      <c r="K39" s="395"/>
      <c r="L39" s="395"/>
      <c r="M39" s="395"/>
      <c r="N39" s="395"/>
    </row>
    <row r="40" spans="1:19" ht="14.45" customHeight="1">
      <c r="A40" s="750" t="s">
        <v>355</v>
      </c>
      <c r="B40" s="750"/>
      <c r="C40" s="750"/>
      <c r="D40" s="750"/>
      <c r="E40" s="750"/>
      <c r="F40" s="750"/>
      <c r="G40" s="750"/>
      <c r="H40" s="750"/>
      <c r="I40" s="750"/>
      <c r="J40" s="750"/>
      <c r="K40" s="750"/>
      <c r="L40" s="750"/>
      <c r="M40" s="750"/>
      <c r="N40" s="750"/>
    </row>
    <row r="41" spans="1:19" ht="14.45" customHeight="1">
      <c r="A41" s="690" t="s">
        <v>356</v>
      </c>
      <c r="B41" s="709"/>
      <c r="C41" s="709"/>
      <c r="D41" s="709"/>
      <c r="E41" s="709"/>
      <c r="F41" s="709"/>
      <c r="G41" s="709"/>
      <c r="H41" s="709"/>
      <c r="I41" s="709"/>
      <c r="J41" s="709"/>
      <c r="K41" s="709"/>
      <c r="L41" s="709"/>
      <c r="M41" s="709"/>
      <c r="N41" s="709"/>
    </row>
    <row r="42" spans="1:19" ht="14.45" customHeight="1">
      <c r="A42" s="709" t="s">
        <v>357</v>
      </c>
      <c r="B42" s="709"/>
      <c r="C42" s="709"/>
      <c r="D42" s="709"/>
      <c r="E42" s="709"/>
      <c r="F42" s="709"/>
      <c r="G42" s="709"/>
      <c r="H42" s="709"/>
      <c r="I42" s="709"/>
      <c r="J42" s="709"/>
      <c r="K42" s="709"/>
      <c r="L42" s="709"/>
      <c r="M42" s="709"/>
      <c r="N42" s="709"/>
    </row>
    <row r="43" spans="1:19" ht="14.45" customHeight="1">
      <c r="A43" s="709" t="s">
        <v>358</v>
      </c>
      <c r="B43" s="709"/>
      <c r="C43" s="709"/>
      <c r="D43" s="709"/>
      <c r="E43" s="709"/>
      <c r="F43" s="709"/>
      <c r="G43" s="709"/>
      <c r="H43" s="709"/>
      <c r="I43" s="709"/>
      <c r="J43" s="709"/>
      <c r="K43" s="709"/>
      <c r="L43" s="709"/>
      <c r="M43" s="709"/>
      <c r="N43" s="709"/>
    </row>
    <row r="44" spans="1:19" ht="15">
      <c r="A44" s="283" t="s">
        <v>51</v>
      </c>
    </row>
    <row r="45" spans="1:19" ht="15">
      <c r="E45" s="140"/>
    </row>
    <row r="46" spans="1:19">
      <c r="H46" s="34"/>
    </row>
  </sheetData>
  <mergeCells count="1">
    <mergeCell ref="A40:N40"/>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12 of 12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G289"/>
  <sheetViews>
    <sheetView workbookViewId="0">
      <selection activeCell="F2" sqref="F2"/>
    </sheetView>
  </sheetViews>
  <sheetFormatPr defaultColWidth="9.140625" defaultRowHeight="12.75"/>
  <cols>
    <col min="1" max="1" width="9" style="10" customWidth="1"/>
    <col min="2" max="2" width="36.85546875" style="10" bestFit="1" customWidth="1"/>
    <col min="3" max="3" width="7.85546875" style="10" customWidth="1"/>
    <col min="4" max="4" width="17.42578125" style="10" customWidth="1"/>
    <col min="5" max="5" width="15" style="10" customWidth="1"/>
    <col min="6" max="6" width="13.7109375" style="10" bestFit="1" customWidth="1"/>
    <col min="7" max="7" width="13.28515625" style="10" bestFit="1" customWidth="1"/>
    <col min="8" max="16384" width="9.140625" style="10"/>
  </cols>
  <sheetData>
    <row r="1" spans="1:7" s="687" customFormat="1" ht="39" thickBot="1">
      <c r="A1" s="712" t="s">
        <v>374</v>
      </c>
      <c r="B1" s="712" t="s">
        <v>53</v>
      </c>
      <c r="C1" s="712" t="s">
        <v>371</v>
      </c>
      <c r="D1" s="713" t="s">
        <v>359</v>
      </c>
      <c r="E1" s="714" t="s">
        <v>360</v>
      </c>
      <c r="F1" s="715" t="s">
        <v>13</v>
      </c>
      <c r="G1" s="716" t="s">
        <v>361</v>
      </c>
    </row>
    <row r="2" spans="1:7" ht="14.25" thickTop="1" thickBot="1">
      <c r="A2" s="717">
        <v>1</v>
      </c>
      <c r="B2" s="710" t="s">
        <v>21</v>
      </c>
      <c r="C2" s="711" t="s">
        <v>372</v>
      </c>
      <c r="D2" s="718">
        <v>1</v>
      </c>
      <c r="E2" s="719" t="s">
        <v>109</v>
      </c>
      <c r="F2" s="720">
        <v>10620</v>
      </c>
      <c r="G2" s="720">
        <v>7.6900502713322636</v>
      </c>
    </row>
    <row r="3" spans="1:7" ht="14.25" thickTop="1" thickBot="1">
      <c r="A3" s="717">
        <v>2</v>
      </c>
      <c r="B3" s="710" t="s">
        <v>22</v>
      </c>
      <c r="C3" s="711" t="s">
        <v>372</v>
      </c>
      <c r="D3" s="718">
        <v>1</v>
      </c>
      <c r="E3" s="719" t="s">
        <v>109</v>
      </c>
      <c r="F3" s="720">
        <v>0</v>
      </c>
      <c r="G3" s="720">
        <v>0</v>
      </c>
    </row>
    <row r="4" spans="1:7" ht="14.25" thickTop="1" thickBot="1">
      <c r="A4" s="717">
        <v>3</v>
      </c>
      <c r="B4" s="710" t="s">
        <v>23</v>
      </c>
      <c r="C4" s="711" t="s">
        <v>372</v>
      </c>
      <c r="D4" s="718">
        <v>1</v>
      </c>
      <c r="E4" s="719" t="s">
        <v>109</v>
      </c>
      <c r="F4" s="720">
        <v>0</v>
      </c>
      <c r="G4" s="720">
        <v>0</v>
      </c>
    </row>
    <row r="5" spans="1:7" ht="14.25" thickTop="1" thickBot="1">
      <c r="A5" s="717">
        <v>4</v>
      </c>
      <c r="B5" s="710" t="s">
        <v>24</v>
      </c>
      <c r="C5" s="711" t="s">
        <v>372</v>
      </c>
      <c r="D5" s="718">
        <v>1</v>
      </c>
      <c r="E5" s="719" t="s">
        <v>109</v>
      </c>
      <c r="F5" s="720">
        <v>0</v>
      </c>
      <c r="G5" s="720">
        <v>0</v>
      </c>
    </row>
    <row r="6" spans="1:7" ht="14.25" thickTop="1" thickBot="1">
      <c r="A6" s="717">
        <v>5</v>
      </c>
      <c r="B6" s="711" t="s">
        <v>25</v>
      </c>
      <c r="C6" s="711" t="s">
        <v>373</v>
      </c>
      <c r="D6" s="718">
        <v>1</v>
      </c>
      <c r="E6" s="719" t="s">
        <v>109</v>
      </c>
      <c r="F6" s="720">
        <v>16888</v>
      </c>
      <c r="G6" s="720">
        <v>0</v>
      </c>
    </row>
    <row r="7" spans="1:7" ht="14.25" thickTop="1" thickBot="1">
      <c r="A7" s="717">
        <v>6</v>
      </c>
      <c r="B7" s="711" t="s">
        <v>26</v>
      </c>
      <c r="C7" s="711" t="s">
        <v>372</v>
      </c>
      <c r="D7" s="718">
        <v>1</v>
      </c>
      <c r="E7" s="719" t="s">
        <v>109</v>
      </c>
      <c r="F7" s="720">
        <v>1561</v>
      </c>
      <c r="G7" s="720">
        <v>0</v>
      </c>
    </row>
    <row r="8" spans="1:7" ht="14.25" thickTop="1" thickBot="1">
      <c r="A8" s="717">
        <v>7</v>
      </c>
      <c r="B8" s="711" t="s">
        <v>27</v>
      </c>
      <c r="C8" s="711" t="s">
        <v>373</v>
      </c>
      <c r="D8" s="718">
        <v>1</v>
      </c>
      <c r="E8" s="719" t="s">
        <v>109</v>
      </c>
      <c r="F8" s="720">
        <v>10129</v>
      </c>
      <c r="G8" s="720">
        <v>0</v>
      </c>
    </row>
    <row r="9" spans="1:7" ht="14.25" thickTop="1" thickBot="1">
      <c r="A9" s="717">
        <v>8</v>
      </c>
      <c r="B9" s="711" t="s">
        <v>28</v>
      </c>
      <c r="C9" s="711" t="s">
        <v>372</v>
      </c>
      <c r="D9" s="718">
        <v>1</v>
      </c>
      <c r="E9" s="719" t="s">
        <v>109</v>
      </c>
      <c r="F9" s="720">
        <v>3556</v>
      </c>
      <c r="G9" s="720">
        <v>0</v>
      </c>
    </row>
    <row r="10" spans="1:7" ht="14.25" thickTop="1" thickBot="1">
      <c r="A10" s="717">
        <v>9</v>
      </c>
      <c r="B10" s="711" t="s">
        <v>29</v>
      </c>
      <c r="C10" s="711" t="s">
        <v>373</v>
      </c>
      <c r="D10" s="718">
        <v>1</v>
      </c>
      <c r="E10" s="719" t="s">
        <v>109</v>
      </c>
      <c r="F10" s="720">
        <v>0</v>
      </c>
      <c r="G10" s="720">
        <v>0</v>
      </c>
    </row>
    <row r="11" spans="1:7" ht="14.25" thickTop="1" thickBot="1">
      <c r="A11" s="717">
        <v>10</v>
      </c>
      <c r="B11" s="711" t="s">
        <v>30</v>
      </c>
      <c r="C11" s="711" t="s">
        <v>373</v>
      </c>
      <c r="D11" s="718">
        <v>1</v>
      </c>
      <c r="E11" s="719" t="s">
        <v>109</v>
      </c>
      <c r="F11" s="720">
        <v>0</v>
      </c>
      <c r="G11" s="720">
        <v>0</v>
      </c>
    </row>
    <row r="12" spans="1:7" ht="14.25" thickTop="1" thickBot="1">
      <c r="A12" s="717">
        <v>11</v>
      </c>
      <c r="B12" s="711" t="s">
        <v>31</v>
      </c>
      <c r="C12" s="711" t="s">
        <v>372</v>
      </c>
      <c r="D12" s="718">
        <v>1</v>
      </c>
      <c r="E12" s="719" t="s">
        <v>109</v>
      </c>
      <c r="F12" s="720">
        <v>113095</v>
      </c>
      <c r="G12" s="720">
        <v>0.29095085273255605</v>
      </c>
    </row>
    <row r="13" spans="1:7" ht="14.25" thickTop="1" thickBot="1">
      <c r="A13" s="717">
        <v>12</v>
      </c>
      <c r="B13" s="710" t="s">
        <v>32</v>
      </c>
      <c r="C13" s="711" t="s">
        <v>373</v>
      </c>
      <c r="D13" s="718">
        <v>1</v>
      </c>
      <c r="E13" s="719" t="s">
        <v>109</v>
      </c>
      <c r="F13" s="720">
        <v>9351</v>
      </c>
      <c r="G13" s="720">
        <v>0.48369170230409364</v>
      </c>
    </row>
    <row r="14" spans="1:7" ht="14.25" thickTop="1" thickBot="1">
      <c r="A14" s="717">
        <v>13</v>
      </c>
      <c r="B14" s="711" t="s">
        <v>21</v>
      </c>
      <c r="C14" s="711" t="s">
        <v>372</v>
      </c>
      <c r="D14" s="718">
        <v>1</v>
      </c>
      <c r="E14" s="719" t="s">
        <v>109</v>
      </c>
      <c r="F14" s="720">
        <v>10620</v>
      </c>
      <c r="G14" s="720">
        <v>7.6900502713322636</v>
      </c>
    </row>
    <row r="15" spans="1:7" ht="14.25" thickTop="1" thickBot="1">
      <c r="A15" s="717">
        <v>14</v>
      </c>
      <c r="B15" s="711" t="s">
        <v>22</v>
      </c>
      <c r="C15" s="711" t="s">
        <v>372</v>
      </c>
      <c r="D15" s="718">
        <v>1</v>
      </c>
      <c r="E15" s="719" t="s">
        <v>109</v>
      </c>
      <c r="F15" s="720">
        <v>0</v>
      </c>
      <c r="G15" s="720">
        <v>0</v>
      </c>
    </row>
    <row r="16" spans="1:7" ht="14.25" thickTop="1" thickBot="1">
      <c r="A16" s="717">
        <v>15</v>
      </c>
      <c r="B16" s="711" t="s">
        <v>23</v>
      </c>
      <c r="C16" s="711" t="s">
        <v>372</v>
      </c>
      <c r="D16" s="718">
        <v>1</v>
      </c>
      <c r="E16" s="719" t="s">
        <v>109</v>
      </c>
      <c r="F16" s="720">
        <v>0</v>
      </c>
      <c r="G16" s="720">
        <v>0</v>
      </c>
    </row>
    <row r="17" spans="1:7" ht="14.25" thickTop="1" thickBot="1">
      <c r="A17" s="717">
        <v>16</v>
      </c>
      <c r="B17" s="711" t="s">
        <v>24</v>
      </c>
      <c r="C17" s="711" t="s">
        <v>372</v>
      </c>
      <c r="D17" s="718">
        <v>1</v>
      </c>
      <c r="E17" s="719" t="s">
        <v>109</v>
      </c>
      <c r="F17" s="720">
        <v>0</v>
      </c>
      <c r="G17" s="720">
        <v>0</v>
      </c>
    </row>
    <row r="18" spans="1:7" ht="14.25" thickTop="1" thickBot="1">
      <c r="A18" s="717">
        <v>17</v>
      </c>
      <c r="B18" s="711" t="s">
        <v>25</v>
      </c>
      <c r="C18" s="711" t="s">
        <v>373</v>
      </c>
      <c r="D18" s="718">
        <v>1</v>
      </c>
      <c r="E18" s="719" t="s">
        <v>109</v>
      </c>
      <c r="F18" s="720">
        <v>16888</v>
      </c>
      <c r="G18" s="720">
        <v>0</v>
      </c>
    </row>
    <row r="19" spans="1:7" ht="14.25" thickTop="1" thickBot="1">
      <c r="A19" s="717">
        <v>18</v>
      </c>
      <c r="B19" s="711" t="s">
        <v>26</v>
      </c>
      <c r="C19" s="711" t="s">
        <v>372</v>
      </c>
      <c r="D19" s="718">
        <v>1</v>
      </c>
      <c r="E19" s="719" t="s">
        <v>109</v>
      </c>
      <c r="F19" s="720">
        <v>1561</v>
      </c>
      <c r="G19" s="720">
        <v>0</v>
      </c>
    </row>
    <row r="20" spans="1:7" ht="14.25" thickTop="1" thickBot="1">
      <c r="A20" s="717">
        <v>19</v>
      </c>
      <c r="B20" s="711" t="s">
        <v>27</v>
      </c>
      <c r="C20" s="711" t="s">
        <v>373</v>
      </c>
      <c r="D20" s="718">
        <v>1</v>
      </c>
      <c r="E20" s="719" t="s">
        <v>109</v>
      </c>
      <c r="F20" s="720">
        <v>10129</v>
      </c>
      <c r="G20" s="720">
        <v>0</v>
      </c>
    </row>
    <row r="21" spans="1:7" ht="14.25" thickTop="1" thickBot="1">
      <c r="A21" s="717">
        <v>20</v>
      </c>
      <c r="B21" s="711" t="s">
        <v>28</v>
      </c>
      <c r="C21" s="711" t="s">
        <v>372</v>
      </c>
      <c r="D21" s="718">
        <v>1</v>
      </c>
      <c r="E21" s="719" t="s">
        <v>109</v>
      </c>
      <c r="F21" s="720">
        <v>3556</v>
      </c>
      <c r="G21" s="720">
        <v>0</v>
      </c>
    </row>
    <row r="22" spans="1:7" ht="14.25" thickTop="1" thickBot="1">
      <c r="A22" s="717">
        <v>21</v>
      </c>
      <c r="B22" s="711" t="s">
        <v>29</v>
      </c>
      <c r="C22" s="711" t="s">
        <v>373</v>
      </c>
      <c r="D22" s="718">
        <v>1</v>
      </c>
      <c r="E22" s="719" t="s">
        <v>109</v>
      </c>
      <c r="F22" s="720">
        <v>0</v>
      </c>
      <c r="G22" s="720">
        <v>0</v>
      </c>
    </row>
    <row r="23" spans="1:7" ht="14.25" thickTop="1" thickBot="1">
      <c r="A23" s="717">
        <v>22</v>
      </c>
      <c r="B23" s="711" t="s">
        <v>30</v>
      </c>
      <c r="C23" s="711" t="s">
        <v>373</v>
      </c>
      <c r="D23" s="718">
        <v>1</v>
      </c>
      <c r="E23" s="719" t="s">
        <v>109</v>
      </c>
      <c r="F23" s="720">
        <v>0</v>
      </c>
      <c r="G23" s="720">
        <v>0</v>
      </c>
    </row>
    <row r="24" spans="1:7" ht="14.25" thickTop="1" thickBot="1">
      <c r="A24" s="717">
        <v>23</v>
      </c>
      <c r="B24" s="711" t="s">
        <v>31</v>
      </c>
      <c r="C24" s="711" t="s">
        <v>372</v>
      </c>
      <c r="D24" s="718">
        <v>1</v>
      </c>
      <c r="E24" s="719" t="s">
        <v>109</v>
      </c>
      <c r="F24" s="720">
        <v>113095</v>
      </c>
      <c r="G24" s="720">
        <v>0.29095085273255605</v>
      </c>
    </row>
    <row r="25" spans="1:7" ht="14.25" thickTop="1" thickBot="1">
      <c r="A25" s="717">
        <v>24</v>
      </c>
      <c r="B25" s="711" t="s">
        <v>32</v>
      </c>
      <c r="C25" s="711" t="s">
        <v>373</v>
      </c>
      <c r="D25" s="718">
        <v>1</v>
      </c>
      <c r="E25" s="719" t="s">
        <v>109</v>
      </c>
      <c r="F25" s="720">
        <v>9351</v>
      </c>
      <c r="G25" s="720">
        <v>0.48369170230409364</v>
      </c>
    </row>
    <row r="26" spans="1:7" ht="14.25" thickTop="1" thickBot="1">
      <c r="A26" s="717">
        <v>1</v>
      </c>
      <c r="B26" s="711" t="s">
        <v>21</v>
      </c>
      <c r="C26" s="711" t="s">
        <v>372</v>
      </c>
      <c r="D26" s="721">
        <v>2</v>
      </c>
      <c r="E26" s="722" t="s">
        <v>110</v>
      </c>
      <c r="F26" s="720">
        <v>14755</v>
      </c>
      <c r="G26" s="720">
        <v>10.836173243835569</v>
      </c>
    </row>
    <row r="27" spans="1:7" ht="14.25" thickTop="1" thickBot="1">
      <c r="A27" s="717">
        <v>2</v>
      </c>
      <c r="B27" s="711" t="s">
        <v>22</v>
      </c>
      <c r="C27" s="711" t="s">
        <v>372</v>
      </c>
      <c r="D27" s="721">
        <v>2</v>
      </c>
      <c r="E27" s="722" t="s">
        <v>110</v>
      </c>
      <c r="F27" s="720">
        <v>0</v>
      </c>
      <c r="G27" s="720">
        <v>0</v>
      </c>
    </row>
    <row r="28" spans="1:7" ht="14.25" thickTop="1" thickBot="1">
      <c r="A28" s="717">
        <v>3</v>
      </c>
      <c r="B28" s="711" t="s">
        <v>23</v>
      </c>
      <c r="C28" s="711" t="s">
        <v>372</v>
      </c>
      <c r="D28" s="721">
        <v>2</v>
      </c>
      <c r="E28" s="722" t="s">
        <v>110</v>
      </c>
      <c r="F28" s="720">
        <v>0</v>
      </c>
      <c r="G28" s="720">
        <v>0</v>
      </c>
    </row>
    <row r="29" spans="1:7" ht="14.25" thickTop="1" thickBot="1">
      <c r="A29" s="717">
        <v>4</v>
      </c>
      <c r="B29" s="711" t="s">
        <v>24</v>
      </c>
      <c r="C29" s="711" t="s">
        <v>372</v>
      </c>
      <c r="D29" s="721">
        <v>2</v>
      </c>
      <c r="E29" s="722" t="s">
        <v>110</v>
      </c>
      <c r="F29" s="720">
        <v>0</v>
      </c>
      <c r="G29" s="720">
        <v>0</v>
      </c>
    </row>
    <row r="30" spans="1:7" ht="14.25" thickTop="1" thickBot="1">
      <c r="A30" s="717">
        <v>5</v>
      </c>
      <c r="B30" s="711" t="s">
        <v>25</v>
      </c>
      <c r="C30" s="711" t="s">
        <v>373</v>
      </c>
      <c r="D30" s="721">
        <v>2</v>
      </c>
      <c r="E30" s="722" t="s">
        <v>110</v>
      </c>
      <c r="F30" s="720">
        <v>17063</v>
      </c>
      <c r="G30" s="720">
        <v>0</v>
      </c>
    </row>
    <row r="31" spans="1:7" ht="14.25" thickTop="1" thickBot="1">
      <c r="A31" s="717">
        <v>6</v>
      </c>
      <c r="B31" s="711" t="s">
        <v>26</v>
      </c>
      <c r="C31" s="711" t="s">
        <v>372</v>
      </c>
      <c r="D31" s="721">
        <v>2</v>
      </c>
      <c r="E31" s="722" t="s">
        <v>110</v>
      </c>
      <c r="F31" s="720">
        <v>1565</v>
      </c>
      <c r="G31" s="720">
        <v>0</v>
      </c>
    </row>
    <row r="32" spans="1:7" ht="14.25" thickTop="1" thickBot="1">
      <c r="A32" s="717">
        <v>7</v>
      </c>
      <c r="B32" s="711" t="s">
        <v>27</v>
      </c>
      <c r="C32" s="711" t="s">
        <v>373</v>
      </c>
      <c r="D32" s="721">
        <v>2</v>
      </c>
      <c r="E32" s="722" t="s">
        <v>110</v>
      </c>
      <c r="F32" s="720">
        <v>10480</v>
      </c>
      <c r="G32" s="720">
        <v>0</v>
      </c>
    </row>
    <row r="33" spans="1:7" ht="14.25" thickTop="1" thickBot="1">
      <c r="A33" s="717">
        <v>8</v>
      </c>
      <c r="B33" s="711" t="s">
        <v>28</v>
      </c>
      <c r="C33" s="711" t="s">
        <v>372</v>
      </c>
      <c r="D33" s="721">
        <v>2</v>
      </c>
      <c r="E33" s="722" t="s">
        <v>110</v>
      </c>
      <c r="F33" s="720">
        <v>3643</v>
      </c>
      <c r="G33" s="720">
        <v>0</v>
      </c>
    </row>
    <row r="34" spans="1:7" ht="14.25" thickTop="1" thickBot="1">
      <c r="A34" s="717">
        <v>9</v>
      </c>
      <c r="B34" s="711" t="s">
        <v>29</v>
      </c>
      <c r="C34" s="711" t="s">
        <v>373</v>
      </c>
      <c r="D34" s="721">
        <v>2</v>
      </c>
      <c r="E34" s="722" t="s">
        <v>110</v>
      </c>
      <c r="F34" s="720">
        <v>0</v>
      </c>
      <c r="G34" s="720">
        <v>0</v>
      </c>
    </row>
    <row r="35" spans="1:7" ht="14.25" thickTop="1" thickBot="1">
      <c r="A35" s="717">
        <v>10</v>
      </c>
      <c r="B35" s="711" t="s">
        <v>30</v>
      </c>
      <c r="C35" s="711" t="s">
        <v>373</v>
      </c>
      <c r="D35" s="721">
        <v>2</v>
      </c>
      <c r="E35" s="722" t="s">
        <v>110</v>
      </c>
      <c r="F35" s="720">
        <v>0</v>
      </c>
      <c r="G35" s="720">
        <v>0</v>
      </c>
    </row>
    <row r="36" spans="1:7" ht="14.25" thickTop="1" thickBot="1">
      <c r="A36" s="717">
        <v>11</v>
      </c>
      <c r="B36" s="711" t="s">
        <v>31</v>
      </c>
      <c r="C36" s="711" t="s">
        <v>372</v>
      </c>
      <c r="D36" s="721">
        <v>2</v>
      </c>
      <c r="E36" s="722" t="s">
        <v>110</v>
      </c>
      <c r="F36" s="720">
        <v>113078</v>
      </c>
      <c r="G36" s="720">
        <v>0.28767567983909359</v>
      </c>
    </row>
    <row r="37" spans="1:7" ht="14.25" thickTop="1" thickBot="1">
      <c r="A37" s="717">
        <v>12</v>
      </c>
      <c r="B37" s="711" t="s">
        <v>32</v>
      </c>
      <c r="C37" s="711" t="s">
        <v>373</v>
      </c>
      <c r="D37" s="721">
        <v>2</v>
      </c>
      <c r="E37" s="722" t="s">
        <v>110</v>
      </c>
      <c r="F37" s="720">
        <v>9697</v>
      </c>
      <c r="G37" s="720">
        <v>0.42081314309348233</v>
      </c>
    </row>
    <row r="38" spans="1:7" ht="14.25" thickTop="1" thickBot="1">
      <c r="A38" s="717">
        <v>13</v>
      </c>
      <c r="B38" s="711" t="s">
        <v>21</v>
      </c>
      <c r="C38" s="711" t="s">
        <v>372</v>
      </c>
      <c r="D38" s="721">
        <v>2</v>
      </c>
      <c r="E38" s="722" t="s">
        <v>110</v>
      </c>
      <c r="F38" s="720">
        <v>14755</v>
      </c>
      <c r="G38" s="720">
        <v>10.836173243835569</v>
      </c>
    </row>
    <row r="39" spans="1:7" ht="14.25" thickTop="1" thickBot="1">
      <c r="A39" s="717">
        <v>14</v>
      </c>
      <c r="B39" s="711" t="s">
        <v>22</v>
      </c>
      <c r="C39" s="711" t="s">
        <v>372</v>
      </c>
      <c r="D39" s="721">
        <v>2</v>
      </c>
      <c r="E39" s="722" t="s">
        <v>110</v>
      </c>
      <c r="F39" s="720">
        <v>0</v>
      </c>
      <c r="G39" s="720">
        <v>0</v>
      </c>
    </row>
    <row r="40" spans="1:7" ht="14.25" thickTop="1" thickBot="1">
      <c r="A40" s="717">
        <v>15</v>
      </c>
      <c r="B40" s="711" t="s">
        <v>23</v>
      </c>
      <c r="C40" s="711" t="s">
        <v>372</v>
      </c>
      <c r="D40" s="721">
        <v>2</v>
      </c>
      <c r="E40" s="722" t="s">
        <v>110</v>
      </c>
      <c r="F40" s="720">
        <v>0</v>
      </c>
      <c r="G40" s="720">
        <v>0</v>
      </c>
    </row>
    <row r="41" spans="1:7" ht="14.25" thickTop="1" thickBot="1">
      <c r="A41" s="717">
        <v>16</v>
      </c>
      <c r="B41" s="711" t="s">
        <v>24</v>
      </c>
      <c r="C41" s="711" t="s">
        <v>372</v>
      </c>
      <c r="D41" s="721">
        <v>2</v>
      </c>
      <c r="E41" s="722" t="s">
        <v>110</v>
      </c>
      <c r="F41" s="720">
        <v>0</v>
      </c>
      <c r="G41" s="720">
        <v>0</v>
      </c>
    </row>
    <row r="42" spans="1:7" ht="14.25" thickTop="1" thickBot="1">
      <c r="A42" s="717">
        <v>17</v>
      </c>
      <c r="B42" s="711" t="s">
        <v>25</v>
      </c>
      <c r="C42" s="711" t="s">
        <v>373</v>
      </c>
      <c r="D42" s="721">
        <v>2</v>
      </c>
      <c r="E42" s="722" t="s">
        <v>110</v>
      </c>
      <c r="F42" s="720">
        <v>17063</v>
      </c>
      <c r="G42" s="720">
        <v>0</v>
      </c>
    </row>
    <row r="43" spans="1:7" ht="14.25" thickTop="1" thickBot="1">
      <c r="A43" s="717">
        <v>18</v>
      </c>
      <c r="B43" s="711" t="s">
        <v>26</v>
      </c>
      <c r="C43" s="711" t="s">
        <v>372</v>
      </c>
      <c r="D43" s="721">
        <v>2</v>
      </c>
      <c r="E43" s="722" t="s">
        <v>110</v>
      </c>
      <c r="F43" s="720">
        <v>1565</v>
      </c>
      <c r="G43" s="720">
        <v>0</v>
      </c>
    </row>
    <row r="44" spans="1:7" ht="14.25" thickTop="1" thickBot="1">
      <c r="A44" s="717">
        <v>19</v>
      </c>
      <c r="B44" s="711" t="s">
        <v>27</v>
      </c>
      <c r="C44" s="711" t="s">
        <v>373</v>
      </c>
      <c r="D44" s="721">
        <v>2</v>
      </c>
      <c r="E44" s="722" t="s">
        <v>110</v>
      </c>
      <c r="F44" s="720">
        <v>10480</v>
      </c>
      <c r="G44" s="720">
        <v>0</v>
      </c>
    </row>
    <row r="45" spans="1:7" ht="14.25" thickTop="1" thickBot="1">
      <c r="A45" s="717">
        <v>20</v>
      </c>
      <c r="B45" s="711" t="s">
        <v>28</v>
      </c>
      <c r="C45" s="711" t="s">
        <v>372</v>
      </c>
      <c r="D45" s="721">
        <v>2</v>
      </c>
      <c r="E45" s="722" t="s">
        <v>110</v>
      </c>
      <c r="F45" s="720">
        <v>3643</v>
      </c>
      <c r="G45" s="720">
        <v>0</v>
      </c>
    </row>
    <row r="46" spans="1:7" ht="14.25" thickTop="1" thickBot="1">
      <c r="A46" s="717">
        <v>21</v>
      </c>
      <c r="B46" s="711" t="s">
        <v>29</v>
      </c>
      <c r="C46" s="711" t="s">
        <v>373</v>
      </c>
      <c r="D46" s="721">
        <v>2</v>
      </c>
      <c r="E46" s="722" t="s">
        <v>110</v>
      </c>
      <c r="F46" s="720">
        <v>0</v>
      </c>
      <c r="G46" s="720">
        <v>0</v>
      </c>
    </row>
    <row r="47" spans="1:7" ht="14.25" thickTop="1" thickBot="1">
      <c r="A47" s="717">
        <v>22</v>
      </c>
      <c r="B47" s="711" t="s">
        <v>30</v>
      </c>
      <c r="C47" s="711" t="s">
        <v>373</v>
      </c>
      <c r="D47" s="721">
        <v>2</v>
      </c>
      <c r="E47" s="722" t="s">
        <v>110</v>
      </c>
      <c r="F47" s="720">
        <v>0</v>
      </c>
      <c r="G47" s="720">
        <v>0</v>
      </c>
    </row>
    <row r="48" spans="1:7" ht="14.25" thickTop="1" thickBot="1">
      <c r="A48" s="717">
        <v>23</v>
      </c>
      <c r="B48" s="711" t="s">
        <v>31</v>
      </c>
      <c r="C48" s="711" t="s">
        <v>372</v>
      </c>
      <c r="D48" s="721">
        <v>2</v>
      </c>
      <c r="E48" s="722" t="s">
        <v>110</v>
      </c>
      <c r="F48" s="720">
        <v>113078</v>
      </c>
      <c r="G48" s="720">
        <v>0.28767567983909359</v>
      </c>
    </row>
    <row r="49" spans="1:7" ht="14.25" thickTop="1" thickBot="1">
      <c r="A49" s="717">
        <v>24</v>
      </c>
      <c r="B49" s="723" t="s">
        <v>32</v>
      </c>
      <c r="C49" s="723" t="s">
        <v>373</v>
      </c>
      <c r="D49" s="721">
        <v>2</v>
      </c>
      <c r="E49" s="722" t="s">
        <v>110</v>
      </c>
      <c r="F49" s="720">
        <v>9697</v>
      </c>
      <c r="G49" s="720">
        <v>0.42081314309348233</v>
      </c>
    </row>
    <row r="50" spans="1:7" ht="14.25" thickTop="1" thickBot="1">
      <c r="A50" s="717">
        <v>1</v>
      </c>
      <c r="B50" s="711" t="s">
        <v>21</v>
      </c>
      <c r="C50" s="711" t="s">
        <v>372</v>
      </c>
      <c r="D50" s="721">
        <v>3</v>
      </c>
      <c r="E50" s="722" t="s">
        <v>362</v>
      </c>
      <c r="F50" s="720">
        <v>14765</v>
      </c>
      <c r="G50" s="720">
        <v>0</v>
      </c>
    </row>
    <row r="51" spans="1:7" ht="14.25" thickTop="1" thickBot="1">
      <c r="A51" s="717">
        <v>2</v>
      </c>
      <c r="B51" s="711" t="s">
        <v>22</v>
      </c>
      <c r="C51" s="711" t="s">
        <v>372</v>
      </c>
      <c r="D51" s="721">
        <v>3</v>
      </c>
      <c r="E51" s="722" t="s">
        <v>362</v>
      </c>
      <c r="F51" s="720">
        <v>0</v>
      </c>
      <c r="G51" s="720">
        <v>0</v>
      </c>
    </row>
    <row r="52" spans="1:7" ht="14.25" thickTop="1" thickBot="1">
      <c r="A52" s="717">
        <v>3</v>
      </c>
      <c r="B52" s="711" t="s">
        <v>23</v>
      </c>
      <c r="C52" s="711" t="s">
        <v>372</v>
      </c>
      <c r="D52" s="721">
        <v>3</v>
      </c>
      <c r="E52" s="722" t="s">
        <v>362</v>
      </c>
      <c r="F52" s="720">
        <v>0</v>
      </c>
      <c r="G52" s="720">
        <v>0</v>
      </c>
    </row>
    <row r="53" spans="1:7" ht="14.25" thickTop="1" thickBot="1">
      <c r="A53" s="717">
        <v>4</v>
      </c>
      <c r="B53" s="711" t="s">
        <v>24</v>
      </c>
      <c r="C53" s="711" t="s">
        <v>372</v>
      </c>
      <c r="D53" s="721">
        <v>3</v>
      </c>
      <c r="E53" s="722" t="s">
        <v>362</v>
      </c>
      <c r="F53" s="720">
        <v>0</v>
      </c>
      <c r="G53" s="720">
        <v>0</v>
      </c>
    </row>
    <row r="54" spans="1:7" ht="14.25" thickTop="1" thickBot="1">
      <c r="A54" s="717">
        <v>5</v>
      </c>
      <c r="B54" s="711" t="s">
        <v>25</v>
      </c>
      <c r="C54" s="711" t="s">
        <v>373</v>
      </c>
      <c r="D54" s="721">
        <v>3</v>
      </c>
      <c r="E54" s="722" t="s">
        <v>362</v>
      </c>
      <c r="F54" s="720">
        <v>17168</v>
      </c>
      <c r="G54" s="720">
        <v>0</v>
      </c>
    </row>
    <row r="55" spans="1:7" ht="14.25" thickTop="1" thickBot="1">
      <c r="A55" s="717">
        <v>6</v>
      </c>
      <c r="B55" s="711" t="s">
        <v>26</v>
      </c>
      <c r="C55" s="711" t="s">
        <v>372</v>
      </c>
      <c r="D55" s="721">
        <v>3</v>
      </c>
      <c r="E55" s="722" t="s">
        <v>362</v>
      </c>
      <c r="F55" s="720">
        <v>1567</v>
      </c>
      <c r="G55" s="720">
        <v>0</v>
      </c>
    </row>
    <row r="56" spans="1:7" ht="14.25" thickTop="1" thickBot="1">
      <c r="A56" s="717">
        <v>7</v>
      </c>
      <c r="B56" s="711" t="s">
        <v>27</v>
      </c>
      <c r="C56" s="711" t="s">
        <v>373</v>
      </c>
      <c r="D56" s="721">
        <v>3</v>
      </c>
      <c r="E56" s="722" t="s">
        <v>362</v>
      </c>
      <c r="F56" s="720">
        <v>10206</v>
      </c>
      <c r="G56" s="720">
        <v>0</v>
      </c>
    </row>
    <row r="57" spans="1:7" ht="14.25" thickTop="1" thickBot="1">
      <c r="A57" s="717">
        <v>8</v>
      </c>
      <c r="B57" s="711" t="s">
        <v>28</v>
      </c>
      <c r="C57" s="711" t="s">
        <v>372</v>
      </c>
      <c r="D57" s="721">
        <v>3</v>
      </c>
      <c r="E57" s="722" t="s">
        <v>362</v>
      </c>
      <c r="F57" s="720">
        <v>3545</v>
      </c>
      <c r="G57" s="720">
        <v>0</v>
      </c>
    </row>
    <row r="58" spans="1:7" ht="14.25" thickTop="1" thickBot="1">
      <c r="A58" s="717">
        <v>9</v>
      </c>
      <c r="B58" s="711" t="s">
        <v>29</v>
      </c>
      <c r="C58" s="711" t="s">
        <v>373</v>
      </c>
      <c r="D58" s="721">
        <v>3</v>
      </c>
      <c r="E58" s="722" t="s">
        <v>362</v>
      </c>
      <c r="F58" s="720">
        <v>0</v>
      </c>
      <c r="G58" s="720">
        <v>0</v>
      </c>
    </row>
    <row r="59" spans="1:7" ht="14.25" thickTop="1" thickBot="1">
      <c r="A59" s="717">
        <v>10</v>
      </c>
      <c r="B59" s="711" t="s">
        <v>30</v>
      </c>
      <c r="C59" s="711" t="s">
        <v>373</v>
      </c>
      <c r="D59" s="721">
        <v>3</v>
      </c>
      <c r="E59" s="722" t="s">
        <v>362</v>
      </c>
      <c r="F59" s="720">
        <v>0</v>
      </c>
      <c r="G59" s="720">
        <v>0</v>
      </c>
    </row>
    <row r="60" spans="1:7" ht="14.25" thickTop="1" thickBot="1">
      <c r="A60" s="717">
        <v>11</v>
      </c>
      <c r="B60" s="711" t="s">
        <v>31</v>
      </c>
      <c r="C60" s="711" t="s">
        <v>372</v>
      </c>
      <c r="D60" s="721">
        <v>3</v>
      </c>
      <c r="E60" s="722" t="s">
        <v>362</v>
      </c>
      <c r="F60" s="720">
        <v>112959</v>
      </c>
      <c r="G60" s="720">
        <v>0</v>
      </c>
    </row>
    <row r="61" spans="1:7" ht="14.25" thickTop="1" thickBot="1">
      <c r="A61" s="717">
        <v>12</v>
      </c>
      <c r="B61" s="711" t="s">
        <v>32</v>
      </c>
      <c r="C61" s="711" t="s">
        <v>373</v>
      </c>
      <c r="D61" s="721">
        <v>3</v>
      </c>
      <c r="E61" s="722" t="s">
        <v>362</v>
      </c>
      <c r="F61" s="720">
        <v>10255</v>
      </c>
      <c r="G61" s="720">
        <v>0</v>
      </c>
    </row>
    <row r="62" spans="1:7" ht="14.25" thickTop="1" thickBot="1">
      <c r="A62" s="717">
        <v>13</v>
      </c>
      <c r="B62" s="711" t="s">
        <v>21</v>
      </c>
      <c r="C62" s="711" t="s">
        <v>372</v>
      </c>
      <c r="D62" s="721">
        <v>3</v>
      </c>
      <c r="E62" s="722" t="s">
        <v>362</v>
      </c>
      <c r="F62" s="720">
        <v>14765</v>
      </c>
      <c r="G62" s="720">
        <v>0</v>
      </c>
    </row>
    <row r="63" spans="1:7" ht="14.25" thickTop="1" thickBot="1">
      <c r="A63" s="717">
        <v>14</v>
      </c>
      <c r="B63" s="711" t="s">
        <v>22</v>
      </c>
      <c r="C63" s="711" t="s">
        <v>372</v>
      </c>
      <c r="D63" s="721">
        <v>3</v>
      </c>
      <c r="E63" s="722" t="s">
        <v>362</v>
      </c>
      <c r="F63" s="720">
        <v>0</v>
      </c>
      <c r="G63" s="720">
        <v>0</v>
      </c>
    </row>
    <row r="64" spans="1:7" ht="14.25" thickTop="1" thickBot="1">
      <c r="A64" s="717">
        <v>15</v>
      </c>
      <c r="B64" s="711" t="s">
        <v>23</v>
      </c>
      <c r="C64" s="711" t="s">
        <v>372</v>
      </c>
      <c r="D64" s="721">
        <v>3</v>
      </c>
      <c r="E64" s="722" t="s">
        <v>362</v>
      </c>
      <c r="F64" s="720">
        <v>0</v>
      </c>
      <c r="G64" s="720">
        <v>0</v>
      </c>
    </row>
    <row r="65" spans="1:7" ht="14.25" thickTop="1" thickBot="1">
      <c r="A65" s="717">
        <v>16</v>
      </c>
      <c r="B65" s="711" t="s">
        <v>24</v>
      </c>
      <c r="C65" s="711" t="s">
        <v>372</v>
      </c>
      <c r="D65" s="721">
        <v>3</v>
      </c>
      <c r="E65" s="722" t="s">
        <v>362</v>
      </c>
      <c r="F65" s="720">
        <v>0</v>
      </c>
      <c r="G65" s="720">
        <v>0</v>
      </c>
    </row>
    <row r="66" spans="1:7" ht="14.25" thickTop="1" thickBot="1">
      <c r="A66" s="717">
        <v>17</v>
      </c>
      <c r="B66" s="711" t="s">
        <v>25</v>
      </c>
      <c r="C66" s="711" t="s">
        <v>373</v>
      </c>
      <c r="D66" s="721">
        <v>3</v>
      </c>
      <c r="E66" s="722" t="s">
        <v>362</v>
      </c>
      <c r="F66" s="720">
        <v>17168</v>
      </c>
      <c r="G66" s="720">
        <v>0</v>
      </c>
    </row>
    <row r="67" spans="1:7" ht="14.25" thickTop="1" thickBot="1">
      <c r="A67" s="717">
        <v>18</v>
      </c>
      <c r="B67" s="711" t="s">
        <v>26</v>
      </c>
      <c r="C67" s="711" t="s">
        <v>372</v>
      </c>
      <c r="D67" s="721">
        <v>3</v>
      </c>
      <c r="E67" s="722" t="s">
        <v>362</v>
      </c>
      <c r="F67" s="720">
        <v>1567</v>
      </c>
      <c r="G67" s="720">
        <v>0</v>
      </c>
    </row>
    <row r="68" spans="1:7" ht="14.25" thickTop="1" thickBot="1">
      <c r="A68" s="717">
        <v>19</v>
      </c>
      <c r="B68" s="711" t="s">
        <v>27</v>
      </c>
      <c r="C68" s="711" t="s">
        <v>373</v>
      </c>
      <c r="D68" s="721">
        <v>3</v>
      </c>
      <c r="E68" s="722" t="s">
        <v>362</v>
      </c>
      <c r="F68" s="720">
        <v>10206</v>
      </c>
      <c r="G68" s="720">
        <v>0</v>
      </c>
    </row>
    <row r="69" spans="1:7" ht="14.25" thickTop="1" thickBot="1">
      <c r="A69" s="717">
        <v>20</v>
      </c>
      <c r="B69" s="711" t="s">
        <v>28</v>
      </c>
      <c r="C69" s="711" t="s">
        <v>372</v>
      </c>
      <c r="D69" s="721">
        <v>3</v>
      </c>
      <c r="E69" s="722" t="s">
        <v>362</v>
      </c>
      <c r="F69" s="720">
        <v>3545</v>
      </c>
      <c r="G69" s="720">
        <v>0</v>
      </c>
    </row>
    <row r="70" spans="1:7" ht="14.25" thickTop="1" thickBot="1">
      <c r="A70" s="717">
        <v>21</v>
      </c>
      <c r="B70" s="711" t="s">
        <v>29</v>
      </c>
      <c r="C70" s="711" t="s">
        <v>373</v>
      </c>
      <c r="D70" s="721">
        <v>3</v>
      </c>
      <c r="E70" s="722" t="s">
        <v>362</v>
      </c>
      <c r="F70" s="720">
        <v>0</v>
      </c>
      <c r="G70" s="720">
        <v>0</v>
      </c>
    </row>
    <row r="71" spans="1:7" ht="14.25" thickTop="1" thickBot="1">
      <c r="A71" s="717">
        <v>22</v>
      </c>
      <c r="B71" s="711" t="s">
        <v>30</v>
      </c>
      <c r="C71" s="711" t="s">
        <v>373</v>
      </c>
      <c r="D71" s="721">
        <v>3</v>
      </c>
      <c r="E71" s="722" t="s">
        <v>362</v>
      </c>
      <c r="F71" s="720">
        <v>0</v>
      </c>
      <c r="G71" s="720">
        <v>0</v>
      </c>
    </row>
    <row r="72" spans="1:7" ht="14.25" thickTop="1" thickBot="1">
      <c r="A72" s="717">
        <v>23</v>
      </c>
      <c r="B72" s="711" t="s">
        <v>31</v>
      </c>
      <c r="C72" s="711" t="s">
        <v>372</v>
      </c>
      <c r="D72" s="721">
        <v>3</v>
      </c>
      <c r="E72" s="722" t="s">
        <v>362</v>
      </c>
      <c r="F72" s="720">
        <v>112959</v>
      </c>
      <c r="G72" s="720">
        <v>0</v>
      </c>
    </row>
    <row r="73" spans="1:7" ht="14.25" thickTop="1" thickBot="1">
      <c r="A73" s="717">
        <v>24</v>
      </c>
      <c r="B73" s="723" t="s">
        <v>32</v>
      </c>
      <c r="C73" s="723" t="s">
        <v>373</v>
      </c>
      <c r="D73" s="721">
        <v>3</v>
      </c>
      <c r="E73" s="722" t="s">
        <v>362</v>
      </c>
      <c r="F73" s="720">
        <v>10255</v>
      </c>
      <c r="G73" s="720">
        <v>0</v>
      </c>
    </row>
    <row r="74" spans="1:7" ht="14.25" thickTop="1" thickBot="1">
      <c r="A74" s="717">
        <v>1</v>
      </c>
      <c r="B74" s="711" t="s">
        <v>21</v>
      </c>
      <c r="C74" s="711" t="s">
        <v>372</v>
      </c>
      <c r="D74" s="721">
        <v>4</v>
      </c>
      <c r="E74" s="722" t="s">
        <v>363</v>
      </c>
      <c r="F74" s="720">
        <v>14667</v>
      </c>
      <c r="G74" s="720">
        <v>0</v>
      </c>
    </row>
    <row r="75" spans="1:7" ht="14.25" thickTop="1" thickBot="1">
      <c r="A75" s="717">
        <v>2</v>
      </c>
      <c r="B75" s="711" t="s">
        <v>22</v>
      </c>
      <c r="C75" s="711" t="s">
        <v>372</v>
      </c>
      <c r="D75" s="721">
        <v>4</v>
      </c>
      <c r="E75" s="722" t="s">
        <v>363</v>
      </c>
      <c r="F75" s="720">
        <v>0</v>
      </c>
      <c r="G75" s="720">
        <v>0</v>
      </c>
    </row>
    <row r="76" spans="1:7" ht="14.25" thickTop="1" thickBot="1">
      <c r="A76" s="717">
        <v>3</v>
      </c>
      <c r="B76" s="711" t="s">
        <v>23</v>
      </c>
      <c r="C76" s="711" t="s">
        <v>372</v>
      </c>
      <c r="D76" s="721">
        <v>4</v>
      </c>
      <c r="E76" s="722" t="s">
        <v>363</v>
      </c>
      <c r="F76" s="720">
        <v>0</v>
      </c>
      <c r="G76" s="720">
        <v>0</v>
      </c>
    </row>
    <row r="77" spans="1:7" ht="14.25" thickTop="1" thickBot="1">
      <c r="A77" s="717">
        <v>4</v>
      </c>
      <c r="B77" s="711" t="s">
        <v>24</v>
      </c>
      <c r="C77" s="711" t="s">
        <v>372</v>
      </c>
      <c r="D77" s="721">
        <v>4</v>
      </c>
      <c r="E77" s="722" t="s">
        <v>363</v>
      </c>
      <c r="F77" s="720">
        <v>0</v>
      </c>
      <c r="G77" s="720">
        <v>0</v>
      </c>
    </row>
    <row r="78" spans="1:7" ht="14.25" thickTop="1" thickBot="1">
      <c r="A78" s="717">
        <v>5</v>
      </c>
      <c r="B78" s="711" t="s">
        <v>25</v>
      </c>
      <c r="C78" s="711" t="s">
        <v>373</v>
      </c>
      <c r="D78" s="721">
        <v>4</v>
      </c>
      <c r="E78" s="722" t="s">
        <v>363</v>
      </c>
      <c r="F78" s="720">
        <v>17291</v>
      </c>
      <c r="G78" s="720">
        <v>2.5672644788432204</v>
      </c>
    </row>
    <row r="79" spans="1:7" ht="14.25" thickTop="1" thickBot="1">
      <c r="A79" s="717">
        <v>6</v>
      </c>
      <c r="B79" s="711" t="s">
        <v>26</v>
      </c>
      <c r="C79" s="711" t="s">
        <v>372</v>
      </c>
      <c r="D79" s="721">
        <v>4</v>
      </c>
      <c r="E79" s="722" t="s">
        <v>363</v>
      </c>
      <c r="F79" s="720">
        <v>1569</v>
      </c>
      <c r="G79" s="720">
        <v>0.28391220845971138</v>
      </c>
    </row>
    <row r="80" spans="1:7" ht="14.25" thickTop="1" thickBot="1">
      <c r="A80" s="717">
        <v>7</v>
      </c>
      <c r="B80" s="711" t="s">
        <v>27</v>
      </c>
      <c r="C80" s="711" t="s">
        <v>373</v>
      </c>
      <c r="D80" s="721">
        <v>4</v>
      </c>
      <c r="E80" s="722" t="s">
        <v>363</v>
      </c>
      <c r="F80" s="720">
        <v>10107</v>
      </c>
      <c r="G80" s="720">
        <v>0</v>
      </c>
    </row>
    <row r="81" spans="1:7" ht="14.25" thickTop="1" thickBot="1">
      <c r="A81" s="717">
        <v>8</v>
      </c>
      <c r="B81" s="711" t="s">
        <v>28</v>
      </c>
      <c r="C81" s="711" t="s">
        <v>372</v>
      </c>
      <c r="D81" s="721">
        <v>4</v>
      </c>
      <c r="E81" s="722" t="s">
        <v>363</v>
      </c>
      <c r="F81" s="720">
        <v>3505</v>
      </c>
      <c r="G81" s="720">
        <v>0.34996024401999998</v>
      </c>
    </row>
    <row r="82" spans="1:7" ht="14.25" thickTop="1" thickBot="1">
      <c r="A82" s="717">
        <v>9</v>
      </c>
      <c r="B82" s="711" t="s">
        <v>29</v>
      </c>
      <c r="C82" s="711" t="s">
        <v>373</v>
      </c>
      <c r="D82" s="721">
        <v>4</v>
      </c>
      <c r="E82" s="722" t="s">
        <v>363</v>
      </c>
      <c r="F82" s="720">
        <v>0</v>
      </c>
      <c r="G82" s="720">
        <v>0</v>
      </c>
    </row>
    <row r="83" spans="1:7" ht="14.25" thickTop="1" thickBot="1">
      <c r="A83" s="717">
        <v>10</v>
      </c>
      <c r="B83" s="711" t="s">
        <v>30</v>
      </c>
      <c r="C83" s="711" t="s">
        <v>373</v>
      </c>
      <c r="D83" s="721">
        <v>4</v>
      </c>
      <c r="E83" s="722" t="s">
        <v>363</v>
      </c>
      <c r="F83" s="720">
        <v>0</v>
      </c>
      <c r="G83" s="720">
        <v>0</v>
      </c>
    </row>
    <row r="84" spans="1:7" ht="14.25" thickTop="1" thickBot="1">
      <c r="A84" s="717">
        <v>11</v>
      </c>
      <c r="B84" s="711" t="s">
        <v>31</v>
      </c>
      <c r="C84" s="711" t="s">
        <v>372</v>
      </c>
      <c r="D84" s="721">
        <v>4</v>
      </c>
      <c r="E84" s="722" t="s">
        <v>363</v>
      </c>
      <c r="F84" s="720">
        <v>112813</v>
      </c>
      <c r="G84" s="720">
        <v>1.5241332127338307</v>
      </c>
    </row>
    <row r="85" spans="1:7" ht="14.25" thickTop="1" thickBot="1">
      <c r="A85" s="717">
        <v>12</v>
      </c>
      <c r="B85" s="711" t="s">
        <v>32</v>
      </c>
      <c r="C85" s="711" t="s">
        <v>373</v>
      </c>
      <c r="D85" s="721">
        <v>4</v>
      </c>
      <c r="E85" s="722" t="s">
        <v>363</v>
      </c>
      <c r="F85" s="720">
        <v>11373</v>
      </c>
      <c r="G85" s="720">
        <v>0.41708317386545246</v>
      </c>
    </row>
    <row r="86" spans="1:7" ht="14.25" thickTop="1" thickBot="1">
      <c r="A86" s="717">
        <v>13</v>
      </c>
      <c r="B86" s="711" t="s">
        <v>21</v>
      </c>
      <c r="C86" s="711" t="s">
        <v>372</v>
      </c>
      <c r="D86" s="721">
        <v>4</v>
      </c>
      <c r="E86" s="722" t="s">
        <v>363</v>
      </c>
      <c r="F86" s="720">
        <v>14667</v>
      </c>
      <c r="G86" s="720">
        <v>0</v>
      </c>
    </row>
    <row r="87" spans="1:7" ht="14.25" thickTop="1" thickBot="1">
      <c r="A87" s="717">
        <v>14</v>
      </c>
      <c r="B87" s="711" t="s">
        <v>22</v>
      </c>
      <c r="C87" s="711" t="s">
        <v>372</v>
      </c>
      <c r="D87" s="721">
        <v>4</v>
      </c>
      <c r="E87" s="722" t="s">
        <v>363</v>
      </c>
      <c r="F87" s="720">
        <v>0</v>
      </c>
      <c r="G87" s="720">
        <v>0</v>
      </c>
    </row>
    <row r="88" spans="1:7" ht="14.25" thickTop="1" thickBot="1">
      <c r="A88" s="717">
        <v>15</v>
      </c>
      <c r="B88" s="711" t="s">
        <v>23</v>
      </c>
      <c r="C88" s="711" t="s">
        <v>372</v>
      </c>
      <c r="D88" s="721">
        <v>4</v>
      </c>
      <c r="E88" s="722" t="s">
        <v>363</v>
      </c>
      <c r="F88" s="720">
        <v>0</v>
      </c>
      <c r="G88" s="720">
        <v>0</v>
      </c>
    </row>
    <row r="89" spans="1:7" ht="14.25" thickTop="1" thickBot="1">
      <c r="A89" s="717">
        <v>16</v>
      </c>
      <c r="B89" s="711" t="s">
        <v>24</v>
      </c>
      <c r="C89" s="711" t="s">
        <v>372</v>
      </c>
      <c r="D89" s="721">
        <v>4</v>
      </c>
      <c r="E89" s="722" t="s">
        <v>363</v>
      </c>
      <c r="F89" s="720">
        <v>0</v>
      </c>
      <c r="G89" s="720">
        <v>0</v>
      </c>
    </row>
    <row r="90" spans="1:7" ht="14.25" thickTop="1" thickBot="1">
      <c r="A90" s="717">
        <v>17</v>
      </c>
      <c r="B90" s="711" t="s">
        <v>25</v>
      </c>
      <c r="C90" s="711" t="s">
        <v>373</v>
      </c>
      <c r="D90" s="721">
        <v>4</v>
      </c>
      <c r="E90" s="722" t="s">
        <v>363</v>
      </c>
      <c r="F90" s="720">
        <v>17291</v>
      </c>
      <c r="G90" s="720">
        <v>2.5672644788432204</v>
      </c>
    </row>
    <row r="91" spans="1:7" ht="14.25" thickTop="1" thickBot="1">
      <c r="A91" s="717">
        <v>18</v>
      </c>
      <c r="B91" s="711" t="s">
        <v>26</v>
      </c>
      <c r="C91" s="711" t="s">
        <v>372</v>
      </c>
      <c r="D91" s="721">
        <v>4</v>
      </c>
      <c r="E91" s="722" t="s">
        <v>363</v>
      </c>
      <c r="F91" s="720">
        <v>1569</v>
      </c>
      <c r="G91" s="720">
        <v>0.28391220845971138</v>
      </c>
    </row>
    <row r="92" spans="1:7" ht="14.25" thickTop="1" thickBot="1">
      <c r="A92" s="717">
        <v>19</v>
      </c>
      <c r="B92" s="711" t="s">
        <v>27</v>
      </c>
      <c r="C92" s="711" t="s">
        <v>373</v>
      </c>
      <c r="D92" s="721">
        <v>4</v>
      </c>
      <c r="E92" s="722" t="s">
        <v>363</v>
      </c>
      <c r="F92" s="720">
        <v>10107</v>
      </c>
      <c r="G92" s="720">
        <v>0</v>
      </c>
    </row>
    <row r="93" spans="1:7" ht="14.25" thickTop="1" thickBot="1">
      <c r="A93" s="717">
        <v>20</v>
      </c>
      <c r="B93" s="711" t="s">
        <v>28</v>
      </c>
      <c r="C93" s="711" t="s">
        <v>372</v>
      </c>
      <c r="D93" s="721">
        <v>4</v>
      </c>
      <c r="E93" s="722" t="s">
        <v>363</v>
      </c>
      <c r="F93" s="720">
        <v>3505</v>
      </c>
      <c r="G93" s="720">
        <v>0.34996024401999998</v>
      </c>
    </row>
    <row r="94" spans="1:7" ht="14.25" thickTop="1" thickBot="1">
      <c r="A94" s="717">
        <v>21</v>
      </c>
      <c r="B94" s="711" t="s">
        <v>29</v>
      </c>
      <c r="C94" s="711" t="s">
        <v>373</v>
      </c>
      <c r="D94" s="721">
        <v>4</v>
      </c>
      <c r="E94" s="722" t="s">
        <v>363</v>
      </c>
      <c r="F94" s="720">
        <v>0</v>
      </c>
      <c r="G94" s="720">
        <v>0</v>
      </c>
    </row>
    <row r="95" spans="1:7" ht="14.25" thickTop="1" thickBot="1">
      <c r="A95" s="717">
        <v>22</v>
      </c>
      <c r="B95" s="711" t="s">
        <v>30</v>
      </c>
      <c r="C95" s="711" t="s">
        <v>373</v>
      </c>
      <c r="D95" s="721">
        <v>4</v>
      </c>
      <c r="E95" s="722" t="s">
        <v>363</v>
      </c>
      <c r="F95" s="720">
        <v>0</v>
      </c>
      <c r="G95" s="720">
        <v>0</v>
      </c>
    </row>
    <row r="96" spans="1:7" ht="14.25" thickTop="1" thickBot="1">
      <c r="A96" s="717">
        <v>23</v>
      </c>
      <c r="B96" s="711" t="s">
        <v>31</v>
      </c>
      <c r="C96" s="711" t="s">
        <v>372</v>
      </c>
      <c r="D96" s="721">
        <v>4</v>
      </c>
      <c r="E96" s="722" t="s">
        <v>363</v>
      </c>
      <c r="F96" s="720">
        <v>112813</v>
      </c>
      <c r="G96" s="720">
        <v>1.5241332127338307</v>
      </c>
    </row>
    <row r="97" spans="1:7" ht="14.25" thickTop="1" thickBot="1">
      <c r="A97" s="717">
        <v>24</v>
      </c>
      <c r="B97" s="723" t="s">
        <v>32</v>
      </c>
      <c r="C97" s="723" t="s">
        <v>373</v>
      </c>
      <c r="D97" s="721">
        <v>4</v>
      </c>
      <c r="E97" s="722" t="s">
        <v>363</v>
      </c>
      <c r="F97" s="720">
        <v>11373</v>
      </c>
      <c r="G97" s="720">
        <v>0.41708317386545246</v>
      </c>
    </row>
    <row r="98" spans="1:7" ht="14.25" thickTop="1" thickBot="1">
      <c r="A98" s="717">
        <v>1</v>
      </c>
      <c r="B98" s="711" t="s">
        <v>21</v>
      </c>
      <c r="C98" s="711" t="s">
        <v>372</v>
      </c>
      <c r="D98" s="721">
        <v>5</v>
      </c>
      <c r="E98" s="722" t="s">
        <v>7</v>
      </c>
      <c r="F98" s="720">
        <v>14662</v>
      </c>
      <c r="G98" s="720">
        <v>0.74176284156121441</v>
      </c>
    </row>
    <row r="99" spans="1:7" ht="14.25" thickTop="1" thickBot="1">
      <c r="A99" s="717">
        <v>2</v>
      </c>
      <c r="B99" s="711" t="s">
        <v>22</v>
      </c>
      <c r="C99" s="711" t="s">
        <v>372</v>
      </c>
      <c r="D99" s="721">
        <v>5</v>
      </c>
      <c r="E99" s="722" t="s">
        <v>7</v>
      </c>
      <c r="F99" s="720">
        <v>0</v>
      </c>
      <c r="G99" s="720">
        <v>0</v>
      </c>
    </row>
    <row r="100" spans="1:7" ht="14.25" thickTop="1" thickBot="1">
      <c r="A100" s="717">
        <v>3</v>
      </c>
      <c r="B100" s="711" t="s">
        <v>23</v>
      </c>
      <c r="C100" s="711" t="s">
        <v>372</v>
      </c>
      <c r="D100" s="721">
        <v>5</v>
      </c>
      <c r="E100" s="722" t="s">
        <v>7</v>
      </c>
      <c r="F100" s="720">
        <v>0</v>
      </c>
      <c r="G100" s="720">
        <v>0</v>
      </c>
    </row>
    <row r="101" spans="1:7" ht="14.25" thickTop="1" thickBot="1">
      <c r="A101" s="717">
        <v>4</v>
      </c>
      <c r="B101" s="711" t="s">
        <v>24</v>
      </c>
      <c r="C101" s="711" t="s">
        <v>372</v>
      </c>
      <c r="D101" s="721">
        <v>5</v>
      </c>
      <c r="E101" s="722" t="s">
        <v>7</v>
      </c>
      <c r="F101" s="720">
        <v>0</v>
      </c>
      <c r="G101" s="720">
        <v>0</v>
      </c>
    </row>
    <row r="102" spans="1:7" ht="14.25" thickTop="1" thickBot="1">
      <c r="A102" s="717">
        <v>5</v>
      </c>
      <c r="B102" s="711" t="s">
        <v>25</v>
      </c>
      <c r="C102" s="711" t="s">
        <v>373</v>
      </c>
      <c r="D102" s="721">
        <v>5</v>
      </c>
      <c r="E102" s="722" t="s">
        <v>7</v>
      </c>
      <c r="F102" s="720">
        <v>17408</v>
      </c>
      <c r="G102" s="720">
        <v>2.7675933089497158</v>
      </c>
    </row>
    <row r="103" spans="1:7" ht="14.25" thickTop="1" thickBot="1">
      <c r="A103" s="717">
        <v>6</v>
      </c>
      <c r="B103" s="711" t="s">
        <v>26</v>
      </c>
      <c r="C103" s="711" t="s">
        <v>372</v>
      </c>
      <c r="D103" s="721">
        <v>5</v>
      </c>
      <c r="E103" s="722" t="s">
        <v>7</v>
      </c>
      <c r="F103" s="720">
        <v>1570</v>
      </c>
      <c r="G103" s="720">
        <v>0.50066376281603642</v>
      </c>
    </row>
    <row r="104" spans="1:7" ht="14.25" thickTop="1" thickBot="1">
      <c r="A104" s="717">
        <v>7</v>
      </c>
      <c r="B104" s="711" t="s">
        <v>27</v>
      </c>
      <c r="C104" s="711" t="s">
        <v>373</v>
      </c>
      <c r="D104" s="721">
        <v>5</v>
      </c>
      <c r="E104" s="722" t="s">
        <v>7</v>
      </c>
      <c r="F104" s="720">
        <v>9479</v>
      </c>
      <c r="G104" s="720">
        <v>0.64240917657000007</v>
      </c>
    </row>
    <row r="105" spans="1:7" ht="14.25" thickTop="1" thickBot="1">
      <c r="A105" s="717">
        <v>8</v>
      </c>
      <c r="B105" s="711" t="s">
        <v>28</v>
      </c>
      <c r="C105" s="711" t="s">
        <v>372</v>
      </c>
      <c r="D105" s="721">
        <v>5</v>
      </c>
      <c r="E105" s="722" t="s">
        <v>7</v>
      </c>
      <c r="F105" s="720">
        <v>3457</v>
      </c>
      <c r="G105" s="720">
        <v>0.45185911856399991</v>
      </c>
    </row>
    <row r="106" spans="1:7" ht="14.25" thickTop="1" thickBot="1">
      <c r="A106" s="717">
        <v>9</v>
      </c>
      <c r="B106" s="711" t="s">
        <v>29</v>
      </c>
      <c r="C106" s="711" t="s">
        <v>373</v>
      </c>
      <c r="D106" s="721">
        <v>5</v>
      </c>
      <c r="E106" s="722" t="s">
        <v>7</v>
      </c>
      <c r="F106" s="720">
        <v>11</v>
      </c>
      <c r="G106" s="720">
        <v>3.0750665000000003E-2</v>
      </c>
    </row>
    <row r="107" spans="1:7" ht="14.25" thickTop="1" thickBot="1">
      <c r="A107" s="717">
        <v>10</v>
      </c>
      <c r="B107" s="711" t="s">
        <v>30</v>
      </c>
      <c r="C107" s="711" t="s">
        <v>373</v>
      </c>
      <c r="D107" s="721">
        <v>5</v>
      </c>
      <c r="E107" s="722" t="s">
        <v>7</v>
      </c>
      <c r="F107" s="720">
        <v>185</v>
      </c>
      <c r="G107" s="720">
        <v>2.5718449139999997</v>
      </c>
    </row>
    <row r="108" spans="1:7" ht="14.25" thickTop="1" thickBot="1">
      <c r="A108" s="717">
        <v>11</v>
      </c>
      <c r="B108" s="711" t="s">
        <v>31</v>
      </c>
      <c r="C108" s="711" t="s">
        <v>372</v>
      </c>
      <c r="D108" s="721">
        <v>5</v>
      </c>
      <c r="E108" s="722" t="s">
        <v>7</v>
      </c>
      <c r="F108" s="720">
        <v>112626</v>
      </c>
      <c r="G108" s="720">
        <v>1.6670473909731174</v>
      </c>
    </row>
    <row r="109" spans="1:7" ht="14.25" thickTop="1" thickBot="1">
      <c r="A109" s="717">
        <v>12</v>
      </c>
      <c r="B109" s="711" t="s">
        <v>32</v>
      </c>
      <c r="C109" s="711" t="s">
        <v>373</v>
      </c>
      <c r="D109" s="721">
        <v>5</v>
      </c>
      <c r="E109" s="722" t="s">
        <v>7</v>
      </c>
      <c r="F109" s="720">
        <v>12300</v>
      </c>
      <c r="G109" s="720">
        <v>0.51349497858434912</v>
      </c>
    </row>
    <row r="110" spans="1:7" ht="14.25" thickTop="1" thickBot="1">
      <c r="A110" s="717">
        <v>13</v>
      </c>
      <c r="B110" s="711" t="s">
        <v>21</v>
      </c>
      <c r="C110" s="711" t="s">
        <v>372</v>
      </c>
      <c r="D110" s="721">
        <v>5</v>
      </c>
      <c r="E110" s="722" t="s">
        <v>7</v>
      </c>
      <c r="F110" s="720">
        <v>14662</v>
      </c>
      <c r="G110" s="720">
        <v>0.74176284156121441</v>
      </c>
    </row>
    <row r="111" spans="1:7" ht="14.25" thickTop="1" thickBot="1">
      <c r="A111" s="717">
        <v>14</v>
      </c>
      <c r="B111" s="711" t="s">
        <v>22</v>
      </c>
      <c r="C111" s="711" t="s">
        <v>372</v>
      </c>
      <c r="D111" s="721">
        <v>5</v>
      </c>
      <c r="E111" s="722" t="s">
        <v>7</v>
      </c>
      <c r="F111" s="720">
        <v>0</v>
      </c>
      <c r="G111" s="720">
        <v>0</v>
      </c>
    </row>
    <row r="112" spans="1:7" ht="14.25" thickTop="1" thickBot="1">
      <c r="A112" s="717">
        <v>15</v>
      </c>
      <c r="B112" s="711" t="s">
        <v>23</v>
      </c>
      <c r="C112" s="711" t="s">
        <v>372</v>
      </c>
      <c r="D112" s="721">
        <v>5</v>
      </c>
      <c r="E112" s="722" t="s">
        <v>7</v>
      </c>
      <c r="F112" s="720">
        <v>0</v>
      </c>
      <c r="G112" s="720">
        <v>0</v>
      </c>
    </row>
    <row r="113" spans="1:7" ht="14.25" thickTop="1" thickBot="1">
      <c r="A113" s="717">
        <v>16</v>
      </c>
      <c r="B113" s="711" t="s">
        <v>24</v>
      </c>
      <c r="C113" s="711" t="s">
        <v>372</v>
      </c>
      <c r="D113" s="721">
        <v>5</v>
      </c>
      <c r="E113" s="722" t="s">
        <v>7</v>
      </c>
      <c r="F113" s="720">
        <v>0</v>
      </c>
      <c r="G113" s="720">
        <v>0</v>
      </c>
    </row>
    <row r="114" spans="1:7" ht="14.25" thickTop="1" thickBot="1">
      <c r="A114" s="717">
        <v>17</v>
      </c>
      <c r="B114" s="711" t="s">
        <v>25</v>
      </c>
      <c r="C114" s="711" t="s">
        <v>373</v>
      </c>
      <c r="D114" s="721">
        <v>5</v>
      </c>
      <c r="E114" s="722" t="s">
        <v>7</v>
      </c>
      <c r="F114" s="720">
        <v>17408</v>
      </c>
      <c r="G114" s="720">
        <v>2.7675933089497158</v>
      </c>
    </row>
    <row r="115" spans="1:7" ht="14.25" thickTop="1" thickBot="1">
      <c r="A115" s="717">
        <v>18</v>
      </c>
      <c r="B115" s="711" t="s">
        <v>26</v>
      </c>
      <c r="C115" s="711" t="s">
        <v>372</v>
      </c>
      <c r="D115" s="721">
        <v>5</v>
      </c>
      <c r="E115" s="722" t="s">
        <v>7</v>
      </c>
      <c r="F115" s="720">
        <v>1570</v>
      </c>
      <c r="G115" s="720">
        <v>0.50066376281603642</v>
      </c>
    </row>
    <row r="116" spans="1:7" ht="14.25" thickTop="1" thickBot="1">
      <c r="A116" s="717">
        <v>19</v>
      </c>
      <c r="B116" s="711" t="s">
        <v>27</v>
      </c>
      <c r="C116" s="711" t="s">
        <v>373</v>
      </c>
      <c r="D116" s="721">
        <v>5</v>
      </c>
      <c r="E116" s="722" t="s">
        <v>7</v>
      </c>
      <c r="F116" s="720">
        <v>9479</v>
      </c>
      <c r="G116" s="720">
        <v>0.64240917657000007</v>
      </c>
    </row>
    <row r="117" spans="1:7" ht="14.25" thickTop="1" thickBot="1">
      <c r="A117" s="717">
        <v>20</v>
      </c>
      <c r="B117" s="711" t="s">
        <v>28</v>
      </c>
      <c r="C117" s="711" t="s">
        <v>372</v>
      </c>
      <c r="D117" s="721">
        <v>5</v>
      </c>
      <c r="E117" s="722" t="s">
        <v>7</v>
      </c>
      <c r="F117" s="720">
        <v>3457</v>
      </c>
      <c r="G117" s="720">
        <v>0.45185911856399991</v>
      </c>
    </row>
    <row r="118" spans="1:7" ht="14.25" thickTop="1" thickBot="1">
      <c r="A118" s="717">
        <v>21</v>
      </c>
      <c r="B118" s="711" t="s">
        <v>29</v>
      </c>
      <c r="C118" s="711" t="s">
        <v>373</v>
      </c>
      <c r="D118" s="721">
        <v>5</v>
      </c>
      <c r="E118" s="722" t="s">
        <v>7</v>
      </c>
      <c r="F118" s="720">
        <v>11</v>
      </c>
      <c r="G118" s="720">
        <v>3.0750665000000003E-2</v>
      </c>
    </row>
    <row r="119" spans="1:7" ht="14.25" thickTop="1" thickBot="1">
      <c r="A119" s="717">
        <v>22</v>
      </c>
      <c r="B119" s="711" t="s">
        <v>30</v>
      </c>
      <c r="C119" s="711" t="s">
        <v>373</v>
      </c>
      <c r="D119" s="721">
        <v>5</v>
      </c>
      <c r="E119" s="722" t="s">
        <v>7</v>
      </c>
      <c r="F119" s="720">
        <v>185</v>
      </c>
      <c r="G119" s="720">
        <v>2.5718449139999997</v>
      </c>
    </row>
    <row r="120" spans="1:7" ht="14.25" thickTop="1" thickBot="1">
      <c r="A120" s="717">
        <v>23</v>
      </c>
      <c r="B120" s="711" t="s">
        <v>31</v>
      </c>
      <c r="C120" s="711" t="s">
        <v>372</v>
      </c>
      <c r="D120" s="721">
        <v>5</v>
      </c>
      <c r="E120" s="722" t="s">
        <v>7</v>
      </c>
      <c r="F120" s="720">
        <v>112626</v>
      </c>
      <c r="G120" s="720">
        <v>1.6670473909731174</v>
      </c>
    </row>
    <row r="121" spans="1:7" ht="14.25" thickTop="1" thickBot="1">
      <c r="A121" s="717">
        <v>24</v>
      </c>
      <c r="B121" s="723" t="s">
        <v>32</v>
      </c>
      <c r="C121" s="723" t="s">
        <v>373</v>
      </c>
      <c r="D121" s="721">
        <v>5</v>
      </c>
      <c r="E121" s="722" t="s">
        <v>7</v>
      </c>
      <c r="F121" s="720">
        <v>12300</v>
      </c>
      <c r="G121" s="720">
        <v>0.51349497858434912</v>
      </c>
    </row>
    <row r="122" spans="1:7" ht="14.25" thickTop="1" thickBot="1">
      <c r="A122" s="717">
        <v>1</v>
      </c>
      <c r="B122" s="711" t="s">
        <v>21</v>
      </c>
      <c r="C122" s="711" t="s">
        <v>372</v>
      </c>
      <c r="D122" s="721">
        <v>6</v>
      </c>
      <c r="E122" s="722" t="s">
        <v>364</v>
      </c>
      <c r="F122" s="720">
        <v>14663</v>
      </c>
      <c r="G122" s="720">
        <v>0</v>
      </c>
    </row>
    <row r="123" spans="1:7" ht="14.25" thickTop="1" thickBot="1">
      <c r="A123" s="717">
        <v>2</v>
      </c>
      <c r="B123" s="711" t="s">
        <v>22</v>
      </c>
      <c r="C123" s="711" t="s">
        <v>372</v>
      </c>
      <c r="D123" s="721">
        <v>6</v>
      </c>
      <c r="E123" s="722" t="s">
        <v>364</v>
      </c>
      <c r="F123" s="720">
        <v>0</v>
      </c>
      <c r="G123" s="720">
        <v>0</v>
      </c>
    </row>
    <row r="124" spans="1:7" ht="14.25" thickTop="1" thickBot="1">
      <c r="A124" s="717">
        <v>3</v>
      </c>
      <c r="B124" s="711" t="s">
        <v>23</v>
      </c>
      <c r="C124" s="711" t="s">
        <v>372</v>
      </c>
      <c r="D124" s="721">
        <v>6</v>
      </c>
      <c r="E124" s="722" t="s">
        <v>364</v>
      </c>
      <c r="F124" s="720">
        <v>1</v>
      </c>
      <c r="G124" s="720">
        <v>0</v>
      </c>
    </row>
    <row r="125" spans="1:7" ht="14.25" thickTop="1" thickBot="1">
      <c r="A125" s="717">
        <v>4</v>
      </c>
      <c r="B125" s="711" t="s">
        <v>24</v>
      </c>
      <c r="C125" s="711" t="s">
        <v>372</v>
      </c>
      <c r="D125" s="721">
        <v>6</v>
      </c>
      <c r="E125" s="722" t="s">
        <v>364</v>
      </c>
      <c r="F125" s="720">
        <v>0</v>
      </c>
      <c r="G125" s="720">
        <v>0</v>
      </c>
    </row>
    <row r="126" spans="1:7" ht="14.25" thickTop="1" thickBot="1">
      <c r="A126" s="717">
        <v>5</v>
      </c>
      <c r="B126" s="711" t="s">
        <v>25</v>
      </c>
      <c r="C126" s="711" t="s">
        <v>373</v>
      </c>
      <c r="D126" s="721">
        <v>6</v>
      </c>
      <c r="E126" s="722" t="s">
        <v>364</v>
      </c>
      <c r="F126" s="720">
        <v>17804</v>
      </c>
      <c r="G126" s="720">
        <v>2.7454775762541388</v>
      </c>
    </row>
    <row r="127" spans="1:7" ht="14.25" thickTop="1" thickBot="1">
      <c r="A127" s="717">
        <v>6</v>
      </c>
      <c r="B127" s="711" t="s">
        <v>26</v>
      </c>
      <c r="C127" s="711" t="s">
        <v>372</v>
      </c>
      <c r="D127" s="721">
        <v>6</v>
      </c>
      <c r="E127" s="722" t="s">
        <v>364</v>
      </c>
      <c r="F127" s="720">
        <v>1582</v>
      </c>
      <c r="G127" s="720">
        <v>0.43335979005094349</v>
      </c>
    </row>
    <row r="128" spans="1:7" ht="14.25" thickTop="1" thickBot="1">
      <c r="A128" s="717">
        <v>7</v>
      </c>
      <c r="B128" s="711" t="s">
        <v>27</v>
      </c>
      <c r="C128" s="711" t="s">
        <v>373</v>
      </c>
      <c r="D128" s="721">
        <v>6</v>
      </c>
      <c r="E128" s="722" t="s">
        <v>364</v>
      </c>
      <c r="F128" s="720">
        <v>9386</v>
      </c>
      <c r="G128" s="720">
        <v>0.13590591981200001</v>
      </c>
    </row>
    <row r="129" spans="1:7" ht="14.25" thickTop="1" thickBot="1">
      <c r="A129" s="717">
        <v>8</v>
      </c>
      <c r="B129" s="711" t="s">
        <v>28</v>
      </c>
      <c r="C129" s="711" t="s">
        <v>372</v>
      </c>
      <c r="D129" s="721">
        <v>6</v>
      </c>
      <c r="E129" s="722" t="s">
        <v>364</v>
      </c>
      <c r="F129" s="720">
        <v>3460</v>
      </c>
      <c r="G129" s="720">
        <v>0.36572365388</v>
      </c>
    </row>
    <row r="130" spans="1:7" ht="14.25" thickTop="1" thickBot="1">
      <c r="A130" s="717">
        <v>9</v>
      </c>
      <c r="B130" s="711" t="s">
        <v>29</v>
      </c>
      <c r="C130" s="711" t="s">
        <v>373</v>
      </c>
      <c r="D130" s="721">
        <v>6</v>
      </c>
      <c r="E130" s="722" t="s">
        <v>364</v>
      </c>
      <c r="F130" s="720">
        <v>11</v>
      </c>
      <c r="G130" s="720">
        <v>3.0750665000000003E-2</v>
      </c>
    </row>
    <row r="131" spans="1:7" ht="14.25" thickTop="1" thickBot="1">
      <c r="A131" s="717">
        <v>10</v>
      </c>
      <c r="B131" s="711" t="s">
        <v>30</v>
      </c>
      <c r="C131" s="711" t="s">
        <v>373</v>
      </c>
      <c r="D131" s="721">
        <v>6</v>
      </c>
      <c r="E131" s="722" t="s">
        <v>364</v>
      </c>
      <c r="F131" s="720">
        <v>184</v>
      </c>
      <c r="G131" s="720">
        <v>2.5579430495999995</v>
      </c>
    </row>
    <row r="132" spans="1:7" ht="14.25" thickTop="1" thickBot="1">
      <c r="A132" s="717">
        <v>11</v>
      </c>
      <c r="B132" s="711" t="s">
        <v>31</v>
      </c>
      <c r="C132" s="711" t="s">
        <v>372</v>
      </c>
      <c r="D132" s="721">
        <v>6</v>
      </c>
      <c r="E132" s="722" t="s">
        <v>364</v>
      </c>
      <c r="F132" s="720">
        <v>112506</v>
      </c>
      <c r="G132" s="720">
        <v>1.5330505649675896</v>
      </c>
    </row>
    <row r="133" spans="1:7" ht="14.25" thickTop="1" thickBot="1">
      <c r="A133" s="717">
        <v>12</v>
      </c>
      <c r="B133" s="711" t="s">
        <v>32</v>
      </c>
      <c r="C133" s="711" t="s">
        <v>373</v>
      </c>
      <c r="D133" s="721">
        <v>6</v>
      </c>
      <c r="E133" s="722" t="s">
        <v>364</v>
      </c>
      <c r="F133" s="720">
        <v>12961</v>
      </c>
      <c r="G133" s="720">
        <v>0.59470202846154574</v>
      </c>
    </row>
    <row r="134" spans="1:7" ht="14.25" thickTop="1" thickBot="1">
      <c r="A134" s="717">
        <v>13</v>
      </c>
      <c r="B134" s="711" t="s">
        <v>21</v>
      </c>
      <c r="C134" s="711" t="s">
        <v>372</v>
      </c>
      <c r="D134" s="721">
        <v>6</v>
      </c>
      <c r="E134" s="722" t="s">
        <v>364</v>
      </c>
      <c r="F134" s="720">
        <v>14663</v>
      </c>
      <c r="G134" s="720">
        <v>0</v>
      </c>
    </row>
    <row r="135" spans="1:7" ht="14.25" thickTop="1" thickBot="1">
      <c r="A135" s="717">
        <v>14</v>
      </c>
      <c r="B135" s="711" t="s">
        <v>22</v>
      </c>
      <c r="C135" s="711" t="s">
        <v>372</v>
      </c>
      <c r="D135" s="721">
        <v>6</v>
      </c>
      <c r="E135" s="722" t="s">
        <v>364</v>
      </c>
      <c r="F135" s="720">
        <v>0</v>
      </c>
      <c r="G135" s="720">
        <v>0</v>
      </c>
    </row>
    <row r="136" spans="1:7" ht="14.25" thickTop="1" thickBot="1">
      <c r="A136" s="717">
        <v>15</v>
      </c>
      <c r="B136" s="711" t="s">
        <v>23</v>
      </c>
      <c r="C136" s="711" t="s">
        <v>372</v>
      </c>
      <c r="D136" s="721">
        <v>6</v>
      </c>
      <c r="E136" s="722" t="s">
        <v>364</v>
      </c>
      <c r="F136" s="720">
        <v>1</v>
      </c>
      <c r="G136" s="720">
        <v>0</v>
      </c>
    </row>
    <row r="137" spans="1:7" ht="14.25" thickTop="1" thickBot="1">
      <c r="A137" s="717">
        <v>16</v>
      </c>
      <c r="B137" s="711" t="s">
        <v>24</v>
      </c>
      <c r="C137" s="711" t="s">
        <v>372</v>
      </c>
      <c r="D137" s="721">
        <v>6</v>
      </c>
      <c r="E137" s="722" t="s">
        <v>364</v>
      </c>
      <c r="F137" s="720">
        <v>0</v>
      </c>
      <c r="G137" s="720">
        <v>0</v>
      </c>
    </row>
    <row r="138" spans="1:7" ht="14.25" thickTop="1" thickBot="1">
      <c r="A138" s="717">
        <v>17</v>
      </c>
      <c r="B138" s="711" t="s">
        <v>25</v>
      </c>
      <c r="C138" s="711" t="s">
        <v>373</v>
      </c>
      <c r="D138" s="721">
        <v>6</v>
      </c>
      <c r="E138" s="722" t="s">
        <v>364</v>
      </c>
      <c r="F138" s="720">
        <v>17804</v>
      </c>
      <c r="G138" s="720">
        <v>2.7454775762541388</v>
      </c>
    </row>
    <row r="139" spans="1:7" ht="14.25" thickTop="1" thickBot="1">
      <c r="A139" s="717">
        <v>18</v>
      </c>
      <c r="B139" s="711" t="s">
        <v>26</v>
      </c>
      <c r="C139" s="711" t="s">
        <v>372</v>
      </c>
      <c r="D139" s="721">
        <v>6</v>
      </c>
      <c r="E139" s="722" t="s">
        <v>364</v>
      </c>
      <c r="F139" s="720">
        <v>1582</v>
      </c>
      <c r="G139" s="720">
        <v>0.43335979005094349</v>
      </c>
    </row>
    <row r="140" spans="1:7" ht="14.25" thickTop="1" thickBot="1">
      <c r="A140" s="717">
        <v>19</v>
      </c>
      <c r="B140" s="711" t="s">
        <v>27</v>
      </c>
      <c r="C140" s="711" t="s">
        <v>373</v>
      </c>
      <c r="D140" s="721">
        <v>6</v>
      </c>
      <c r="E140" s="722" t="s">
        <v>364</v>
      </c>
      <c r="F140" s="720">
        <v>9386</v>
      </c>
      <c r="G140" s="720">
        <v>0.13590591981200001</v>
      </c>
    </row>
    <row r="141" spans="1:7" ht="14.25" thickTop="1" thickBot="1">
      <c r="A141" s="717">
        <v>20</v>
      </c>
      <c r="B141" s="711" t="s">
        <v>28</v>
      </c>
      <c r="C141" s="711" t="s">
        <v>372</v>
      </c>
      <c r="D141" s="721">
        <v>6</v>
      </c>
      <c r="E141" s="722" t="s">
        <v>364</v>
      </c>
      <c r="F141" s="720">
        <v>3460</v>
      </c>
      <c r="G141" s="720">
        <v>0.36572365388</v>
      </c>
    </row>
    <row r="142" spans="1:7" ht="14.25" thickTop="1" thickBot="1">
      <c r="A142" s="717">
        <v>21</v>
      </c>
      <c r="B142" s="711" t="s">
        <v>29</v>
      </c>
      <c r="C142" s="711" t="s">
        <v>373</v>
      </c>
      <c r="D142" s="721">
        <v>6</v>
      </c>
      <c r="E142" s="722" t="s">
        <v>364</v>
      </c>
      <c r="F142" s="720">
        <v>11</v>
      </c>
      <c r="G142" s="720">
        <v>3.0750665000000003E-2</v>
      </c>
    </row>
    <row r="143" spans="1:7" ht="14.25" thickTop="1" thickBot="1">
      <c r="A143" s="717">
        <v>22</v>
      </c>
      <c r="B143" s="711" t="s">
        <v>30</v>
      </c>
      <c r="C143" s="711" t="s">
        <v>373</v>
      </c>
      <c r="D143" s="721">
        <v>6</v>
      </c>
      <c r="E143" s="722" t="s">
        <v>364</v>
      </c>
      <c r="F143" s="720">
        <v>184</v>
      </c>
      <c r="G143" s="720">
        <v>2.5579430495999995</v>
      </c>
    </row>
    <row r="144" spans="1:7" ht="14.25" thickTop="1" thickBot="1">
      <c r="A144" s="717">
        <v>23</v>
      </c>
      <c r="B144" s="711" t="s">
        <v>31</v>
      </c>
      <c r="C144" s="711" t="s">
        <v>372</v>
      </c>
      <c r="D144" s="721">
        <v>6</v>
      </c>
      <c r="E144" s="722" t="s">
        <v>364</v>
      </c>
      <c r="F144" s="720">
        <v>112506</v>
      </c>
      <c r="G144" s="720">
        <v>1.5330505649675896</v>
      </c>
    </row>
    <row r="145" spans="1:7" ht="14.25" thickTop="1" thickBot="1">
      <c r="A145" s="717">
        <v>24</v>
      </c>
      <c r="B145" s="723" t="s">
        <v>32</v>
      </c>
      <c r="C145" s="723" t="s">
        <v>373</v>
      </c>
      <c r="D145" s="721">
        <v>6</v>
      </c>
      <c r="E145" s="722" t="s">
        <v>364</v>
      </c>
      <c r="F145" s="720">
        <v>12961</v>
      </c>
      <c r="G145" s="720">
        <v>0.59470202846154574</v>
      </c>
    </row>
    <row r="146" spans="1:7" ht="14.25" thickTop="1" thickBot="1">
      <c r="A146" s="717">
        <v>1</v>
      </c>
      <c r="B146" s="711" t="s">
        <v>21</v>
      </c>
      <c r="C146" s="711" t="s">
        <v>372</v>
      </c>
      <c r="D146" s="721">
        <v>7</v>
      </c>
      <c r="E146" s="722" t="s">
        <v>365</v>
      </c>
      <c r="F146" s="720">
        <v>14663</v>
      </c>
      <c r="G146" s="720">
        <v>3.8460097489190295</v>
      </c>
    </row>
    <row r="147" spans="1:7" ht="14.25" thickTop="1" thickBot="1">
      <c r="A147" s="717">
        <v>2</v>
      </c>
      <c r="B147" s="711" t="s">
        <v>22</v>
      </c>
      <c r="C147" s="711" t="s">
        <v>372</v>
      </c>
      <c r="D147" s="721">
        <v>7</v>
      </c>
      <c r="E147" s="722" t="s">
        <v>365</v>
      </c>
      <c r="F147" s="720">
        <v>0</v>
      </c>
      <c r="G147" s="720">
        <v>0</v>
      </c>
    </row>
    <row r="148" spans="1:7" ht="14.25" thickTop="1" thickBot="1">
      <c r="A148" s="717">
        <v>3</v>
      </c>
      <c r="B148" s="711" t="s">
        <v>23</v>
      </c>
      <c r="C148" s="711" t="s">
        <v>372</v>
      </c>
      <c r="D148" s="721">
        <v>7</v>
      </c>
      <c r="E148" s="722" t="s">
        <v>365</v>
      </c>
      <c r="F148" s="720">
        <v>1</v>
      </c>
      <c r="G148" s="720">
        <v>0</v>
      </c>
    </row>
    <row r="149" spans="1:7" ht="14.25" thickTop="1" thickBot="1">
      <c r="A149" s="717">
        <v>4</v>
      </c>
      <c r="B149" s="711" t="s">
        <v>24</v>
      </c>
      <c r="C149" s="711" t="s">
        <v>372</v>
      </c>
      <c r="D149" s="721">
        <v>7</v>
      </c>
      <c r="E149" s="722" t="s">
        <v>365</v>
      </c>
      <c r="F149" s="720">
        <v>0</v>
      </c>
      <c r="G149" s="720">
        <v>0</v>
      </c>
    </row>
    <row r="150" spans="1:7" ht="14.25" thickTop="1" thickBot="1">
      <c r="A150" s="717">
        <v>5</v>
      </c>
      <c r="B150" s="711" t="s">
        <v>25</v>
      </c>
      <c r="C150" s="711" t="s">
        <v>373</v>
      </c>
      <c r="D150" s="721">
        <v>7</v>
      </c>
      <c r="E150" s="722" t="s">
        <v>365</v>
      </c>
      <c r="F150" s="720">
        <v>18496</v>
      </c>
      <c r="G150" s="720">
        <v>3.1148819710599231</v>
      </c>
    </row>
    <row r="151" spans="1:7" ht="14.25" thickTop="1" thickBot="1">
      <c r="A151" s="717">
        <v>6</v>
      </c>
      <c r="B151" s="711" t="s">
        <v>26</v>
      </c>
      <c r="C151" s="711" t="s">
        <v>372</v>
      </c>
      <c r="D151" s="721">
        <v>7</v>
      </c>
      <c r="E151" s="722" t="s">
        <v>365</v>
      </c>
      <c r="F151" s="720">
        <v>1589</v>
      </c>
      <c r="G151" s="720">
        <v>0.80974281091409617</v>
      </c>
    </row>
    <row r="152" spans="1:7" ht="14.25" thickTop="1" thickBot="1">
      <c r="A152" s="717">
        <v>7</v>
      </c>
      <c r="B152" s="711" t="s">
        <v>27</v>
      </c>
      <c r="C152" s="711" t="s">
        <v>373</v>
      </c>
      <c r="D152" s="721">
        <v>7</v>
      </c>
      <c r="E152" s="722" t="s">
        <v>365</v>
      </c>
      <c r="F152" s="720">
        <v>9410</v>
      </c>
      <c r="G152" s="720">
        <v>2.456235388320001</v>
      </c>
    </row>
    <row r="153" spans="1:7" ht="14.25" thickTop="1" thickBot="1">
      <c r="A153" s="717">
        <v>8</v>
      </c>
      <c r="B153" s="711" t="s">
        <v>28</v>
      </c>
      <c r="C153" s="711" t="s">
        <v>372</v>
      </c>
      <c r="D153" s="721">
        <v>7</v>
      </c>
      <c r="E153" s="722" t="s">
        <v>365</v>
      </c>
      <c r="F153" s="720">
        <v>3467</v>
      </c>
      <c r="G153" s="720">
        <v>0.70711409293599981</v>
      </c>
    </row>
    <row r="154" spans="1:7" ht="14.25" thickTop="1" thickBot="1">
      <c r="A154" s="717">
        <v>9</v>
      </c>
      <c r="B154" s="711" t="s">
        <v>29</v>
      </c>
      <c r="C154" s="711" t="s">
        <v>373</v>
      </c>
      <c r="D154" s="721">
        <v>7</v>
      </c>
      <c r="E154" s="722" t="s">
        <v>365</v>
      </c>
      <c r="F154" s="720">
        <v>5</v>
      </c>
      <c r="G154" s="720">
        <v>1.3977575000000001E-2</v>
      </c>
    </row>
    <row r="155" spans="1:7" ht="14.25" thickTop="1" thickBot="1">
      <c r="A155" s="717">
        <v>10</v>
      </c>
      <c r="B155" s="711" t="s">
        <v>30</v>
      </c>
      <c r="C155" s="711" t="s">
        <v>373</v>
      </c>
      <c r="D155" s="721">
        <v>7</v>
      </c>
      <c r="E155" s="722" t="s">
        <v>365</v>
      </c>
      <c r="F155" s="720">
        <v>156</v>
      </c>
      <c r="G155" s="720">
        <v>2.1686908463999996</v>
      </c>
    </row>
    <row r="156" spans="1:7" ht="14.25" thickTop="1" thickBot="1">
      <c r="A156" s="717">
        <v>11</v>
      </c>
      <c r="B156" s="711" t="s">
        <v>31</v>
      </c>
      <c r="C156" s="711" t="s">
        <v>372</v>
      </c>
      <c r="D156" s="721">
        <v>7</v>
      </c>
      <c r="E156" s="722" t="s">
        <v>365</v>
      </c>
      <c r="F156" s="720">
        <v>112393</v>
      </c>
      <c r="G156" s="720">
        <v>1.9515478598555185</v>
      </c>
    </row>
    <row r="157" spans="1:7" ht="14.25" thickTop="1" thickBot="1">
      <c r="A157" s="717">
        <v>12</v>
      </c>
      <c r="B157" s="711" t="s">
        <v>32</v>
      </c>
      <c r="C157" s="711" t="s">
        <v>373</v>
      </c>
      <c r="D157" s="721">
        <v>7</v>
      </c>
      <c r="E157" s="722" t="s">
        <v>365</v>
      </c>
      <c r="F157" s="720">
        <v>13516</v>
      </c>
      <c r="G157" s="720">
        <v>0.93607841378003354</v>
      </c>
    </row>
    <row r="158" spans="1:7" ht="14.25" thickTop="1" thickBot="1">
      <c r="A158" s="717">
        <v>13</v>
      </c>
      <c r="B158" s="711" t="s">
        <v>21</v>
      </c>
      <c r="C158" s="711" t="s">
        <v>372</v>
      </c>
      <c r="D158" s="721">
        <v>7</v>
      </c>
      <c r="E158" s="722" t="s">
        <v>365</v>
      </c>
      <c r="F158" s="720">
        <v>14663</v>
      </c>
      <c r="G158" s="720">
        <v>3.8460097489190295</v>
      </c>
    </row>
    <row r="159" spans="1:7" ht="14.25" thickTop="1" thickBot="1">
      <c r="A159" s="717">
        <v>14</v>
      </c>
      <c r="B159" s="711" t="s">
        <v>22</v>
      </c>
      <c r="C159" s="711" t="s">
        <v>372</v>
      </c>
      <c r="D159" s="721">
        <v>7</v>
      </c>
      <c r="E159" s="722" t="s">
        <v>365</v>
      </c>
      <c r="F159" s="720">
        <v>0</v>
      </c>
      <c r="G159" s="720">
        <v>0</v>
      </c>
    </row>
    <row r="160" spans="1:7" ht="14.25" thickTop="1" thickBot="1">
      <c r="A160" s="717">
        <v>15</v>
      </c>
      <c r="B160" s="711" t="s">
        <v>23</v>
      </c>
      <c r="C160" s="711" t="s">
        <v>372</v>
      </c>
      <c r="D160" s="721">
        <v>7</v>
      </c>
      <c r="E160" s="722" t="s">
        <v>365</v>
      </c>
      <c r="F160" s="720">
        <v>1</v>
      </c>
      <c r="G160" s="720">
        <v>0</v>
      </c>
    </row>
    <row r="161" spans="1:7" ht="14.25" thickTop="1" thickBot="1">
      <c r="A161" s="717">
        <v>16</v>
      </c>
      <c r="B161" s="711" t="s">
        <v>24</v>
      </c>
      <c r="C161" s="711" t="s">
        <v>372</v>
      </c>
      <c r="D161" s="721">
        <v>7</v>
      </c>
      <c r="E161" s="722" t="s">
        <v>365</v>
      </c>
      <c r="F161" s="720">
        <v>0</v>
      </c>
      <c r="G161" s="720">
        <v>0</v>
      </c>
    </row>
    <row r="162" spans="1:7" ht="14.25" thickTop="1" thickBot="1">
      <c r="A162" s="717">
        <v>17</v>
      </c>
      <c r="B162" s="711" t="s">
        <v>25</v>
      </c>
      <c r="C162" s="711" t="s">
        <v>373</v>
      </c>
      <c r="D162" s="721">
        <v>7</v>
      </c>
      <c r="E162" s="722" t="s">
        <v>365</v>
      </c>
      <c r="F162" s="720">
        <v>18496</v>
      </c>
      <c r="G162" s="720">
        <v>3.1148819710599231</v>
      </c>
    </row>
    <row r="163" spans="1:7" ht="14.25" thickTop="1" thickBot="1">
      <c r="A163" s="717">
        <v>18</v>
      </c>
      <c r="B163" s="711" t="s">
        <v>26</v>
      </c>
      <c r="C163" s="711" t="s">
        <v>372</v>
      </c>
      <c r="D163" s="721">
        <v>7</v>
      </c>
      <c r="E163" s="722" t="s">
        <v>365</v>
      </c>
      <c r="F163" s="720">
        <v>1589</v>
      </c>
      <c r="G163" s="720">
        <v>0.80974281091409617</v>
      </c>
    </row>
    <row r="164" spans="1:7" ht="14.25" thickTop="1" thickBot="1">
      <c r="A164" s="717">
        <v>19</v>
      </c>
      <c r="B164" s="711" t="s">
        <v>27</v>
      </c>
      <c r="C164" s="711" t="s">
        <v>373</v>
      </c>
      <c r="D164" s="721">
        <v>7</v>
      </c>
      <c r="E164" s="722" t="s">
        <v>365</v>
      </c>
      <c r="F164" s="720">
        <v>9410</v>
      </c>
      <c r="G164" s="720">
        <v>2.456235388320001</v>
      </c>
    </row>
    <row r="165" spans="1:7" ht="14.25" thickTop="1" thickBot="1">
      <c r="A165" s="717">
        <v>20</v>
      </c>
      <c r="B165" s="711" t="s">
        <v>28</v>
      </c>
      <c r="C165" s="711" t="s">
        <v>372</v>
      </c>
      <c r="D165" s="721">
        <v>7</v>
      </c>
      <c r="E165" s="722" t="s">
        <v>365</v>
      </c>
      <c r="F165" s="720">
        <v>3467</v>
      </c>
      <c r="G165" s="720">
        <v>0.70711409293599981</v>
      </c>
    </row>
    <row r="166" spans="1:7" ht="14.25" thickTop="1" thickBot="1">
      <c r="A166" s="717">
        <v>21</v>
      </c>
      <c r="B166" s="711" t="s">
        <v>29</v>
      </c>
      <c r="C166" s="711" t="s">
        <v>373</v>
      </c>
      <c r="D166" s="721">
        <v>7</v>
      </c>
      <c r="E166" s="722" t="s">
        <v>365</v>
      </c>
      <c r="F166" s="720">
        <v>5</v>
      </c>
      <c r="G166" s="720">
        <v>1.3977575000000001E-2</v>
      </c>
    </row>
    <row r="167" spans="1:7" ht="14.25" thickTop="1" thickBot="1">
      <c r="A167" s="717">
        <v>22</v>
      </c>
      <c r="B167" s="711" t="s">
        <v>30</v>
      </c>
      <c r="C167" s="711" t="s">
        <v>373</v>
      </c>
      <c r="D167" s="721">
        <v>7</v>
      </c>
      <c r="E167" s="722" t="s">
        <v>365</v>
      </c>
      <c r="F167" s="720">
        <v>156</v>
      </c>
      <c r="G167" s="720">
        <v>2.1686908463999996</v>
      </c>
    </row>
    <row r="168" spans="1:7" ht="14.25" thickTop="1" thickBot="1">
      <c r="A168" s="717">
        <v>23</v>
      </c>
      <c r="B168" s="711" t="s">
        <v>31</v>
      </c>
      <c r="C168" s="711" t="s">
        <v>372</v>
      </c>
      <c r="D168" s="721">
        <v>7</v>
      </c>
      <c r="E168" s="722" t="s">
        <v>365</v>
      </c>
      <c r="F168" s="720">
        <v>112393</v>
      </c>
      <c r="G168" s="720">
        <v>1.9515478598555185</v>
      </c>
    </row>
    <row r="169" spans="1:7" ht="14.25" thickTop="1" thickBot="1">
      <c r="A169" s="717">
        <v>24</v>
      </c>
      <c r="B169" s="723" t="s">
        <v>32</v>
      </c>
      <c r="C169" s="723" t="s">
        <v>373</v>
      </c>
      <c r="D169" s="721">
        <v>7</v>
      </c>
      <c r="E169" s="722" t="s">
        <v>365</v>
      </c>
      <c r="F169" s="720">
        <v>13516</v>
      </c>
      <c r="G169" s="720">
        <v>0.93607841378003354</v>
      </c>
    </row>
    <row r="170" spans="1:7" ht="14.25" thickTop="1" thickBot="1">
      <c r="A170" s="717">
        <v>1</v>
      </c>
      <c r="B170" s="711" t="s">
        <v>21</v>
      </c>
      <c r="C170" s="711" t="s">
        <v>372</v>
      </c>
      <c r="D170" s="721">
        <v>8</v>
      </c>
      <c r="E170" s="722" t="s">
        <v>366</v>
      </c>
      <c r="F170" s="720">
        <v>14663</v>
      </c>
      <c r="G170" s="720">
        <v>3.8002462313992016</v>
      </c>
    </row>
    <row r="171" spans="1:7" ht="14.25" thickTop="1" thickBot="1">
      <c r="A171" s="717">
        <v>2</v>
      </c>
      <c r="B171" s="711" t="s">
        <v>22</v>
      </c>
      <c r="C171" s="711" t="s">
        <v>372</v>
      </c>
      <c r="D171" s="721">
        <v>8</v>
      </c>
      <c r="E171" s="722" t="s">
        <v>366</v>
      </c>
      <c r="F171" s="720">
        <v>0</v>
      </c>
      <c r="G171" s="720">
        <v>0</v>
      </c>
    </row>
    <row r="172" spans="1:7" ht="14.25" thickTop="1" thickBot="1">
      <c r="A172" s="717">
        <v>3</v>
      </c>
      <c r="B172" s="711" t="s">
        <v>23</v>
      </c>
      <c r="C172" s="711" t="s">
        <v>372</v>
      </c>
      <c r="D172" s="721">
        <v>8</v>
      </c>
      <c r="E172" s="722" t="s">
        <v>366</v>
      </c>
      <c r="F172" s="720">
        <v>1</v>
      </c>
      <c r="G172" s="720">
        <v>0</v>
      </c>
    </row>
    <row r="173" spans="1:7" ht="14.25" thickTop="1" thickBot="1">
      <c r="A173" s="717">
        <v>4</v>
      </c>
      <c r="B173" s="711" t="s">
        <v>24</v>
      </c>
      <c r="C173" s="711" t="s">
        <v>372</v>
      </c>
      <c r="D173" s="721">
        <v>8</v>
      </c>
      <c r="E173" s="722" t="s">
        <v>366</v>
      </c>
      <c r="F173" s="720">
        <v>0</v>
      </c>
      <c r="G173" s="720">
        <v>0</v>
      </c>
    </row>
    <row r="174" spans="1:7" ht="14.25" thickTop="1" thickBot="1">
      <c r="A174" s="717">
        <v>5</v>
      </c>
      <c r="B174" s="711" t="s">
        <v>25</v>
      </c>
      <c r="C174" s="711" t="s">
        <v>373</v>
      </c>
      <c r="D174" s="721">
        <v>8</v>
      </c>
      <c r="E174" s="722" t="s">
        <v>366</v>
      </c>
      <c r="F174" s="720">
        <v>18589</v>
      </c>
      <c r="G174" s="720">
        <v>3.3159180381537614</v>
      </c>
    </row>
    <row r="175" spans="1:7" ht="14.25" thickTop="1" thickBot="1">
      <c r="A175" s="717">
        <v>6</v>
      </c>
      <c r="B175" s="711" t="s">
        <v>26</v>
      </c>
      <c r="C175" s="711" t="s">
        <v>372</v>
      </c>
      <c r="D175" s="721">
        <v>8</v>
      </c>
      <c r="E175" s="722" t="s">
        <v>366</v>
      </c>
      <c r="F175" s="720">
        <v>1594</v>
      </c>
      <c r="G175" s="720">
        <v>1.1071306865150343</v>
      </c>
    </row>
    <row r="176" spans="1:7" ht="14.25" thickTop="1" thickBot="1">
      <c r="A176" s="717">
        <v>7</v>
      </c>
      <c r="B176" s="711" t="s">
        <v>27</v>
      </c>
      <c r="C176" s="711" t="s">
        <v>373</v>
      </c>
      <c r="D176" s="721">
        <v>8</v>
      </c>
      <c r="E176" s="722" t="s">
        <v>366</v>
      </c>
      <c r="F176" s="720">
        <v>9151</v>
      </c>
      <c r="G176" s="720">
        <v>3.5481516926659999</v>
      </c>
    </row>
    <row r="177" spans="1:7" ht="14.25" thickTop="1" thickBot="1">
      <c r="A177" s="717">
        <v>8</v>
      </c>
      <c r="B177" s="711" t="s">
        <v>28</v>
      </c>
      <c r="C177" s="711" t="s">
        <v>372</v>
      </c>
      <c r="D177" s="721">
        <v>8</v>
      </c>
      <c r="E177" s="722" t="s">
        <v>366</v>
      </c>
      <c r="F177" s="720">
        <v>3438</v>
      </c>
      <c r="G177" s="720">
        <v>0.85267887735600012</v>
      </c>
    </row>
    <row r="178" spans="1:7" ht="14.25" thickTop="1" thickBot="1">
      <c r="A178" s="717">
        <v>9</v>
      </c>
      <c r="B178" s="711" t="s">
        <v>29</v>
      </c>
      <c r="C178" s="711" t="s">
        <v>373</v>
      </c>
      <c r="D178" s="721">
        <v>8</v>
      </c>
      <c r="E178" s="722" t="s">
        <v>366</v>
      </c>
      <c r="F178" s="720">
        <v>12</v>
      </c>
      <c r="G178" s="720">
        <v>3.3546180000000002E-2</v>
      </c>
    </row>
    <row r="179" spans="1:7" ht="14.25" thickTop="1" thickBot="1">
      <c r="A179" s="717">
        <v>10</v>
      </c>
      <c r="B179" s="711" t="s">
        <v>30</v>
      </c>
      <c r="C179" s="711" t="s">
        <v>373</v>
      </c>
      <c r="D179" s="721">
        <v>8</v>
      </c>
      <c r="E179" s="722" t="s">
        <v>366</v>
      </c>
      <c r="F179" s="720">
        <v>182</v>
      </c>
      <c r="G179" s="720">
        <v>2.5301393207999996</v>
      </c>
    </row>
    <row r="180" spans="1:7" ht="14.25" thickTop="1" thickBot="1">
      <c r="A180" s="717">
        <v>11</v>
      </c>
      <c r="B180" s="711" t="s">
        <v>31</v>
      </c>
      <c r="C180" s="711" t="s">
        <v>372</v>
      </c>
      <c r="D180" s="721">
        <v>8</v>
      </c>
      <c r="E180" s="722" t="s">
        <v>366</v>
      </c>
      <c r="F180" s="720">
        <v>112244</v>
      </c>
      <c r="G180" s="720">
        <v>2.1607644234331738</v>
      </c>
    </row>
    <row r="181" spans="1:7" ht="14.25" thickTop="1" thickBot="1">
      <c r="A181" s="717">
        <v>12</v>
      </c>
      <c r="B181" s="711" t="s">
        <v>32</v>
      </c>
      <c r="C181" s="711" t="s">
        <v>373</v>
      </c>
      <c r="D181" s="721">
        <v>8</v>
      </c>
      <c r="E181" s="722" t="s">
        <v>366</v>
      </c>
      <c r="F181" s="720">
        <v>14058</v>
      </c>
      <c r="G181" s="720">
        <v>1.0628477869391439</v>
      </c>
    </row>
    <row r="182" spans="1:7" ht="14.25" thickTop="1" thickBot="1">
      <c r="A182" s="717">
        <v>13</v>
      </c>
      <c r="B182" s="711" t="s">
        <v>21</v>
      </c>
      <c r="C182" s="711" t="s">
        <v>372</v>
      </c>
      <c r="D182" s="721">
        <v>8</v>
      </c>
      <c r="E182" s="722" t="s">
        <v>366</v>
      </c>
      <c r="F182" s="720">
        <v>14663</v>
      </c>
      <c r="G182" s="720">
        <v>3.8002462313992016</v>
      </c>
    </row>
    <row r="183" spans="1:7" ht="14.25" thickTop="1" thickBot="1">
      <c r="A183" s="717">
        <v>14</v>
      </c>
      <c r="B183" s="711" t="s">
        <v>22</v>
      </c>
      <c r="C183" s="711" t="s">
        <v>372</v>
      </c>
      <c r="D183" s="721">
        <v>8</v>
      </c>
      <c r="E183" s="722" t="s">
        <v>366</v>
      </c>
      <c r="F183" s="720">
        <v>0</v>
      </c>
      <c r="G183" s="720">
        <v>0</v>
      </c>
    </row>
    <row r="184" spans="1:7" ht="14.25" thickTop="1" thickBot="1">
      <c r="A184" s="717">
        <v>15</v>
      </c>
      <c r="B184" s="711" t="s">
        <v>23</v>
      </c>
      <c r="C184" s="711" t="s">
        <v>372</v>
      </c>
      <c r="D184" s="721">
        <v>8</v>
      </c>
      <c r="E184" s="722" t="s">
        <v>366</v>
      </c>
      <c r="F184" s="720">
        <v>1</v>
      </c>
      <c r="G184" s="720">
        <v>0</v>
      </c>
    </row>
    <row r="185" spans="1:7" ht="14.25" thickTop="1" thickBot="1">
      <c r="A185" s="717">
        <v>16</v>
      </c>
      <c r="B185" s="711" t="s">
        <v>24</v>
      </c>
      <c r="C185" s="711" t="s">
        <v>372</v>
      </c>
      <c r="D185" s="721">
        <v>8</v>
      </c>
      <c r="E185" s="722" t="s">
        <v>366</v>
      </c>
      <c r="F185" s="720">
        <v>0</v>
      </c>
      <c r="G185" s="720">
        <v>0</v>
      </c>
    </row>
    <row r="186" spans="1:7" ht="14.25" thickTop="1" thickBot="1">
      <c r="A186" s="717">
        <v>17</v>
      </c>
      <c r="B186" s="711" t="s">
        <v>25</v>
      </c>
      <c r="C186" s="711" t="s">
        <v>373</v>
      </c>
      <c r="D186" s="721">
        <v>8</v>
      </c>
      <c r="E186" s="722" t="s">
        <v>366</v>
      </c>
      <c r="F186" s="720">
        <v>18589</v>
      </c>
      <c r="G186" s="720">
        <v>3.3159180381537614</v>
      </c>
    </row>
    <row r="187" spans="1:7" ht="14.25" thickTop="1" thickBot="1">
      <c r="A187" s="717">
        <v>18</v>
      </c>
      <c r="B187" s="711" t="s">
        <v>26</v>
      </c>
      <c r="C187" s="711" t="s">
        <v>372</v>
      </c>
      <c r="D187" s="721">
        <v>8</v>
      </c>
      <c r="E187" s="722" t="s">
        <v>366</v>
      </c>
      <c r="F187" s="720">
        <v>1594</v>
      </c>
      <c r="G187" s="720">
        <v>1.1071306865150343</v>
      </c>
    </row>
    <row r="188" spans="1:7" ht="14.25" thickTop="1" thickBot="1">
      <c r="A188" s="717">
        <v>19</v>
      </c>
      <c r="B188" s="711" t="s">
        <v>27</v>
      </c>
      <c r="C188" s="711" t="s">
        <v>373</v>
      </c>
      <c r="D188" s="721">
        <v>8</v>
      </c>
      <c r="E188" s="722" t="s">
        <v>366</v>
      </c>
      <c r="F188" s="720">
        <v>9151</v>
      </c>
      <c r="G188" s="720">
        <v>3.5481516926659999</v>
      </c>
    </row>
    <row r="189" spans="1:7" ht="14.25" thickTop="1" thickBot="1">
      <c r="A189" s="717">
        <v>20</v>
      </c>
      <c r="B189" s="711" t="s">
        <v>28</v>
      </c>
      <c r="C189" s="711" t="s">
        <v>372</v>
      </c>
      <c r="D189" s="721">
        <v>8</v>
      </c>
      <c r="E189" s="722" t="s">
        <v>366</v>
      </c>
      <c r="F189" s="720">
        <v>3438</v>
      </c>
      <c r="G189" s="720">
        <v>0.85267887735600012</v>
      </c>
    </row>
    <row r="190" spans="1:7" ht="14.25" thickTop="1" thickBot="1">
      <c r="A190" s="717">
        <v>21</v>
      </c>
      <c r="B190" s="711" t="s">
        <v>29</v>
      </c>
      <c r="C190" s="711" t="s">
        <v>373</v>
      </c>
      <c r="D190" s="721">
        <v>8</v>
      </c>
      <c r="E190" s="722" t="s">
        <v>366</v>
      </c>
      <c r="F190" s="720">
        <v>12</v>
      </c>
      <c r="G190" s="720">
        <v>3.3546180000000002E-2</v>
      </c>
    </row>
    <row r="191" spans="1:7" ht="14.25" thickTop="1" thickBot="1">
      <c r="A191" s="717">
        <v>22</v>
      </c>
      <c r="B191" s="711" t="s">
        <v>30</v>
      </c>
      <c r="C191" s="711" t="s">
        <v>373</v>
      </c>
      <c r="D191" s="721">
        <v>8</v>
      </c>
      <c r="E191" s="722" t="s">
        <v>366</v>
      </c>
      <c r="F191" s="720">
        <v>182</v>
      </c>
      <c r="G191" s="720">
        <v>2.5301393207999996</v>
      </c>
    </row>
    <row r="192" spans="1:7" ht="14.25" thickTop="1" thickBot="1">
      <c r="A192" s="717">
        <v>23</v>
      </c>
      <c r="B192" s="711" t="s">
        <v>31</v>
      </c>
      <c r="C192" s="711" t="s">
        <v>372</v>
      </c>
      <c r="D192" s="721">
        <v>8</v>
      </c>
      <c r="E192" s="722" t="s">
        <v>366</v>
      </c>
      <c r="F192" s="720">
        <v>112244</v>
      </c>
      <c r="G192" s="720">
        <v>2.1607644234331738</v>
      </c>
    </row>
    <row r="193" spans="1:7" ht="14.25" thickTop="1" thickBot="1">
      <c r="A193" s="717">
        <v>24</v>
      </c>
      <c r="B193" s="723" t="s">
        <v>32</v>
      </c>
      <c r="C193" s="723" t="s">
        <v>373</v>
      </c>
      <c r="D193" s="721">
        <v>8</v>
      </c>
      <c r="E193" s="722" t="s">
        <v>366</v>
      </c>
      <c r="F193" s="720">
        <v>14058</v>
      </c>
      <c r="G193" s="720">
        <v>1.0628477869391439</v>
      </c>
    </row>
    <row r="194" spans="1:7" ht="14.25" thickTop="1" thickBot="1">
      <c r="A194" s="717">
        <v>1</v>
      </c>
      <c r="B194" s="711" t="s">
        <v>21</v>
      </c>
      <c r="C194" s="711" t="s">
        <v>372</v>
      </c>
      <c r="D194" s="721">
        <v>9</v>
      </c>
      <c r="E194" s="722" t="s">
        <v>367</v>
      </c>
      <c r="F194" s="720">
        <v>0</v>
      </c>
      <c r="G194" s="720">
        <v>0</v>
      </c>
    </row>
    <row r="195" spans="1:7" ht="14.25" thickTop="1" thickBot="1">
      <c r="A195" s="717">
        <v>2</v>
      </c>
      <c r="B195" s="711" t="s">
        <v>22</v>
      </c>
      <c r="C195" s="711" t="s">
        <v>372</v>
      </c>
      <c r="D195" s="721">
        <v>9</v>
      </c>
      <c r="E195" s="722" t="s">
        <v>367</v>
      </c>
      <c r="F195" s="720">
        <v>0</v>
      </c>
      <c r="G195" s="720">
        <v>0</v>
      </c>
    </row>
    <row r="196" spans="1:7" ht="14.25" thickTop="1" thickBot="1">
      <c r="A196" s="717">
        <v>3</v>
      </c>
      <c r="B196" s="711" t="s">
        <v>23</v>
      </c>
      <c r="C196" s="711" t="s">
        <v>372</v>
      </c>
      <c r="D196" s="721">
        <v>9</v>
      </c>
      <c r="E196" s="722" t="s">
        <v>367</v>
      </c>
      <c r="F196" s="720">
        <v>0</v>
      </c>
      <c r="G196" s="720">
        <v>0</v>
      </c>
    </row>
    <row r="197" spans="1:7" ht="14.25" thickTop="1" thickBot="1">
      <c r="A197" s="717">
        <v>4</v>
      </c>
      <c r="B197" s="711" t="s">
        <v>24</v>
      </c>
      <c r="C197" s="711" t="s">
        <v>372</v>
      </c>
      <c r="D197" s="721">
        <v>9</v>
      </c>
      <c r="E197" s="722" t="s">
        <v>367</v>
      </c>
      <c r="F197" s="720">
        <v>0</v>
      </c>
      <c r="G197" s="720">
        <v>0</v>
      </c>
    </row>
    <row r="198" spans="1:7" ht="14.25" thickTop="1" thickBot="1">
      <c r="A198" s="717">
        <v>5</v>
      </c>
      <c r="B198" s="711" t="s">
        <v>25</v>
      </c>
      <c r="C198" s="711" t="s">
        <v>373</v>
      </c>
      <c r="D198" s="721">
        <v>9</v>
      </c>
      <c r="E198" s="722" t="s">
        <v>367</v>
      </c>
      <c r="F198" s="720">
        <v>0</v>
      </c>
      <c r="G198" s="720">
        <v>0</v>
      </c>
    </row>
    <row r="199" spans="1:7" ht="14.25" thickTop="1" thickBot="1">
      <c r="A199" s="717">
        <v>6</v>
      </c>
      <c r="B199" s="711" t="s">
        <v>26</v>
      </c>
      <c r="C199" s="711" t="s">
        <v>372</v>
      </c>
      <c r="D199" s="721">
        <v>9</v>
      </c>
      <c r="E199" s="722" t="s">
        <v>367</v>
      </c>
      <c r="F199" s="720">
        <v>0</v>
      </c>
      <c r="G199" s="720">
        <v>0</v>
      </c>
    </row>
    <row r="200" spans="1:7" ht="14.25" thickTop="1" thickBot="1">
      <c r="A200" s="717">
        <v>7</v>
      </c>
      <c r="B200" s="711" t="s">
        <v>27</v>
      </c>
      <c r="C200" s="711" t="s">
        <v>373</v>
      </c>
      <c r="D200" s="721">
        <v>9</v>
      </c>
      <c r="E200" s="722" t="s">
        <v>367</v>
      </c>
      <c r="F200" s="720">
        <v>0</v>
      </c>
      <c r="G200" s="720">
        <v>0</v>
      </c>
    </row>
    <row r="201" spans="1:7" ht="14.25" thickTop="1" thickBot="1">
      <c r="A201" s="717">
        <v>8</v>
      </c>
      <c r="B201" s="711" t="s">
        <v>28</v>
      </c>
      <c r="C201" s="711" t="s">
        <v>372</v>
      </c>
      <c r="D201" s="721">
        <v>9</v>
      </c>
      <c r="E201" s="722" t="s">
        <v>367</v>
      </c>
      <c r="F201" s="720">
        <v>0</v>
      </c>
      <c r="G201" s="720">
        <v>0</v>
      </c>
    </row>
    <row r="202" spans="1:7" ht="14.25" thickTop="1" thickBot="1">
      <c r="A202" s="717">
        <v>9</v>
      </c>
      <c r="B202" s="711" t="s">
        <v>29</v>
      </c>
      <c r="C202" s="711" t="s">
        <v>373</v>
      </c>
      <c r="D202" s="721">
        <v>9</v>
      </c>
      <c r="E202" s="722" t="s">
        <v>367</v>
      </c>
      <c r="F202" s="720">
        <v>0</v>
      </c>
      <c r="G202" s="720">
        <v>0</v>
      </c>
    </row>
    <row r="203" spans="1:7" ht="14.25" thickTop="1" thickBot="1">
      <c r="A203" s="717">
        <v>10</v>
      </c>
      <c r="B203" s="711" t="s">
        <v>30</v>
      </c>
      <c r="C203" s="711" t="s">
        <v>373</v>
      </c>
      <c r="D203" s="721">
        <v>9</v>
      </c>
      <c r="E203" s="722" t="s">
        <v>367</v>
      </c>
      <c r="F203" s="720">
        <v>0</v>
      </c>
      <c r="G203" s="720">
        <v>0</v>
      </c>
    </row>
    <row r="204" spans="1:7" ht="14.25" thickTop="1" thickBot="1">
      <c r="A204" s="717">
        <v>11</v>
      </c>
      <c r="B204" s="711" t="s">
        <v>31</v>
      </c>
      <c r="C204" s="711" t="s">
        <v>372</v>
      </c>
      <c r="D204" s="721">
        <v>9</v>
      </c>
      <c r="E204" s="722" t="s">
        <v>367</v>
      </c>
      <c r="F204" s="720">
        <v>0</v>
      </c>
      <c r="G204" s="720">
        <v>0</v>
      </c>
    </row>
    <row r="205" spans="1:7" ht="14.25" thickTop="1" thickBot="1">
      <c r="A205" s="717">
        <v>12</v>
      </c>
      <c r="B205" s="711" t="s">
        <v>32</v>
      </c>
      <c r="C205" s="711" t="s">
        <v>373</v>
      </c>
      <c r="D205" s="721">
        <v>9</v>
      </c>
      <c r="E205" s="722" t="s">
        <v>367</v>
      </c>
      <c r="F205" s="720">
        <v>0</v>
      </c>
      <c r="G205" s="720">
        <v>0</v>
      </c>
    </row>
    <row r="206" spans="1:7" ht="14.25" thickTop="1" thickBot="1">
      <c r="A206" s="717">
        <v>13</v>
      </c>
      <c r="B206" s="711" t="s">
        <v>21</v>
      </c>
      <c r="C206" s="711" t="s">
        <v>372</v>
      </c>
      <c r="D206" s="721">
        <v>9</v>
      </c>
      <c r="E206" s="722" t="s">
        <v>367</v>
      </c>
      <c r="F206" s="720">
        <v>0</v>
      </c>
      <c r="G206" s="720">
        <v>0</v>
      </c>
    </row>
    <row r="207" spans="1:7" ht="14.25" thickTop="1" thickBot="1">
      <c r="A207" s="717">
        <v>14</v>
      </c>
      <c r="B207" s="711" t="s">
        <v>22</v>
      </c>
      <c r="C207" s="711" t="s">
        <v>372</v>
      </c>
      <c r="D207" s="721">
        <v>9</v>
      </c>
      <c r="E207" s="722" t="s">
        <v>367</v>
      </c>
      <c r="F207" s="720">
        <v>0</v>
      </c>
      <c r="G207" s="720">
        <v>0</v>
      </c>
    </row>
    <row r="208" spans="1:7" ht="14.25" thickTop="1" thickBot="1">
      <c r="A208" s="717">
        <v>15</v>
      </c>
      <c r="B208" s="711" t="s">
        <v>23</v>
      </c>
      <c r="C208" s="711" t="s">
        <v>372</v>
      </c>
      <c r="D208" s="721">
        <v>9</v>
      </c>
      <c r="E208" s="722" t="s">
        <v>367</v>
      </c>
      <c r="F208" s="720">
        <v>0</v>
      </c>
      <c r="G208" s="720">
        <v>0</v>
      </c>
    </row>
    <row r="209" spans="1:7" ht="14.25" thickTop="1" thickBot="1">
      <c r="A209" s="717">
        <v>16</v>
      </c>
      <c r="B209" s="711" t="s">
        <v>24</v>
      </c>
      <c r="C209" s="711" t="s">
        <v>372</v>
      </c>
      <c r="D209" s="721">
        <v>9</v>
      </c>
      <c r="E209" s="722" t="s">
        <v>367</v>
      </c>
      <c r="F209" s="720">
        <v>0</v>
      </c>
      <c r="G209" s="720">
        <v>0</v>
      </c>
    </row>
    <row r="210" spans="1:7" ht="14.25" thickTop="1" thickBot="1">
      <c r="A210" s="717">
        <v>17</v>
      </c>
      <c r="B210" s="711" t="s">
        <v>25</v>
      </c>
      <c r="C210" s="711" t="s">
        <v>373</v>
      </c>
      <c r="D210" s="721">
        <v>9</v>
      </c>
      <c r="E210" s="722" t="s">
        <v>367</v>
      </c>
      <c r="F210" s="720">
        <v>0</v>
      </c>
      <c r="G210" s="720">
        <v>0</v>
      </c>
    </row>
    <row r="211" spans="1:7" ht="14.25" thickTop="1" thickBot="1">
      <c r="A211" s="717">
        <v>18</v>
      </c>
      <c r="B211" s="711" t="s">
        <v>26</v>
      </c>
      <c r="C211" s="711" t="s">
        <v>372</v>
      </c>
      <c r="D211" s="721">
        <v>9</v>
      </c>
      <c r="E211" s="722" t="s">
        <v>367</v>
      </c>
      <c r="F211" s="720">
        <v>0</v>
      </c>
      <c r="G211" s="720">
        <v>0</v>
      </c>
    </row>
    <row r="212" spans="1:7" ht="14.25" thickTop="1" thickBot="1">
      <c r="A212" s="717">
        <v>19</v>
      </c>
      <c r="B212" s="711" t="s">
        <v>27</v>
      </c>
      <c r="C212" s="711" t="s">
        <v>373</v>
      </c>
      <c r="D212" s="721">
        <v>9</v>
      </c>
      <c r="E212" s="722" t="s">
        <v>367</v>
      </c>
      <c r="F212" s="720">
        <v>0</v>
      </c>
      <c r="G212" s="720">
        <v>0</v>
      </c>
    </row>
    <row r="213" spans="1:7" ht="14.25" thickTop="1" thickBot="1">
      <c r="A213" s="717">
        <v>20</v>
      </c>
      <c r="B213" s="711" t="s">
        <v>28</v>
      </c>
      <c r="C213" s="711" t="s">
        <v>372</v>
      </c>
      <c r="D213" s="721">
        <v>9</v>
      </c>
      <c r="E213" s="722" t="s">
        <v>367</v>
      </c>
      <c r="F213" s="720">
        <v>0</v>
      </c>
      <c r="G213" s="720">
        <v>0</v>
      </c>
    </row>
    <row r="214" spans="1:7" ht="14.25" thickTop="1" thickBot="1">
      <c r="A214" s="717">
        <v>21</v>
      </c>
      <c r="B214" s="711" t="s">
        <v>29</v>
      </c>
      <c r="C214" s="711" t="s">
        <v>373</v>
      </c>
      <c r="D214" s="721">
        <v>9</v>
      </c>
      <c r="E214" s="722" t="s">
        <v>367</v>
      </c>
      <c r="F214" s="720">
        <v>0</v>
      </c>
      <c r="G214" s="720">
        <v>0</v>
      </c>
    </row>
    <row r="215" spans="1:7" ht="14.25" thickTop="1" thickBot="1">
      <c r="A215" s="717">
        <v>22</v>
      </c>
      <c r="B215" s="711" t="s">
        <v>30</v>
      </c>
      <c r="C215" s="711" t="s">
        <v>373</v>
      </c>
      <c r="D215" s="721">
        <v>9</v>
      </c>
      <c r="E215" s="722" t="s">
        <v>367</v>
      </c>
      <c r="F215" s="720">
        <v>0</v>
      </c>
      <c r="G215" s="720">
        <v>0</v>
      </c>
    </row>
    <row r="216" spans="1:7" ht="14.25" thickTop="1" thickBot="1">
      <c r="A216" s="717">
        <v>23</v>
      </c>
      <c r="B216" s="711" t="s">
        <v>31</v>
      </c>
      <c r="C216" s="711" t="s">
        <v>372</v>
      </c>
      <c r="D216" s="721">
        <v>9</v>
      </c>
      <c r="E216" s="722" t="s">
        <v>367</v>
      </c>
      <c r="F216" s="720">
        <v>0</v>
      </c>
      <c r="G216" s="720">
        <v>0</v>
      </c>
    </row>
    <row r="217" spans="1:7" ht="14.25" thickTop="1" thickBot="1">
      <c r="A217" s="717">
        <v>24</v>
      </c>
      <c r="B217" s="723" t="s">
        <v>32</v>
      </c>
      <c r="C217" s="723" t="s">
        <v>373</v>
      </c>
      <c r="D217" s="721">
        <v>9</v>
      </c>
      <c r="E217" s="722" t="s">
        <v>367</v>
      </c>
      <c r="F217" s="720">
        <v>0</v>
      </c>
      <c r="G217" s="720">
        <v>0</v>
      </c>
    </row>
    <row r="218" spans="1:7" ht="14.25" thickTop="1" thickBot="1">
      <c r="A218" s="717">
        <v>1</v>
      </c>
      <c r="B218" s="711" t="s">
        <v>21</v>
      </c>
      <c r="C218" s="711" t="s">
        <v>372</v>
      </c>
      <c r="D218" s="721">
        <v>10</v>
      </c>
      <c r="E218" s="722" t="s">
        <v>368</v>
      </c>
      <c r="F218" s="720">
        <v>0</v>
      </c>
      <c r="G218" s="720">
        <v>0</v>
      </c>
    </row>
    <row r="219" spans="1:7" ht="14.25" thickTop="1" thickBot="1">
      <c r="A219" s="717">
        <v>2</v>
      </c>
      <c r="B219" s="711" t="s">
        <v>22</v>
      </c>
      <c r="C219" s="711" t="s">
        <v>372</v>
      </c>
      <c r="D219" s="721">
        <v>10</v>
      </c>
      <c r="E219" s="722" t="s">
        <v>368</v>
      </c>
      <c r="F219" s="720">
        <v>0</v>
      </c>
      <c r="G219" s="720">
        <v>0</v>
      </c>
    </row>
    <row r="220" spans="1:7" ht="14.25" thickTop="1" thickBot="1">
      <c r="A220" s="717">
        <v>3</v>
      </c>
      <c r="B220" s="711" t="s">
        <v>23</v>
      </c>
      <c r="C220" s="711" t="s">
        <v>372</v>
      </c>
      <c r="D220" s="721">
        <v>10</v>
      </c>
      <c r="E220" s="722" t="s">
        <v>368</v>
      </c>
      <c r="F220" s="720">
        <v>0</v>
      </c>
      <c r="G220" s="720">
        <v>0</v>
      </c>
    </row>
    <row r="221" spans="1:7" ht="14.25" thickTop="1" thickBot="1">
      <c r="A221" s="717">
        <v>4</v>
      </c>
      <c r="B221" s="711" t="s">
        <v>24</v>
      </c>
      <c r="C221" s="711" t="s">
        <v>372</v>
      </c>
      <c r="D221" s="721">
        <v>10</v>
      </c>
      <c r="E221" s="722" t="s">
        <v>368</v>
      </c>
      <c r="F221" s="720">
        <v>0</v>
      </c>
      <c r="G221" s="720">
        <v>0</v>
      </c>
    </row>
    <row r="222" spans="1:7" ht="14.25" thickTop="1" thickBot="1">
      <c r="A222" s="717">
        <v>5</v>
      </c>
      <c r="B222" s="711" t="s">
        <v>25</v>
      </c>
      <c r="C222" s="711" t="s">
        <v>373</v>
      </c>
      <c r="D222" s="721">
        <v>10</v>
      </c>
      <c r="E222" s="722" t="s">
        <v>368</v>
      </c>
      <c r="F222" s="720">
        <v>0</v>
      </c>
      <c r="G222" s="720">
        <v>0</v>
      </c>
    </row>
    <row r="223" spans="1:7" ht="14.25" thickTop="1" thickBot="1">
      <c r="A223" s="717">
        <v>6</v>
      </c>
      <c r="B223" s="711" t="s">
        <v>26</v>
      </c>
      <c r="C223" s="711" t="s">
        <v>372</v>
      </c>
      <c r="D223" s="721">
        <v>10</v>
      </c>
      <c r="E223" s="722" t="s">
        <v>368</v>
      </c>
      <c r="F223" s="720">
        <v>0</v>
      </c>
      <c r="G223" s="720">
        <v>0</v>
      </c>
    </row>
    <row r="224" spans="1:7" ht="14.25" thickTop="1" thickBot="1">
      <c r="A224" s="717">
        <v>7</v>
      </c>
      <c r="B224" s="711" t="s">
        <v>27</v>
      </c>
      <c r="C224" s="711" t="s">
        <v>373</v>
      </c>
      <c r="D224" s="721">
        <v>10</v>
      </c>
      <c r="E224" s="722" t="s">
        <v>368</v>
      </c>
      <c r="F224" s="720">
        <v>0</v>
      </c>
      <c r="G224" s="720">
        <v>0</v>
      </c>
    </row>
    <row r="225" spans="1:7" ht="14.25" thickTop="1" thickBot="1">
      <c r="A225" s="717">
        <v>8</v>
      </c>
      <c r="B225" s="711" t="s">
        <v>28</v>
      </c>
      <c r="C225" s="711" t="s">
        <v>372</v>
      </c>
      <c r="D225" s="721">
        <v>10</v>
      </c>
      <c r="E225" s="722" t="s">
        <v>368</v>
      </c>
      <c r="F225" s="720">
        <v>0</v>
      </c>
      <c r="G225" s="720">
        <v>0</v>
      </c>
    </row>
    <row r="226" spans="1:7" ht="14.25" thickTop="1" thickBot="1">
      <c r="A226" s="717">
        <v>9</v>
      </c>
      <c r="B226" s="711" t="s">
        <v>29</v>
      </c>
      <c r="C226" s="711" t="s">
        <v>373</v>
      </c>
      <c r="D226" s="721">
        <v>10</v>
      </c>
      <c r="E226" s="722" t="s">
        <v>368</v>
      </c>
      <c r="F226" s="720">
        <v>0</v>
      </c>
      <c r="G226" s="720">
        <v>0</v>
      </c>
    </row>
    <row r="227" spans="1:7" ht="14.25" thickTop="1" thickBot="1">
      <c r="A227" s="717">
        <v>10</v>
      </c>
      <c r="B227" s="711" t="s">
        <v>30</v>
      </c>
      <c r="C227" s="711" t="s">
        <v>373</v>
      </c>
      <c r="D227" s="721">
        <v>10</v>
      </c>
      <c r="E227" s="722" t="s">
        <v>368</v>
      </c>
      <c r="F227" s="720">
        <v>0</v>
      </c>
      <c r="G227" s="720">
        <v>0</v>
      </c>
    </row>
    <row r="228" spans="1:7" ht="14.25" thickTop="1" thickBot="1">
      <c r="A228" s="717">
        <v>11</v>
      </c>
      <c r="B228" s="711" t="s">
        <v>31</v>
      </c>
      <c r="C228" s="711" t="s">
        <v>372</v>
      </c>
      <c r="D228" s="721">
        <v>10</v>
      </c>
      <c r="E228" s="722" t="s">
        <v>368</v>
      </c>
      <c r="F228" s="720">
        <v>0</v>
      </c>
      <c r="G228" s="720">
        <v>0</v>
      </c>
    </row>
    <row r="229" spans="1:7" ht="14.25" thickTop="1" thickBot="1">
      <c r="A229" s="717">
        <v>12</v>
      </c>
      <c r="B229" s="711" t="s">
        <v>32</v>
      </c>
      <c r="C229" s="711" t="s">
        <v>373</v>
      </c>
      <c r="D229" s="721">
        <v>10</v>
      </c>
      <c r="E229" s="722" t="s">
        <v>368</v>
      </c>
      <c r="F229" s="720">
        <v>0</v>
      </c>
      <c r="G229" s="720">
        <v>0</v>
      </c>
    </row>
    <row r="230" spans="1:7" ht="14.25" thickTop="1" thickBot="1">
      <c r="A230" s="717">
        <v>13</v>
      </c>
      <c r="B230" s="711" t="s">
        <v>21</v>
      </c>
      <c r="C230" s="711" t="s">
        <v>372</v>
      </c>
      <c r="D230" s="721">
        <v>10</v>
      </c>
      <c r="E230" s="722" t="s">
        <v>368</v>
      </c>
      <c r="F230" s="720">
        <v>0</v>
      </c>
      <c r="G230" s="720">
        <v>0</v>
      </c>
    </row>
    <row r="231" spans="1:7" ht="14.25" thickTop="1" thickBot="1">
      <c r="A231" s="717">
        <v>14</v>
      </c>
      <c r="B231" s="711" t="s">
        <v>22</v>
      </c>
      <c r="C231" s="711" t="s">
        <v>372</v>
      </c>
      <c r="D231" s="721">
        <v>10</v>
      </c>
      <c r="E231" s="722" t="s">
        <v>368</v>
      </c>
      <c r="F231" s="720">
        <v>0</v>
      </c>
      <c r="G231" s="720">
        <v>0</v>
      </c>
    </row>
    <row r="232" spans="1:7" ht="14.25" thickTop="1" thickBot="1">
      <c r="A232" s="717">
        <v>15</v>
      </c>
      <c r="B232" s="711" t="s">
        <v>23</v>
      </c>
      <c r="C232" s="711" t="s">
        <v>372</v>
      </c>
      <c r="D232" s="721">
        <v>10</v>
      </c>
      <c r="E232" s="722" t="s">
        <v>368</v>
      </c>
      <c r="F232" s="720">
        <v>0</v>
      </c>
      <c r="G232" s="720">
        <v>0</v>
      </c>
    </row>
    <row r="233" spans="1:7" ht="14.25" thickTop="1" thickBot="1">
      <c r="A233" s="717">
        <v>16</v>
      </c>
      <c r="B233" s="711" t="s">
        <v>24</v>
      </c>
      <c r="C233" s="711" t="s">
        <v>372</v>
      </c>
      <c r="D233" s="721">
        <v>10</v>
      </c>
      <c r="E233" s="722" t="s">
        <v>368</v>
      </c>
      <c r="F233" s="720">
        <v>0</v>
      </c>
      <c r="G233" s="720">
        <v>0</v>
      </c>
    </row>
    <row r="234" spans="1:7" ht="14.25" thickTop="1" thickBot="1">
      <c r="A234" s="717">
        <v>17</v>
      </c>
      <c r="B234" s="711" t="s">
        <v>25</v>
      </c>
      <c r="C234" s="711" t="s">
        <v>373</v>
      </c>
      <c r="D234" s="721">
        <v>10</v>
      </c>
      <c r="E234" s="722" t="s">
        <v>368</v>
      </c>
      <c r="F234" s="720">
        <v>0</v>
      </c>
      <c r="G234" s="720">
        <v>0</v>
      </c>
    </row>
    <row r="235" spans="1:7" ht="14.25" thickTop="1" thickBot="1">
      <c r="A235" s="717">
        <v>18</v>
      </c>
      <c r="B235" s="711" t="s">
        <v>26</v>
      </c>
      <c r="C235" s="711" t="s">
        <v>372</v>
      </c>
      <c r="D235" s="721">
        <v>10</v>
      </c>
      <c r="E235" s="722" t="s">
        <v>368</v>
      </c>
      <c r="F235" s="720">
        <v>0</v>
      </c>
      <c r="G235" s="720">
        <v>0</v>
      </c>
    </row>
    <row r="236" spans="1:7" ht="14.25" thickTop="1" thickBot="1">
      <c r="A236" s="717">
        <v>19</v>
      </c>
      <c r="B236" s="711" t="s">
        <v>27</v>
      </c>
      <c r="C236" s="711" t="s">
        <v>373</v>
      </c>
      <c r="D236" s="721">
        <v>10</v>
      </c>
      <c r="E236" s="722" t="s">
        <v>368</v>
      </c>
      <c r="F236" s="720">
        <v>0</v>
      </c>
      <c r="G236" s="720">
        <v>0</v>
      </c>
    </row>
    <row r="237" spans="1:7" ht="14.25" thickTop="1" thickBot="1">
      <c r="A237" s="717">
        <v>20</v>
      </c>
      <c r="B237" s="711" t="s">
        <v>28</v>
      </c>
      <c r="C237" s="711" t="s">
        <v>372</v>
      </c>
      <c r="D237" s="721">
        <v>10</v>
      </c>
      <c r="E237" s="722" t="s">
        <v>368</v>
      </c>
      <c r="F237" s="720">
        <v>0</v>
      </c>
      <c r="G237" s="720">
        <v>0</v>
      </c>
    </row>
    <row r="238" spans="1:7" ht="14.25" thickTop="1" thickBot="1">
      <c r="A238" s="717">
        <v>21</v>
      </c>
      <c r="B238" s="711" t="s">
        <v>29</v>
      </c>
      <c r="C238" s="711" t="s">
        <v>373</v>
      </c>
      <c r="D238" s="721">
        <v>10</v>
      </c>
      <c r="E238" s="722" t="s">
        <v>368</v>
      </c>
      <c r="F238" s="720">
        <v>0</v>
      </c>
      <c r="G238" s="720">
        <v>0</v>
      </c>
    </row>
    <row r="239" spans="1:7" ht="14.25" thickTop="1" thickBot="1">
      <c r="A239" s="717">
        <v>22</v>
      </c>
      <c r="B239" s="711" t="s">
        <v>30</v>
      </c>
      <c r="C239" s="711" t="s">
        <v>373</v>
      </c>
      <c r="D239" s="721">
        <v>10</v>
      </c>
      <c r="E239" s="722" t="s">
        <v>368</v>
      </c>
      <c r="F239" s="720">
        <v>0</v>
      </c>
      <c r="G239" s="720">
        <v>0</v>
      </c>
    </row>
    <row r="240" spans="1:7" ht="14.25" thickTop="1" thickBot="1">
      <c r="A240" s="717">
        <v>23</v>
      </c>
      <c r="B240" s="711" t="s">
        <v>31</v>
      </c>
      <c r="C240" s="711" t="s">
        <v>372</v>
      </c>
      <c r="D240" s="721">
        <v>10</v>
      </c>
      <c r="E240" s="722" t="s">
        <v>368</v>
      </c>
      <c r="F240" s="720">
        <v>0</v>
      </c>
      <c r="G240" s="720">
        <v>0</v>
      </c>
    </row>
    <row r="241" spans="1:7" ht="14.25" thickTop="1" thickBot="1">
      <c r="A241" s="717">
        <v>24</v>
      </c>
      <c r="B241" s="723" t="s">
        <v>32</v>
      </c>
      <c r="C241" s="723" t="s">
        <v>373</v>
      </c>
      <c r="D241" s="721">
        <v>10</v>
      </c>
      <c r="E241" s="722" t="s">
        <v>368</v>
      </c>
      <c r="F241" s="720">
        <v>0</v>
      </c>
      <c r="G241" s="720">
        <v>0</v>
      </c>
    </row>
    <row r="242" spans="1:7" ht="14.25" thickTop="1" thickBot="1">
      <c r="A242" s="717">
        <v>1</v>
      </c>
      <c r="B242" s="711" t="s">
        <v>21</v>
      </c>
      <c r="C242" s="711" t="s">
        <v>372</v>
      </c>
      <c r="D242" s="721">
        <v>11</v>
      </c>
      <c r="E242" s="722" t="s">
        <v>369</v>
      </c>
      <c r="F242" s="720">
        <v>0</v>
      </c>
      <c r="G242" s="720">
        <v>0</v>
      </c>
    </row>
    <row r="243" spans="1:7" ht="14.25" thickTop="1" thickBot="1">
      <c r="A243" s="717">
        <v>2</v>
      </c>
      <c r="B243" s="711" t="s">
        <v>22</v>
      </c>
      <c r="C243" s="711" t="s">
        <v>372</v>
      </c>
      <c r="D243" s="721">
        <v>11</v>
      </c>
      <c r="E243" s="722" t="s">
        <v>369</v>
      </c>
      <c r="F243" s="720">
        <v>0</v>
      </c>
      <c r="G243" s="720">
        <v>0</v>
      </c>
    </row>
    <row r="244" spans="1:7" ht="14.25" thickTop="1" thickBot="1">
      <c r="A244" s="717">
        <v>3</v>
      </c>
      <c r="B244" s="711" t="s">
        <v>23</v>
      </c>
      <c r="C244" s="711" t="s">
        <v>372</v>
      </c>
      <c r="D244" s="721">
        <v>11</v>
      </c>
      <c r="E244" s="722" t="s">
        <v>369</v>
      </c>
      <c r="F244" s="720">
        <v>0</v>
      </c>
      <c r="G244" s="720">
        <v>0</v>
      </c>
    </row>
    <row r="245" spans="1:7" ht="14.25" thickTop="1" thickBot="1">
      <c r="A245" s="717">
        <v>4</v>
      </c>
      <c r="B245" s="711" t="s">
        <v>24</v>
      </c>
      <c r="C245" s="711" t="s">
        <v>372</v>
      </c>
      <c r="D245" s="721">
        <v>11</v>
      </c>
      <c r="E245" s="722" t="s">
        <v>369</v>
      </c>
      <c r="F245" s="720">
        <v>0</v>
      </c>
      <c r="G245" s="720">
        <v>0</v>
      </c>
    </row>
    <row r="246" spans="1:7" ht="14.25" thickTop="1" thickBot="1">
      <c r="A246" s="717">
        <v>5</v>
      </c>
      <c r="B246" s="711" t="s">
        <v>25</v>
      </c>
      <c r="C246" s="711" t="s">
        <v>373</v>
      </c>
      <c r="D246" s="721">
        <v>11</v>
      </c>
      <c r="E246" s="722" t="s">
        <v>369</v>
      </c>
      <c r="F246" s="720">
        <v>0</v>
      </c>
      <c r="G246" s="720">
        <v>0</v>
      </c>
    </row>
    <row r="247" spans="1:7" ht="14.25" thickTop="1" thickBot="1">
      <c r="A247" s="717">
        <v>6</v>
      </c>
      <c r="B247" s="711" t="s">
        <v>26</v>
      </c>
      <c r="C247" s="711" t="s">
        <v>372</v>
      </c>
      <c r="D247" s="721">
        <v>11</v>
      </c>
      <c r="E247" s="722" t="s">
        <v>369</v>
      </c>
      <c r="F247" s="720">
        <v>0</v>
      </c>
      <c r="G247" s="720">
        <v>0</v>
      </c>
    </row>
    <row r="248" spans="1:7" ht="14.25" thickTop="1" thickBot="1">
      <c r="A248" s="717">
        <v>7</v>
      </c>
      <c r="B248" s="711" t="s">
        <v>27</v>
      </c>
      <c r="C248" s="711" t="s">
        <v>373</v>
      </c>
      <c r="D248" s="721">
        <v>11</v>
      </c>
      <c r="E248" s="722" t="s">
        <v>369</v>
      </c>
      <c r="F248" s="720">
        <v>0</v>
      </c>
      <c r="G248" s="720">
        <v>0</v>
      </c>
    </row>
    <row r="249" spans="1:7" ht="14.25" thickTop="1" thickBot="1">
      <c r="A249" s="717">
        <v>8</v>
      </c>
      <c r="B249" s="711" t="s">
        <v>28</v>
      </c>
      <c r="C249" s="711" t="s">
        <v>372</v>
      </c>
      <c r="D249" s="721">
        <v>11</v>
      </c>
      <c r="E249" s="722" t="s">
        <v>369</v>
      </c>
      <c r="F249" s="720">
        <v>0</v>
      </c>
      <c r="G249" s="720">
        <v>0</v>
      </c>
    </row>
    <row r="250" spans="1:7" ht="14.25" thickTop="1" thickBot="1">
      <c r="A250" s="717">
        <v>9</v>
      </c>
      <c r="B250" s="711" t="s">
        <v>29</v>
      </c>
      <c r="C250" s="711" t="s">
        <v>373</v>
      </c>
      <c r="D250" s="721">
        <v>11</v>
      </c>
      <c r="E250" s="722" t="s">
        <v>369</v>
      </c>
      <c r="F250" s="720">
        <v>0</v>
      </c>
      <c r="G250" s="720">
        <v>0</v>
      </c>
    </row>
    <row r="251" spans="1:7" ht="14.25" thickTop="1" thickBot="1">
      <c r="A251" s="717">
        <v>10</v>
      </c>
      <c r="B251" s="711" t="s">
        <v>30</v>
      </c>
      <c r="C251" s="711" t="s">
        <v>373</v>
      </c>
      <c r="D251" s="721">
        <v>11</v>
      </c>
      <c r="E251" s="722" t="s">
        <v>369</v>
      </c>
      <c r="F251" s="720">
        <v>0</v>
      </c>
      <c r="G251" s="720">
        <v>0</v>
      </c>
    </row>
    <row r="252" spans="1:7" ht="14.25" thickTop="1" thickBot="1">
      <c r="A252" s="717">
        <v>11</v>
      </c>
      <c r="B252" s="711" t="s">
        <v>31</v>
      </c>
      <c r="C252" s="711" t="s">
        <v>372</v>
      </c>
      <c r="D252" s="721">
        <v>11</v>
      </c>
      <c r="E252" s="722" t="s">
        <v>369</v>
      </c>
      <c r="F252" s="720">
        <v>0</v>
      </c>
      <c r="G252" s="720">
        <v>0</v>
      </c>
    </row>
    <row r="253" spans="1:7" ht="14.25" thickTop="1" thickBot="1">
      <c r="A253" s="717">
        <v>12</v>
      </c>
      <c r="B253" s="711" t="s">
        <v>32</v>
      </c>
      <c r="C253" s="711" t="s">
        <v>373</v>
      </c>
      <c r="D253" s="721">
        <v>11</v>
      </c>
      <c r="E253" s="722" t="s">
        <v>369</v>
      </c>
      <c r="F253" s="720">
        <v>0</v>
      </c>
      <c r="G253" s="720">
        <v>0</v>
      </c>
    </row>
    <row r="254" spans="1:7" ht="14.25" thickTop="1" thickBot="1">
      <c r="A254" s="717">
        <v>13</v>
      </c>
      <c r="B254" s="711" t="s">
        <v>21</v>
      </c>
      <c r="C254" s="711" t="s">
        <v>372</v>
      </c>
      <c r="D254" s="721">
        <v>11</v>
      </c>
      <c r="E254" s="722" t="s">
        <v>369</v>
      </c>
      <c r="F254" s="720">
        <v>0</v>
      </c>
      <c r="G254" s="720">
        <v>0</v>
      </c>
    </row>
    <row r="255" spans="1:7" ht="14.25" thickTop="1" thickBot="1">
      <c r="A255" s="717">
        <v>14</v>
      </c>
      <c r="B255" s="711" t="s">
        <v>22</v>
      </c>
      <c r="C255" s="711" t="s">
        <v>372</v>
      </c>
      <c r="D255" s="721">
        <v>11</v>
      </c>
      <c r="E255" s="722" t="s">
        <v>369</v>
      </c>
      <c r="F255" s="720">
        <v>0</v>
      </c>
      <c r="G255" s="720">
        <v>0</v>
      </c>
    </row>
    <row r="256" spans="1:7" ht="14.25" thickTop="1" thickBot="1">
      <c r="A256" s="717">
        <v>15</v>
      </c>
      <c r="B256" s="711" t="s">
        <v>23</v>
      </c>
      <c r="C256" s="711" t="s">
        <v>372</v>
      </c>
      <c r="D256" s="721">
        <v>11</v>
      </c>
      <c r="E256" s="722" t="s">
        <v>369</v>
      </c>
      <c r="F256" s="720">
        <v>0</v>
      </c>
      <c r="G256" s="720">
        <v>0</v>
      </c>
    </row>
    <row r="257" spans="1:7" ht="14.25" thickTop="1" thickBot="1">
      <c r="A257" s="717">
        <v>16</v>
      </c>
      <c r="B257" s="711" t="s">
        <v>24</v>
      </c>
      <c r="C257" s="711" t="s">
        <v>372</v>
      </c>
      <c r="D257" s="721">
        <v>11</v>
      </c>
      <c r="E257" s="722" t="s">
        <v>369</v>
      </c>
      <c r="F257" s="720">
        <v>0</v>
      </c>
      <c r="G257" s="720">
        <v>0</v>
      </c>
    </row>
    <row r="258" spans="1:7" ht="14.25" thickTop="1" thickBot="1">
      <c r="A258" s="717">
        <v>17</v>
      </c>
      <c r="B258" s="711" t="s">
        <v>25</v>
      </c>
      <c r="C258" s="711" t="s">
        <v>373</v>
      </c>
      <c r="D258" s="721">
        <v>11</v>
      </c>
      <c r="E258" s="722" t="s">
        <v>369</v>
      </c>
      <c r="F258" s="720">
        <v>0</v>
      </c>
      <c r="G258" s="720">
        <v>0</v>
      </c>
    </row>
    <row r="259" spans="1:7" ht="14.25" thickTop="1" thickBot="1">
      <c r="A259" s="717">
        <v>18</v>
      </c>
      <c r="B259" s="711" t="s">
        <v>26</v>
      </c>
      <c r="C259" s="711" t="s">
        <v>372</v>
      </c>
      <c r="D259" s="721">
        <v>11</v>
      </c>
      <c r="E259" s="722" t="s">
        <v>369</v>
      </c>
      <c r="F259" s="720">
        <v>0</v>
      </c>
      <c r="G259" s="720">
        <v>0</v>
      </c>
    </row>
    <row r="260" spans="1:7" ht="14.25" thickTop="1" thickBot="1">
      <c r="A260" s="717">
        <v>19</v>
      </c>
      <c r="B260" s="711" t="s">
        <v>27</v>
      </c>
      <c r="C260" s="711" t="s">
        <v>373</v>
      </c>
      <c r="D260" s="721">
        <v>11</v>
      </c>
      <c r="E260" s="722" t="s">
        <v>369</v>
      </c>
      <c r="F260" s="720">
        <v>0</v>
      </c>
      <c r="G260" s="720">
        <v>0</v>
      </c>
    </row>
    <row r="261" spans="1:7" ht="14.25" thickTop="1" thickBot="1">
      <c r="A261" s="717">
        <v>20</v>
      </c>
      <c r="B261" s="711" t="s">
        <v>28</v>
      </c>
      <c r="C261" s="711" t="s">
        <v>372</v>
      </c>
      <c r="D261" s="721">
        <v>11</v>
      </c>
      <c r="E261" s="722" t="s">
        <v>369</v>
      </c>
      <c r="F261" s="720">
        <v>0</v>
      </c>
      <c r="G261" s="720">
        <v>0</v>
      </c>
    </row>
    <row r="262" spans="1:7" ht="14.25" thickTop="1" thickBot="1">
      <c r="A262" s="717">
        <v>21</v>
      </c>
      <c r="B262" s="711" t="s">
        <v>29</v>
      </c>
      <c r="C262" s="711" t="s">
        <v>373</v>
      </c>
      <c r="D262" s="721">
        <v>11</v>
      </c>
      <c r="E262" s="722" t="s">
        <v>369</v>
      </c>
      <c r="F262" s="720">
        <v>0</v>
      </c>
      <c r="G262" s="720">
        <v>0</v>
      </c>
    </row>
    <row r="263" spans="1:7" ht="14.25" thickTop="1" thickBot="1">
      <c r="A263" s="717">
        <v>22</v>
      </c>
      <c r="B263" s="711" t="s">
        <v>30</v>
      </c>
      <c r="C263" s="711" t="s">
        <v>373</v>
      </c>
      <c r="D263" s="721">
        <v>11</v>
      </c>
      <c r="E263" s="722" t="s">
        <v>369</v>
      </c>
      <c r="F263" s="720">
        <v>0</v>
      </c>
      <c r="G263" s="720">
        <v>0</v>
      </c>
    </row>
    <row r="264" spans="1:7" ht="14.25" thickTop="1" thickBot="1">
      <c r="A264" s="717">
        <v>23</v>
      </c>
      <c r="B264" s="711" t="s">
        <v>31</v>
      </c>
      <c r="C264" s="711" t="s">
        <v>372</v>
      </c>
      <c r="D264" s="721">
        <v>11</v>
      </c>
      <c r="E264" s="722" t="s">
        <v>369</v>
      </c>
      <c r="F264" s="720">
        <v>0</v>
      </c>
      <c r="G264" s="720">
        <v>0</v>
      </c>
    </row>
    <row r="265" spans="1:7" ht="14.25" thickTop="1" thickBot="1">
      <c r="A265" s="717">
        <v>24</v>
      </c>
      <c r="B265" s="723" t="s">
        <v>32</v>
      </c>
      <c r="C265" s="723" t="s">
        <v>373</v>
      </c>
      <c r="D265" s="721">
        <v>11</v>
      </c>
      <c r="E265" s="722" t="s">
        <v>369</v>
      </c>
      <c r="F265" s="720">
        <v>0</v>
      </c>
      <c r="G265" s="720">
        <v>0</v>
      </c>
    </row>
    <row r="266" spans="1:7" ht="14.25" thickTop="1" thickBot="1">
      <c r="A266" s="717">
        <v>1</v>
      </c>
      <c r="B266" s="711" t="s">
        <v>21</v>
      </c>
      <c r="C266" s="711" t="s">
        <v>372</v>
      </c>
      <c r="D266" s="721">
        <v>12</v>
      </c>
      <c r="E266" s="722" t="s">
        <v>370</v>
      </c>
      <c r="F266" s="720">
        <v>0</v>
      </c>
      <c r="G266" s="720">
        <v>0</v>
      </c>
    </row>
    <row r="267" spans="1:7" ht="14.25" thickTop="1" thickBot="1">
      <c r="A267" s="717">
        <v>2</v>
      </c>
      <c r="B267" s="711" t="s">
        <v>22</v>
      </c>
      <c r="C267" s="711" t="s">
        <v>372</v>
      </c>
      <c r="D267" s="721">
        <v>12</v>
      </c>
      <c r="E267" s="722" t="s">
        <v>370</v>
      </c>
      <c r="F267" s="720">
        <v>0</v>
      </c>
      <c r="G267" s="720">
        <v>0</v>
      </c>
    </row>
    <row r="268" spans="1:7" ht="14.25" thickTop="1" thickBot="1">
      <c r="A268" s="717">
        <v>3</v>
      </c>
      <c r="B268" s="711" t="s">
        <v>23</v>
      </c>
      <c r="C268" s="711" t="s">
        <v>372</v>
      </c>
      <c r="D268" s="721">
        <v>12</v>
      </c>
      <c r="E268" s="722" t="s">
        <v>370</v>
      </c>
      <c r="F268" s="720">
        <v>0</v>
      </c>
      <c r="G268" s="720">
        <v>0</v>
      </c>
    </row>
    <row r="269" spans="1:7" ht="14.25" thickTop="1" thickBot="1">
      <c r="A269" s="717">
        <v>4</v>
      </c>
      <c r="B269" s="711" t="s">
        <v>24</v>
      </c>
      <c r="C269" s="711" t="s">
        <v>372</v>
      </c>
      <c r="D269" s="721">
        <v>12</v>
      </c>
      <c r="E269" s="722" t="s">
        <v>370</v>
      </c>
      <c r="F269" s="720">
        <v>0</v>
      </c>
      <c r="G269" s="720">
        <v>0</v>
      </c>
    </row>
    <row r="270" spans="1:7" ht="14.25" thickTop="1" thickBot="1">
      <c r="A270" s="717">
        <v>5</v>
      </c>
      <c r="B270" s="711" t="s">
        <v>25</v>
      </c>
      <c r="C270" s="711" t="s">
        <v>373</v>
      </c>
      <c r="D270" s="721">
        <v>12</v>
      </c>
      <c r="E270" s="722" t="s">
        <v>370</v>
      </c>
      <c r="F270" s="720">
        <v>0</v>
      </c>
      <c r="G270" s="720">
        <v>0</v>
      </c>
    </row>
    <row r="271" spans="1:7" ht="14.25" thickTop="1" thickBot="1">
      <c r="A271" s="717">
        <v>6</v>
      </c>
      <c r="B271" s="711" t="s">
        <v>26</v>
      </c>
      <c r="C271" s="711" t="s">
        <v>372</v>
      </c>
      <c r="D271" s="721">
        <v>12</v>
      </c>
      <c r="E271" s="722" t="s">
        <v>370</v>
      </c>
      <c r="F271" s="720">
        <v>0</v>
      </c>
      <c r="G271" s="720">
        <v>0</v>
      </c>
    </row>
    <row r="272" spans="1:7" ht="14.25" thickTop="1" thickBot="1">
      <c r="A272" s="717">
        <v>7</v>
      </c>
      <c r="B272" s="711" t="s">
        <v>27</v>
      </c>
      <c r="C272" s="711" t="s">
        <v>373</v>
      </c>
      <c r="D272" s="721">
        <v>12</v>
      </c>
      <c r="E272" s="722" t="s">
        <v>370</v>
      </c>
      <c r="F272" s="720">
        <v>0</v>
      </c>
      <c r="G272" s="720">
        <v>0</v>
      </c>
    </row>
    <row r="273" spans="1:7" ht="14.25" thickTop="1" thickBot="1">
      <c r="A273" s="717">
        <v>8</v>
      </c>
      <c r="B273" s="711" t="s">
        <v>28</v>
      </c>
      <c r="C273" s="711" t="s">
        <v>372</v>
      </c>
      <c r="D273" s="721">
        <v>12</v>
      </c>
      <c r="E273" s="722" t="s">
        <v>370</v>
      </c>
      <c r="F273" s="720">
        <v>0</v>
      </c>
      <c r="G273" s="720">
        <v>0</v>
      </c>
    </row>
    <row r="274" spans="1:7" ht="14.25" thickTop="1" thickBot="1">
      <c r="A274" s="717">
        <v>9</v>
      </c>
      <c r="B274" s="711" t="s">
        <v>29</v>
      </c>
      <c r="C274" s="711" t="s">
        <v>373</v>
      </c>
      <c r="D274" s="721">
        <v>12</v>
      </c>
      <c r="E274" s="722" t="s">
        <v>370</v>
      </c>
      <c r="F274" s="720">
        <v>0</v>
      </c>
      <c r="G274" s="720">
        <v>0</v>
      </c>
    </row>
    <row r="275" spans="1:7" ht="14.25" thickTop="1" thickBot="1">
      <c r="A275" s="717">
        <v>10</v>
      </c>
      <c r="B275" s="711" t="s">
        <v>30</v>
      </c>
      <c r="C275" s="711" t="s">
        <v>373</v>
      </c>
      <c r="D275" s="721">
        <v>12</v>
      </c>
      <c r="E275" s="722" t="s">
        <v>370</v>
      </c>
      <c r="F275" s="720">
        <v>0</v>
      </c>
      <c r="G275" s="720">
        <v>0</v>
      </c>
    </row>
    <row r="276" spans="1:7" ht="14.25" thickTop="1" thickBot="1">
      <c r="A276" s="717">
        <v>11</v>
      </c>
      <c r="B276" s="711" t="s">
        <v>31</v>
      </c>
      <c r="C276" s="711" t="s">
        <v>372</v>
      </c>
      <c r="D276" s="721">
        <v>12</v>
      </c>
      <c r="E276" s="722" t="s">
        <v>370</v>
      </c>
      <c r="F276" s="720">
        <v>0</v>
      </c>
      <c r="G276" s="720">
        <v>0</v>
      </c>
    </row>
    <row r="277" spans="1:7" ht="14.25" thickTop="1" thickBot="1">
      <c r="A277" s="717">
        <v>12</v>
      </c>
      <c r="B277" s="711" t="s">
        <v>32</v>
      </c>
      <c r="C277" s="711" t="s">
        <v>373</v>
      </c>
      <c r="D277" s="721">
        <v>12</v>
      </c>
      <c r="E277" s="722" t="s">
        <v>370</v>
      </c>
      <c r="F277" s="720">
        <v>0</v>
      </c>
      <c r="G277" s="720">
        <v>0</v>
      </c>
    </row>
    <row r="278" spans="1:7" ht="14.25" thickTop="1" thickBot="1">
      <c r="A278" s="717">
        <v>13</v>
      </c>
      <c r="B278" s="711" t="s">
        <v>21</v>
      </c>
      <c r="C278" s="711" t="s">
        <v>372</v>
      </c>
      <c r="D278" s="721">
        <v>12</v>
      </c>
      <c r="E278" s="722" t="s">
        <v>370</v>
      </c>
      <c r="F278" s="720">
        <v>0</v>
      </c>
      <c r="G278" s="720">
        <v>0</v>
      </c>
    </row>
    <row r="279" spans="1:7" ht="14.25" thickTop="1" thickBot="1">
      <c r="A279" s="717">
        <v>14</v>
      </c>
      <c r="B279" s="711" t="s">
        <v>22</v>
      </c>
      <c r="C279" s="711" t="s">
        <v>372</v>
      </c>
      <c r="D279" s="721">
        <v>12</v>
      </c>
      <c r="E279" s="722" t="s">
        <v>370</v>
      </c>
      <c r="F279" s="720">
        <v>0</v>
      </c>
      <c r="G279" s="720">
        <v>0</v>
      </c>
    </row>
    <row r="280" spans="1:7" ht="14.25" thickTop="1" thickBot="1">
      <c r="A280" s="717">
        <v>15</v>
      </c>
      <c r="B280" s="711" t="s">
        <v>23</v>
      </c>
      <c r="C280" s="711" t="s">
        <v>372</v>
      </c>
      <c r="D280" s="721">
        <v>12</v>
      </c>
      <c r="E280" s="722" t="s">
        <v>370</v>
      </c>
      <c r="F280" s="720">
        <v>0</v>
      </c>
      <c r="G280" s="720">
        <v>0</v>
      </c>
    </row>
    <row r="281" spans="1:7" ht="14.25" thickTop="1" thickBot="1">
      <c r="A281" s="717">
        <v>16</v>
      </c>
      <c r="B281" s="711" t="s">
        <v>24</v>
      </c>
      <c r="C281" s="711" t="s">
        <v>372</v>
      </c>
      <c r="D281" s="721">
        <v>12</v>
      </c>
      <c r="E281" s="722" t="s">
        <v>370</v>
      </c>
      <c r="F281" s="720">
        <v>0</v>
      </c>
      <c r="G281" s="720">
        <v>0</v>
      </c>
    </row>
    <row r="282" spans="1:7" ht="14.25" thickTop="1" thickBot="1">
      <c r="A282" s="717">
        <v>17</v>
      </c>
      <c r="B282" s="711" t="s">
        <v>25</v>
      </c>
      <c r="C282" s="711" t="s">
        <v>373</v>
      </c>
      <c r="D282" s="721">
        <v>12</v>
      </c>
      <c r="E282" s="722" t="s">
        <v>370</v>
      </c>
      <c r="F282" s="720">
        <v>0</v>
      </c>
      <c r="G282" s="720">
        <v>0</v>
      </c>
    </row>
    <row r="283" spans="1:7" ht="14.25" thickTop="1" thickBot="1">
      <c r="A283" s="717">
        <v>18</v>
      </c>
      <c r="B283" s="711" t="s">
        <v>26</v>
      </c>
      <c r="C283" s="711" t="s">
        <v>372</v>
      </c>
      <c r="D283" s="721">
        <v>12</v>
      </c>
      <c r="E283" s="722" t="s">
        <v>370</v>
      </c>
      <c r="F283" s="720">
        <v>0</v>
      </c>
      <c r="G283" s="720">
        <v>0</v>
      </c>
    </row>
    <row r="284" spans="1:7" ht="14.25" thickTop="1" thickBot="1">
      <c r="A284" s="717">
        <v>19</v>
      </c>
      <c r="B284" s="711" t="s">
        <v>27</v>
      </c>
      <c r="C284" s="711" t="s">
        <v>373</v>
      </c>
      <c r="D284" s="721">
        <v>12</v>
      </c>
      <c r="E284" s="722" t="s">
        <v>370</v>
      </c>
      <c r="F284" s="720">
        <v>0</v>
      </c>
      <c r="G284" s="720">
        <v>0</v>
      </c>
    </row>
    <row r="285" spans="1:7" ht="14.25" thickTop="1" thickBot="1">
      <c r="A285" s="717">
        <v>20</v>
      </c>
      <c r="B285" s="711" t="s">
        <v>28</v>
      </c>
      <c r="C285" s="711" t="s">
        <v>372</v>
      </c>
      <c r="D285" s="721">
        <v>12</v>
      </c>
      <c r="E285" s="722" t="s">
        <v>370</v>
      </c>
      <c r="F285" s="720">
        <v>0</v>
      </c>
      <c r="G285" s="720">
        <v>0</v>
      </c>
    </row>
    <row r="286" spans="1:7" ht="14.25" thickTop="1" thickBot="1">
      <c r="A286" s="717">
        <v>21</v>
      </c>
      <c r="B286" s="711" t="s">
        <v>29</v>
      </c>
      <c r="C286" s="711" t="s">
        <v>373</v>
      </c>
      <c r="D286" s="721">
        <v>12</v>
      </c>
      <c r="E286" s="722" t="s">
        <v>370</v>
      </c>
      <c r="F286" s="720">
        <v>0</v>
      </c>
      <c r="G286" s="720">
        <v>0</v>
      </c>
    </row>
    <row r="287" spans="1:7" ht="14.25" thickTop="1" thickBot="1">
      <c r="A287" s="717">
        <v>22</v>
      </c>
      <c r="B287" s="711" t="s">
        <v>30</v>
      </c>
      <c r="C287" s="711" t="s">
        <v>373</v>
      </c>
      <c r="D287" s="721">
        <v>12</v>
      </c>
      <c r="E287" s="722" t="s">
        <v>370</v>
      </c>
      <c r="F287" s="720">
        <v>0</v>
      </c>
      <c r="G287" s="720">
        <v>0</v>
      </c>
    </row>
    <row r="288" spans="1:7" ht="14.25" thickTop="1" thickBot="1">
      <c r="A288" s="717">
        <v>23</v>
      </c>
      <c r="B288" s="711" t="s">
        <v>31</v>
      </c>
      <c r="C288" s="711" t="s">
        <v>372</v>
      </c>
      <c r="D288" s="721">
        <v>12</v>
      </c>
      <c r="E288" s="722" t="s">
        <v>370</v>
      </c>
      <c r="F288" s="720">
        <v>0</v>
      </c>
      <c r="G288" s="720">
        <v>0</v>
      </c>
    </row>
    <row r="289" spans="1:7" ht="13.5" thickTop="1">
      <c r="A289" s="717">
        <v>24</v>
      </c>
      <c r="B289" s="711" t="s">
        <v>32</v>
      </c>
      <c r="C289" s="711" t="s">
        <v>373</v>
      </c>
      <c r="D289" s="721">
        <v>12</v>
      </c>
      <c r="E289" s="722" t="s">
        <v>370</v>
      </c>
      <c r="F289" s="720">
        <v>0</v>
      </c>
      <c r="G289" s="720">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28"/>
  <sheetViews>
    <sheetView topLeftCell="A19" zoomScaleNormal="100" zoomScaleSheetLayoutView="100" workbookViewId="0">
      <selection activeCell="I29" sqref="I29"/>
    </sheetView>
  </sheetViews>
  <sheetFormatPr defaultColWidth="9.140625" defaultRowHeight="12.75"/>
  <cols>
    <col min="1" max="1" width="33.5703125" customWidth="1"/>
    <col min="2" max="2" width="8.28515625" customWidth="1"/>
    <col min="3" max="3" width="9.1406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80" customWidth="1"/>
    <col min="15" max="15" width="149.5703125" customWidth="1"/>
  </cols>
  <sheetData>
    <row r="2" spans="1:15">
      <c r="A2" s="54"/>
      <c r="H2" s="175" t="s">
        <v>0</v>
      </c>
      <c r="N2" s="548"/>
    </row>
    <row r="3" spans="1:15">
      <c r="E3" s="549"/>
      <c r="H3" s="178" t="str">
        <f>'Program MW '!H3</f>
        <v>August 2019</v>
      </c>
      <c r="N3" s="548"/>
    </row>
    <row r="4" spans="1:15">
      <c r="E4" s="177"/>
      <c r="F4" s="177"/>
      <c r="G4" s="177"/>
      <c r="I4" s="177"/>
      <c r="N4" s="548"/>
    </row>
    <row r="5" spans="1:15">
      <c r="B5" s="177"/>
      <c r="C5" s="177"/>
      <c r="D5" s="177"/>
      <c r="F5" s="176"/>
      <c r="N5" s="548"/>
      <c r="O5" s="57"/>
    </row>
    <row r="6" spans="1:15">
      <c r="F6" s="176"/>
      <c r="N6" s="548"/>
    </row>
    <row r="7" spans="1:15" ht="13.5" customHeight="1">
      <c r="A7" s="727" t="s">
        <v>52</v>
      </c>
      <c r="B7" s="728"/>
      <c r="C7" s="728"/>
      <c r="D7" s="728"/>
      <c r="E7" s="728"/>
      <c r="F7" s="728"/>
      <c r="G7" s="728"/>
      <c r="H7" s="728"/>
      <c r="I7" s="728"/>
      <c r="J7" s="728"/>
      <c r="K7" s="728"/>
      <c r="L7" s="728"/>
      <c r="M7" s="728"/>
      <c r="N7" s="729"/>
      <c r="O7" s="685"/>
    </row>
    <row r="8" spans="1:15" ht="38.25" customHeight="1">
      <c r="A8" s="56" t="s">
        <v>53</v>
      </c>
      <c r="B8" s="371" t="s">
        <v>3</v>
      </c>
      <c r="C8" s="371" t="s">
        <v>4</v>
      </c>
      <c r="D8" s="371" t="s">
        <v>5</v>
      </c>
      <c r="E8" s="371" t="s">
        <v>6</v>
      </c>
      <c r="F8" s="371" t="s">
        <v>7</v>
      </c>
      <c r="G8" s="371" t="s">
        <v>8</v>
      </c>
      <c r="H8" s="371" t="s">
        <v>35</v>
      </c>
      <c r="I8" s="371" t="s">
        <v>36</v>
      </c>
      <c r="J8" s="371" t="s">
        <v>37</v>
      </c>
      <c r="K8" s="371" t="s">
        <v>38</v>
      </c>
      <c r="L8" s="371" t="s">
        <v>39</v>
      </c>
      <c r="M8" s="371" t="s">
        <v>40</v>
      </c>
      <c r="N8" s="686" t="s">
        <v>54</v>
      </c>
      <c r="O8" s="371" t="s">
        <v>55</v>
      </c>
    </row>
    <row r="9" spans="1:15" ht="75.75" customHeight="1">
      <c r="A9" s="353" t="s">
        <v>18</v>
      </c>
      <c r="B9" s="354">
        <v>17.305285739898682</v>
      </c>
      <c r="C9" s="355">
        <v>37.178096389770509</v>
      </c>
      <c r="D9" s="356">
        <v>177.42548522949218</v>
      </c>
      <c r="E9" s="355">
        <v>146.54797821044923</v>
      </c>
      <c r="F9" s="355">
        <v>160.39271087646483</v>
      </c>
      <c r="G9" s="355">
        <v>144.3177490234375</v>
      </c>
      <c r="H9" s="355">
        <v>144.17343597412111</v>
      </c>
      <c r="I9" s="355">
        <v>143.59014587402345</v>
      </c>
      <c r="J9" s="355">
        <v>156.49241180419921</v>
      </c>
      <c r="K9" s="355">
        <v>118.57251434326172</v>
      </c>
      <c r="L9" s="355">
        <v>133.33503875732421</v>
      </c>
      <c r="M9" s="355">
        <v>153.61697540283203</v>
      </c>
      <c r="N9" s="365">
        <v>5142</v>
      </c>
      <c r="O9" s="399" t="s">
        <v>56</v>
      </c>
    </row>
    <row r="10" spans="1:15" ht="75.75" customHeight="1">
      <c r="A10" s="353" t="s">
        <v>21</v>
      </c>
      <c r="B10" s="354">
        <v>0.72411019504070284</v>
      </c>
      <c r="C10" s="354">
        <v>0.73440686166286473</v>
      </c>
      <c r="D10" s="357">
        <v>0</v>
      </c>
      <c r="E10" s="358">
        <v>0</v>
      </c>
      <c r="F10" s="358">
        <v>5.0590836281626958E-2</v>
      </c>
      <c r="G10" s="358">
        <v>0</v>
      </c>
      <c r="H10" s="358">
        <v>0.26229351080399849</v>
      </c>
      <c r="I10" s="358">
        <v>0.25917249071807963</v>
      </c>
      <c r="J10" s="358">
        <v>0.47046219336920991</v>
      </c>
      <c r="K10" s="358">
        <v>0.14252676061535943</v>
      </c>
      <c r="L10" s="358">
        <v>0</v>
      </c>
      <c r="M10" s="358">
        <v>0</v>
      </c>
      <c r="N10" s="365">
        <v>18466</v>
      </c>
      <c r="O10" s="399" t="s">
        <v>57</v>
      </c>
    </row>
    <row r="11" spans="1:15" ht="75.75" customHeight="1">
      <c r="A11" s="353" t="s">
        <v>25</v>
      </c>
      <c r="B11" s="354">
        <v>0</v>
      </c>
      <c r="C11" s="354">
        <v>0</v>
      </c>
      <c r="D11" s="357">
        <v>1.4322063588665455E-5</v>
      </c>
      <c r="E11" s="358">
        <v>0.14847403151022037</v>
      </c>
      <c r="F11" s="358">
        <v>0.15898399063360039</v>
      </c>
      <c r="G11" s="358">
        <v>0.1542056603153302</v>
      </c>
      <c r="H11" s="358">
        <v>0.168408411065091</v>
      </c>
      <c r="I11" s="358">
        <v>0.17838065727870039</v>
      </c>
      <c r="J11" s="358">
        <v>0.18754000261129422</v>
      </c>
      <c r="K11" s="358">
        <v>0.16302407636306898</v>
      </c>
      <c r="L11" s="358">
        <v>1.4322063588665455E-5</v>
      </c>
      <c r="M11" s="354">
        <v>1.4322063588665455E-5</v>
      </c>
      <c r="N11" s="373">
        <v>564565</v>
      </c>
      <c r="O11" s="399" t="s">
        <v>58</v>
      </c>
    </row>
    <row r="12" spans="1:15" ht="75.75" customHeight="1">
      <c r="A12" s="353" t="s">
        <v>26</v>
      </c>
      <c r="B12" s="354">
        <v>0</v>
      </c>
      <c r="C12" s="354">
        <v>0</v>
      </c>
      <c r="D12" s="357">
        <v>1.4322063588665455E-5</v>
      </c>
      <c r="E12" s="358">
        <v>0.18095105701702446</v>
      </c>
      <c r="F12" s="358">
        <v>0.31889411644333532</v>
      </c>
      <c r="G12" s="358">
        <v>0.27393159927366845</v>
      </c>
      <c r="H12" s="358">
        <v>0.50959270667973333</v>
      </c>
      <c r="I12" s="358">
        <v>0.69456128388647076</v>
      </c>
      <c r="J12" s="358">
        <v>0.70783043911533872</v>
      </c>
      <c r="K12" s="358">
        <v>0.47308564172033096</v>
      </c>
      <c r="L12" s="358">
        <v>1.4322063588665455E-5</v>
      </c>
      <c r="M12" s="354">
        <v>1.4322063588665455E-5</v>
      </c>
      <c r="N12" s="373">
        <v>152067</v>
      </c>
      <c r="O12" s="399" t="s">
        <v>59</v>
      </c>
    </row>
    <row r="13" spans="1:15" ht="75.75" customHeight="1">
      <c r="A13" s="353" t="s">
        <v>27</v>
      </c>
      <c r="B13" s="358">
        <v>0</v>
      </c>
      <c r="C13" s="358">
        <v>0</v>
      </c>
      <c r="D13" s="374">
        <v>1.4322063588665455E-5</v>
      </c>
      <c r="E13" s="358">
        <v>0</v>
      </c>
      <c r="F13" s="358">
        <v>6.7771830000000005E-2</v>
      </c>
      <c r="G13" s="358">
        <v>1.4479642000000001E-2</v>
      </c>
      <c r="H13" s="358">
        <v>0.26102395200000006</v>
      </c>
      <c r="I13" s="358">
        <v>0.38773376599999998</v>
      </c>
      <c r="J13" s="358">
        <v>0.477066194</v>
      </c>
      <c r="K13" s="358">
        <v>0.26216112399999997</v>
      </c>
      <c r="L13" s="358">
        <v>1.4322063588665455E-5</v>
      </c>
      <c r="M13" s="358">
        <v>1.4322063588665455E-5</v>
      </c>
      <c r="N13" s="373">
        <v>564565</v>
      </c>
      <c r="O13" s="399" t="s">
        <v>60</v>
      </c>
    </row>
    <row r="14" spans="1:15" ht="75.75" customHeight="1">
      <c r="A14" s="353" t="s">
        <v>28</v>
      </c>
      <c r="B14" s="358">
        <v>0</v>
      </c>
      <c r="C14" s="358">
        <v>0</v>
      </c>
      <c r="D14" s="374">
        <v>1.4322063588665455E-5</v>
      </c>
      <c r="E14" s="358">
        <v>9.9846003999999988E-2</v>
      </c>
      <c r="F14" s="358">
        <v>0.13070845199999997</v>
      </c>
      <c r="G14" s="358">
        <v>0.105700478</v>
      </c>
      <c r="H14" s="358">
        <v>0.20395560799999995</v>
      </c>
      <c r="I14" s="358">
        <v>0.24801596200000003</v>
      </c>
      <c r="J14" s="358">
        <v>0.29846350599999993</v>
      </c>
      <c r="K14" s="358">
        <v>0.20166051600000001</v>
      </c>
      <c r="L14" s="358">
        <v>1.4322063588665455E-5</v>
      </c>
      <c r="M14" s="358">
        <v>1.4322063588665455E-5</v>
      </c>
      <c r="N14" s="373">
        <v>134989</v>
      </c>
      <c r="O14" s="399" t="s">
        <v>61</v>
      </c>
    </row>
    <row r="15" spans="1:15" ht="75.75" customHeight="1">
      <c r="A15" s="359" t="s">
        <v>29</v>
      </c>
      <c r="B15" s="360">
        <v>0</v>
      </c>
      <c r="C15" s="360">
        <v>0</v>
      </c>
      <c r="D15" s="361">
        <v>0</v>
      </c>
      <c r="E15" s="358">
        <v>0</v>
      </c>
      <c r="F15" s="358">
        <v>2.795515</v>
      </c>
      <c r="G15" s="358">
        <v>2.795515</v>
      </c>
      <c r="H15" s="358">
        <v>2.795515</v>
      </c>
      <c r="I15" s="358">
        <v>2.795515</v>
      </c>
      <c r="J15" s="358">
        <v>2.795515</v>
      </c>
      <c r="K15" s="358">
        <v>2.795515</v>
      </c>
      <c r="L15" s="358">
        <v>0</v>
      </c>
      <c r="M15" s="358">
        <v>0</v>
      </c>
      <c r="N15" s="365">
        <v>44734</v>
      </c>
      <c r="O15" s="399" t="s">
        <v>62</v>
      </c>
    </row>
    <row r="16" spans="1:15" ht="75.75" customHeight="1">
      <c r="A16" s="359" t="s">
        <v>30</v>
      </c>
      <c r="B16" s="362">
        <v>0</v>
      </c>
      <c r="C16" s="362">
        <v>0</v>
      </c>
      <c r="D16" s="363">
        <v>0</v>
      </c>
      <c r="E16" s="358">
        <v>0</v>
      </c>
      <c r="F16" s="358">
        <v>13.901864399999999</v>
      </c>
      <c r="G16" s="358">
        <v>13.901864399999999</v>
      </c>
      <c r="H16" s="358">
        <v>13.901864399999999</v>
      </c>
      <c r="I16" s="358">
        <v>13.901864399999999</v>
      </c>
      <c r="J16" s="358">
        <v>13.901864399999999</v>
      </c>
      <c r="K16" s="358">
        <v>13.901864399999999</v>
      </c>
      <c r="L16" s="358">
        <v>0</v>
      </c>
      <c r="M16" s="358">
        <v>0</v>
      </c>
      <c r="N16" s="365">
        <v>44734</v>
      </c>
      <c r="O16" s="399" t="s">
        <v>62</v>
      </c>
    </row>
    <row r="17" spans="1:15" ht="75.75" customHeight="1">
      <c r="A17" s="353" t="s">
        <v>32</v>
      </c>
      <c r="B17" s="354">
        <v>5.1726200652774425E-2</v>
      </c>
      <c r="C17" s="354">
        <v>4.3396219768328595E-2</v>
      </c>
      <c r="D17" s="357">
        <v>3.4043240547180179E-2</v>
      </c>
      <c r="E17" s="354">
        <v>3.6673100665211678E-2</v>
      </c>
      <c r="F17" s="354">
        <v>4.174755923449993E-2</v>
      </c>
      <c r="G17" s="354">
        <v>4.5883961766958234E-2</v>
      </c>
      <c r="H17" s="354">
        <v>6.925705932080746E-2</v>
      </c>
      <c r="I17" s="354">
        <v>7.5604480504989621E-2</v>
      </c>
      <c r="J17" s="354">
        <v>6.6461500898003581E-2</v>
      </c>
      <c r="K17" s="354">
        <v>6.1052860319614412E-2</v>
      </c>
      <c r="L17" s="354">
        <v>4.3827941268682481E-2</v>
      </c>
      <c r="M17" s="354">
        <v>5.1312420517206192E-2</v>
      </c>
      <c r="N17" s="365">
        <v>1129129</v>
      </c>
      <c r="O17" s="399" t="s">
        <v>63</v>
      </c>
    </row>
    <row r="18" spans="1:15" ht="160.5" customHeight="1">
      <c r="A18" s="353" t="s">
        <v>31</v>
      </c>
      <c r="B18" s="354">
        <v>2.5726234823162477E-3</v>
      </c>
      <c r="C18" s="354">
        <v>2.5440464090193812E-3</v>
      </c>
      <c r="D18" s="357">
        <v>9.8610259371347733E-3</v>
      </c>
      <c r="E18" s="354">
        <v>1.3510262228057322E-2</v>
      </c>
      <c r="F18" s="354">
        <v>1.480162121511123E-2</v>
      </c>
      <c r="G18" s="354">
        <v>1.3626389392277654E-2</v>
      </c>
      <c r="H18" s="354">
        <v>1.736360680696768E-2</v>
      </c>
      <c r="I18" s="354">
        <v>1.9250600686301036E-2</v>
      </c>
      <c r="J18" s="354">
        <v>2.3013766818243103E-2</v>
      </c>
      <c r="K18" s="354">
        <v>1.8130409665787304E-2</v>
      </c>
      <c r="L18" s="354">
        <v>1.1827579000471137E-2</v>
      </c>
      <c r="M18" s="354">
        <v>9.8164460252114748E-3</v>
      </c>
      <c r="N18" s="365">
        <v>121723</v>
      </c>
      <c r="O18" s="399" t="s">
        <v>64</v>
      </c>
    </row>
    <row r="19" spans="1:15">
      <c r="B19" s="197"/>
      <c r="C19" s="197"/>
      <c r="D19" s="197"/>
      <c r="E19" s="197"/>
      <c r="F19" s="197"/>
      <c r="G19" s="197"/>
      <c r="H19" s="197"/>
      <c r="I19" s="197"/>
      <c r="J19" s="197"/>
      <c r="K19" s="197"/>
      <c r="L19" s="197"/>
      <c r="M19" s="197"/>
      <c r="N19" s="197"/>
    </row>
    <row r="20" spans="1:15" ht="15">
      <c r="A20" s="304" t="s">
        <v>43</v>
      </c>
      <c r="B20" s="550"/>
      <c r="C20" s="550"/>
      <c r="D20" s="550"/>
      <c r="E20" s="550"/>
      <c r="F20" s="551"/>
      <c r="G20" s="550"/>
      <c r="H20" s="551"/>
      <c r="I20" s="550"/>
      <c r="J20" s="550"/>
      <c r="K20" s="550"/>
      <c r="L20" s="550"/>
      <c r="M20" s="550"/>
      <c r="N20" s="548"/>
      <c r="O20" s="550"/>
    </row>
    <row r="21" spans="1:15">
      <c r="A21" s="730" t="s">
        <v>65</v>
      </c>
      <c r="B21" s="730"/>
      <c r="C21" s="730"/>
      <c r="D21" s="730"/>
      <c r="E21" s="730"/>
      <c r="F21" s="730"/>
      <c r="G21" s="730"/>
      <c r="H21" s="730"/>
      <c r="I21" s="730"/>
      <c r="J21" s="730"/>
      <c r="K21" s="730"/>
      <c r="L21" s="730"/>
      <c r="M21" s="730"/>
      <c r="N21" s="730"/>
      <c r="O21" s="704"/>
    </row>
    <row r="22" spans="1:15">
      <c r="A22" s="730" t="s">
        <v>66</v>
      </c>
      <c r="B22" s="730"/>
      <c r="C22" s="730"/>
      <c r="D22" s="730"/>
      <c r="E22" s="730"/>
      <c r="F22" s="730"/>
      <c r="G22" s="730"/>
      <c r="H22" s="730"/>
      <c r="I22" s="730"/>
      <c r="J22" s="730"/>
      <c r="K22" s="730"/>
      <c r="L22" s="730"/>
      <c r="M22" s="730"/>
      <c r="N22" s="730"/>
      <c r="O22" s="730"/>
    </row>
    <row r="23" spans="1:15">
      <c r="A23" s="730" t="s">
        <v>67</v>
      </c>
      <c r="B23" s="730"/>
      <c r="C23" s="730"/>
      <c r="D23" s="730"/>
      <c r="E23" s="730"/>
      <c r="F23" s="730"/>
      <c r="G23" s="730"/>
      <c r="H23" s="730"/>
      <c r="I23" s="730"/>
      <c r="J23" s="730"/>
      <c r="K23" s="730"/>
      <c r="L23" s="730"/>
      <c r="M23" s="730"/>
      <c r="N23" s="730"/>
      <c r="O23" s="730"/>
    </row>
    <row r="24" spans="1:15">
      <c r="A24" s="593" t="s">
        <v>68</v>
      </c>
      <c r="N24" s="548"/>
    </row>
    <row r="25" spans="1:15">
      <c r="A25" s="593" t="s">
        <v>50</v>
      </c>
      <c r="N25" s="548"/>
    </row>
    <row r="26" spans="1:15" s="177" customFormat="1">
      <c r="A26" s="645" t="s">
        <v>69</v>
      </c>
      <c r="N26" s="552"/>
    </row>
    <row r="27" spans="1:15">
      <c r="A27" s="177"/>
      <c r="N27" s="548"/>
    </row>
    <row r="28" spans="1:15" ht="15">
      <c r="A28" s="283" t="s">
        <v>51</v>
      </c>
      <c r="N28" s="548"/>
    </row>
  </sheetData>
  <mergeCells count="4">
    <mergeCell ref="A7:N7"/>
    <mergeCell ref="A21:N21"/>
    <mergeCell ref="A22:O22"/>
    <mergeCell ref="A23:O23"/>
  </mergeCells>
  <phoneticPr fontId="41"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12
&amp;A
&amp;D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topLeftCell="A16" zoomScaleNormal="100" zoomScaleSheetLayoutView="100" workbookViewId="0">
      <selection activeCell="B1" sqref="B1"/>
    </sheetView>
  </sheetViews>
  <sheetFormatPr defaultColWidth="9.140625" defaultRowHeight="40.15" customHeight="1"/>
  <cols>
    <col min="1" max="1" width="35" customWidth="1"/>
    <col min="2" max="3" width="10.7109375" customWidth="1"/>
    <col min="4" max="4" width="10.85546875" customWidth="1"/>
    <col min="5" max="13" width="10.7109375" customWidth="1"/>
    <col min="14" max="14" width="14.140625" style="234" bestFit="1" customWidth="1"/>
    <col min="15" max="15" width="149.5703125" customWidth="1"/>
  </cols>
  <sheetData>
    <row r="1" spans="1:15" ht="12.75">
      <c r="N1" s="552"/>
    </row>
    <row r="2" spans="1:15" ht="12.75">
      <c r="H2" s="175" t="s">
        <v>0</v>
      </c>
      <c r="N2" s="552"/>
    </row>
    <row r="3" spans="1:15" ht="12.75">
      <c r="H3" s="231" t="str">
        <f>'Program MW '!H3</f>
        <v>August 2019</v>
      </c>
      <c r="N3" s="552"/>
    </row>
    <row r="4" spans="1:15" ht="12.75">
      <c r="F4" s="177"/>
      <c r="G4" s="177"/>
      <c r="I4" s="177"/>
      <c r="N4" s="552"/>
      <c r="O4" s="57"/>
    </row>
    <row r="5" spans="1:15" ht="12.75">
      <c r="B5" s="177"/>
      <c r="C5" s="177"/>
      <c r="D5" s="177"/>
      <c r="F5" s="175"/>
      <c r="N5" s="552"/>
    </row>
    <row r="6" spans="1:15" ht="12.75">
      <c r="F6" s="175"/>
      <c r="N6" s="552"/>
    </row>
    <row r="7" spans="1:15" ht="22.5" customHeight="1">
      <c r="A7" s="731" t="s">
        <v>70</v>
      </c>
      <c r="B7" s="732"/>
      <c r="C7" s="732"/>
      <c r="D7" s="732"/>
      <c r="E7" s="732"/>
      <c r="F7" s="732"/>
      <c r="G7" s="732"/>
      <c r="H7" s="732"/>
      <c r="I7" s="732"/>
      <c r="J7" s="732"/>
      <c r="K7" s="732"/>
      <c r="L7" s="732"/>
      <c r="M7" s="732"/>
      <c r="N7" s="733"/>
      <c r="O7" s="55"/>
    </row>
    <row r="8" spans="1:15" ht="40.15" customHeight="1">
      <c r="A8" s="56" t="s">
        <v>53</v>
      </c>
      <c r="B8" s="683" t="s">
        <v>3</v>
      </c>
      <c r="C8" s="683" t="s">
        <v>4</v>
      </c>
      <c r="D8" s="683" t="s">
        <v>5</v>
      </c>
      <c r="E8" s="683" t="s">
        <v>6</v>
      </c>
      <c r="F8" s="683" t="s">
        <v>7</v>
      </c>
      <c r="G8" s="683" t="s">
        <v>8</v>
      </c>
      <c r="H8" s="683" t="s">
        <v>35</v>
      </c>
      <c r="I8" s="683" t="s">
        <v>36</v>
      </c>
      <c r="J8" s="683" t="s">
        <v>37</v>
      </c>
      <c r="K8" s="683" t="s">
        <v>38</v>
      </c>
      <c r="L8" s="683" t="s">
        <v>39</v>
      </c>
      <c r="M8" s="683" t="s">
        <v>40</v>
      </c>
      <c r="N8" s="684" t="str">
        <f>'Ex ante LI &amp; Eligibility Stats'!N8:N8</f>
        <v>Eligible Accounts as of January</v>
      </c>
      <c r="O8" s="371" t="s">
        <v>55</v>
      </c>
    </row>
    <row r="9" spans="1:15" ht="75.75" customHeight="1">
      <c r="A9" s="353" t="s">
        <v>18</v>
      </c>
      <c r="B9" s="354">
        <v>423.79489135742188</v>
      </c>
      <c r="C9" s="354">
        <v>423.79489135742188</v>
      </c>
      <c r="D9" s="357">
        <v>378.92541897296906</v>
      </c>
      <c r="E9" s="364">
        <v>378.92541897296906</v>
      </c>
      <c r="F9" s="364">
        <v>378.92541897296906</v>
      </c>
      <c r="G9" s="364">
        <v>378.92541897296906</v>
      </c>
      <c r="H9" s="364">
        <v>378.92541897296906</v>
      </c>
      <c r="I9" s="364">
        <v>378.92541897296906</v>
      </c>
      <c r="J9" s="364">
        <v>378.92541897296906</v>
      </c>
      <c r="K9" s="364">
        <v>378.92541897296906</v>
      </c>
      <c r="L9" s="364">
        <v>378.92541897296906</v>
      </c>
      <c r="M9" s="364">
        <v>378.92541897296906</v>
      </c>
      <c r="N9" s="373">
        <f>+'Ex ante LI &amp; Eligibility Stats'!N9</f>
        <v>5142</v>
      </c>
      <c r="O9" s="372" t="str">
        <f>+'Ex ante LI &amp; Eligibility Stats'!O9</f>
        <v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v>
      </c>
    </row>
    <row r="10" spans="1:15" ht="75.75" customHeight="1">
      <c r="A10" s="353" t="s">
        <v>21</v>
      </c>
      <c r="B10" s="354">
        <v>1.455878734588623</v>
      </c>
      <c r="C10" s="354">
        <v>1.455878734588623</v>
      </c>
      <c r="D10" s="357">
        <v>0.62622161166703816</v>
      </c>
      <c r="E10" s="366">
        <v>0.62622161166703816</v>
      </c>
      <c r="F10" s="366">
        <v>0.62622161166703816</v>
      </c>
      <c r="G10" s="366">
        <v>0.62622161166703816</v>
      </c>
      <c r="H10" s="366">
        <v>0.62622161166703816</v>
      </c>
      <c r="I10" s="366">
        <v>0.62622161166703816</v>
      </c>
      <c r="J10" s="366">
        <v>0.62622161166703816</v>
      </c>
      <c r="K10" s="366">
        <v>0.62622161166703816</v>
      </c>
      <c r="L10" s="366">
        <v>0.62622161166703816</v>
      </c>
      <c r="M10" s="366">
        <v>0.62622161166703816</v>
      </c>
      <c r="N10" s="373">
        <f>+'Ex ante LI &amp; Eligibility Stats'!N10</f>
        <v>18466</v>
      </c>
      <c r="O10" s="372" t="str">
        <f>+'Ex ante LI &amp; Eligibility Stats'!O10</f>
        <v>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v>
      </c>
    </row>
    <row r="11" spans="1:15" ht="75.75" customHeight="1">
      <c r="A11" s="353" t="s">
        <v>25</v>
      </c>
      <c r="B11" s="354">
        <v>0.42622583166797401</v>
      </c>
      <c r="C11" s="354">
        <v>0.42622583166797401</v>
      </c>
      <c r="D11" s="357">
        <v>0.16156681786979948</v>
      </c>
      <c r="E11" s="354">
        <v>0.16156681786979948</v>
      </c>
      <c r="F11" s="364">
        <v>0.16156681786979948</v>
      </c>
      <c r="G11" s="364">
        <v>0.16156681786979948</v>
      </c>
      <c r="H11" s="364">
        <v>0.16156681786979948</v>
      </c>
      <c r="I11" s="364">
        <v>0.16156681786979948</v>
      </c>
      <c r="J11" s="364">
        <v>0.16156681786979948</v>
      </c>
      <c r="K11" s="364">
        <v>0.16156681786979948</v>
      </c>
      <c r="L11" s="364">
        <v>0.16156681786979948</v>
      </c>
      <c r="M11" s="364">
        <v>0.16156681786979948</v>
      </c>
      <c r="N11" s="373">
        <f>+'Ex ante LI &amp; Eligibility Stats'!N11</f>
        <v>564565</v>
      </c>
      <c r="O11" s="372" t="str">
        <f>+'Ex ante LI &amp; Eligibility Stats'!O11</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v>
      </c>
    </row>
    <row r="12" spans="1:15" ht="75.75" customHeight="1">
      <c r="A12" s="353" t="s">
        <v>26</v>
      </c>
      <c r="B12" s="354">
        <v>1.2212848663330078</v>
      </c>
      <c r="C12" s="354">
        <v>1.2212848663330078</v>
      </c>
      <c r="D12" s="357">
        <v>0.47378640915115722</v>
      </c>
      <c r="E12" s="366">
        <v>0.47378640915115722</v>
      </c>
      <c r="F12" s="366">
        <v>0.47378640915115722</v>
      </c>
      <c r="G12" s="366">
        <v>0.47378640915115722</v>
      </c>
      <c r="H12" s="366">
        <v>0.47378640915115722</v>
      </c>
      <c r="I12" s="366">
        <v>0.47378640915115722</v>
      </c>
      <c r="J12" s="366">
        <v>0.47378640915115722</v>
      </c>
      <c r="K12" s="366">
        <v>0.47378640915115722</v>
      </c>
      <c r="L12" s="366">
        <v>0.47378640915115722</v>
      </c>
      <c r="M12" s="366">
        <v>0.47378640915115722</v>
      </c>
      <c r="N12" s="373">
        <f>+'Ex ante LI &amp; Eligibility Stats'!N12</f>
        <v>152067</v>
      </c>
      <c r="O12" s="372" t="str">
        <f>+'Ex ante LI &amp; Eligibility Stats'!O12</f>
        <v>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3" spans="1:15" ht="75.75" customHeight="1">
      <c r="A13" s="353" t="s">
        <v>27</v>
      </c>
      <c r="B13" s="364">
        <v>0.41538170000000002</v>
      </c>
      <c r="C13" s="364">
        <v>0.41538170000000002</v>
      </c>
      <c r="D13" s="367">
        <v>0.24668145</v>
      </c>
      <c r="E13" s="364">
        <v>0.24668145</v>
      </c>
      <c r="F13" s="364">
        <v>0.24668145</v>
      </c>
      <c r="G13" s="364">
        <v>0.24668145</v>
      </c>
      <c r="H13" s="364">
        <v>0.24668145</v>
      </c>
      <c r="I13" s="364">
        <v>0.24668145</v>
      </c>
      <c r="J13" s="364">
        <v>0.24668145</v>
      </c>
      <c r="K13" s="364">
        <v>0.24668145</v>
      </c>
      <c r="L13" s="364">
        <v>0.24668145</v>
      </c>
      <c r="M13" s="364">
        <v>0.24668145</v>
      </c>
      <c r="N13" s="373">
        <f>+'Ex ante LI &amp; Eligibility Stats'!N13</f>
        <v>564565</v>
      </c>
      <c r="O13" s="372" t="str">
        <f>+'Ex ante LI &amp; Eligibility Stats'!O13</f>
        <v>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v>
      </c>
    </row>
    <row r="14" spans="1:15" ht="75.75" customHeight="1">
      <c r="A14" s="353" t="s">
        <v>28</v>
      </c>
      <c r="B14" s="364">
        <v>0.2080882</v>
      </c>
      <c r="C14" s="364">
        <v>0.2080882</v>
      </c>
      <c r="D14" s="367">
        <v>0.11886815000000001</v>
      </c>
      <c r="E14" s="364">
        <v>0.11886815000000001</v>
      </c>
      <c r="F14" s="364">
        <v>0.11886815000000001</v>
      </c>
      <c r="G14" s="364">
        <v>0.11886815000000001</v>
      </c>
      <c r="H14" s="364">
        <v>0.11886815000000001</v>
      </c>
      <c r="I14" s="364">
        <v>0.11886815000000001</v>
      </c>
      <c r="J14" s="364">
        <v>0.11886815000000001</v>
      </c>
      <c r="K14" s="364">
        <v>0.11886815000000001</v>
      </c>
      <c r="L14" s="364">
        <v>0.11886815000000001</v>
      </c>
      <c r="M14" s="364">
        <v>0.11886815000000001</v>
      </c>
      <c r="N14" s="373">
        <f>+'Ex ante LI &amp; Eligibility Stats'!N14</f>
        <v>134989</v>
      </c>
      <c r="O14" s="372" t="str">
        <f>+'Ex ante LI &amp; Eligibility Stats'!O14</f>
        <v>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5" spans="1:15" ht="75.75" customHeight="1">
      <c r="A15" s="359" t="s">
        <v>29</v>
      </c>
      <c r="B15" s="364">
        <v>9.9073341911764707</v>
      </c>
      <c r="C15" s="364">
        <v>9.9073341911764707</v>
      </c>
      <c r="D15" s="367">
        <v>6.9474389188677783</v>
      </c>
      <c r="E15" s="366">
        <v>6.9474389188677783</v>
      </c>
      <c r="F15" s="366">
        <v>6.9474389188677783</v>
      </c>
      <c r="G15" s="366">
        <v>6.9474389188677783</v>
      </c>
      <c r="H15" s="366">
        <v>6.9474389188677783</v>
      </c>
      <c r="I15" s="366">
        <v>6.9474389188677783</v>
      </c>
      <c r="J15" s="366">
        <v>6.9474389188677783</v>
      </c>
      <c r="K15" s="366">
        <v>6.9474389188677783</v>
      </c>
      <c r="L15" s="366">
        <v>6.9474389188677783</v>
      </c>
      <c r="M15" s="366">
        <v>6.9474389188677783</v>
      </c>
      <c r="N15" s="373">
        <f>+'Ex ante LI &amp; Eligibility Stats'!N15</f>
        <v>44734</v>
      </c>
      <c r="O15" s="372" t="str">
        <f>+'Ex ante LI &amp; Eligibility Stats'!O15</f>
        <v xml:space="preserve">The CBP Schedule is available to commercial and industrial Utility customers receiving Bundled Utility service, DA service or CCA service, and being billed on a Utility commercial, industrial or agricultural rate schedule. </v>
      </c>
    </row>
    <row r="16" spans="1:15" ht="75.75" customHeight="1">
      <c r="A16" s="359" t="s">
        <v>30</v>
      </c>
      <c r="B16" s="368">
        <v>18.384060344827585</v>
      </c>
      <c r="C16" s="368">
        <v>18.384060344827585</v>
      </c>
      <c r="D16" s="369">
        <v>18.587666666666667</v>
      </c>
      <c r="E16" s="370">
        <v>18.587666666666667</v>
      </c>
      <c r="F16" s="370">
        <v>18.587666666666667</v>
      </c>
      <c r="G16" s="370">
        <v>18.587666666666667</v>
      </c>
      <c r="H16" s="370">
        <v>18.587666666666667</v>
      </c>
      <c r="I16" s="370">
        <v>18.587666666666667</v>
      </c>
      <c r="J16" s="370">
        <v>18.587666666666667</v>
      </c>
      <c r="K16" s="370">
        <v>18.587666666666667</v>
      </c>
      <c r="L16" s="370">
        <v>18.587666666666667</v>
      </c>
      <c r="M16" s="370">
        <v>18.587666666666667</v>
      </c>
      <c r="N16" s="373">
        <f>+'Ex ante LI &amp; Eligibility Stats'!N16</f>
        <v>44734</v>
      </c>
      <c r="O16" s="372" t="str">
        <f>+'Ex ante LI &amp; Eligibility Stats'!O16</f>
        <v xml:space="preserve">The CBP Schedule is available to commercial and industrial Utility customers receiving Bundled Utility service, DA service or CCA service, and being billed on a Utility commercial, industrial or agricultural rate schedule. </v>
      </c>
    </row>
    <row r="17" spans="1:26" ht="75.75" customHeight="1">
      <c r="A17" s="353" t="s">
        <v>32</v>
      </c>
      <c r="B17" s="354">
        <v>0.1831938624382019</v>
      </c>
      <c r="C17" s="354">
        <v>0.1831938624382019</v>
      </c>
      <c r="D17" s="354">
        <v>0.2136324979364872</v>
      </c>
      <c r="E17" s="354">
        <v>0.2136324979364872</v>
      </c>
      <c r="F17" s="354">
        <v>0.2136324979364872</v>
      </c>
      <c r="G17" s="354">
        <v>0.2136324979364872</v>
      </c>
      <c r="H17" s="354">
        <v>0.2136324979364872</v>
      </c>
      <c r="I17" s="354">
        <v>0.2136324979364872</v>
      </c>
      <c r="J17" s="354">
        <v>0.2136324979364872</v>
      </c>
      <c r="K17" s="354">
        <v>0.2136324979364872</v>
      </c>
      <c r="L17" s="354">
        <v>0.2136324979364872</v>
      </c>
      <c r="M17" s="354">
        <v>0.2136324979364872</v>
      </c>
      <c r="N17" s="373">
        <f>+'Ex ante LI &amp; Eligibility Stats'!N17</f>
        <v>1129129</v>
      </c>
      <c r="O17" s="372" t="str">
        <f>+'Ex ante LI &amp; Eligibility Stats'!O17</f>
        <v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v>
      </c>
    </row>
    <row r="18" spans="1:26" ht="160.5" customHeight="1">
      <c r="A18" s="353" t="s">
        <v>31</v>
      </c>
      <c r="B18" s="354">
        <v>3.9058972150087357E-2</v>
      </c>
      <c r="C18" s="354">
        <v>3.9058972150087357E-2</v>
      </c>
      <c r="D18" s="357">
        <v>2.4489321133080305E-2</v>
      </c>
      <c r="E18" s="354">
        <v>2.4489321133080305E-2</v>
      </c>
      <c r="F18" s="354">
        <v>2.4489321133080305E-2</v>
      </c>
      <c r="G18" s="354">
        <v>2.4489321133080305E-2</v>
      </c>
      <c r="H18" s="354">
        <v>2.4489321133080305E-2</v>
      </c>
      <c r="I18" s="354">
        <v>2.4489321133080305E-2</v>
      </c>
      <c r="J18" s="354">
        <v>2.4489321133080305E-2</v>
      </c>
      <c r="K18" s="354">
        <v>2.4489321133080305E-2</v>
      </c>
      <c r="L18" s="354">
        <v>2.4489321133080305E-2</v>
      </c>
      <c r="M18" s="354">
        <v>2.4489321133080305E-2</v>
      </c>
      <c r="N18" s="373">
        <f>+'Ex ante LI &amp; Eligibility Stats'!N18</f>
        <v>121723</v>
      </c>
      <c r="O18" s="372" t="str">
        <f>+'Ex ante LI &amp; Eligibility Stats'!O18</f>
        <v>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v>
      </c>
    </row>
    <row r="19" spans="1:26" ht="16.5" customHeight="1">
      <c r="A19" s="57"/>
      <c r="B19" s="553"/>
      <c r="C19" s="553"/>
      <c r="D19" s="554"/>
      <c r="E19" s="553"/>
      <c r="F19" s="553"/>
      <c r="G19" s="553"/>
      <c r="H19" s="553"/>
      <c r="I19" s="553"/>
      <c r="J19" s="553"/>
      <c r="K19" s="553"/>
      <c r="L19" s="553"/>
      <c r="M19" s="553"/>
      <c r="N19" s="235"/>
      <c r="O19" s="57"/>
    </row>
    <row r="20" spans="1:26" ht="15">
      <c r="A20" s="734" t="s">
        <v>71</v>
      </c>
      <c r="B20" s="734"/>
      <c r="C20" s="734"/>
      <c r="D20" s="734"/>
      <c r="E20" s="734"/>
      <c r="F20" s="734"/>
      <c r="G20" s="734"/>
      <c r="H20" s="734"/>
      <c r="I20" s="734"/>
      <c r="J20" s="734"/>
      <c r="K20" s="734"/>
      <c r="L20" s="734"/>
      <c r="M20" s="734"/>
      <c r="N20" s="734"/>
      <c r="O20" s="734"/>
    </row>
    <row r="21" spans="1:26" ht="12.75" customHeight="1">
      <c r="A21" s="735" t="s">
        <v>72</v>
      </c>
      <c r="B21" s="736"/>
      <c r="C21" s="736"/>
      <c r="D21" s="736"/>
      <c r="E21" s="736"/>
      <c r="F21" s="736"/>
      <c r="G21" s="736"/>
      <c r="H21" s="736"/>
      <c r="I21" s="736"/>
      <c r="J21" s="736"/>
      <c r="K21" s="736"/>
      <c r="L21" s="736"/>
      <c r="M21" s="736"/>
      <c r="N21" s="736"/>
      <c r="O21" s="736"/>
    </row>
    <row r="22" spans="1:26" ht="12.75" customHeight="1">
      <c r="A22" s="730" t="s">
        <v>73</v>
      </c>
      <c r="B22" s="730"/>
      <c r="C22" s="730"/>
      <c r="D22" s="730"/>
      <c r="E22" s="730"/>
      <c r="F22" s="730"/>
      <c r="G22" s="730"/>
      <c r="H22" s="730"/>
      <c r="I22" s="730"/>
      <c r="J22" s="730"/>
      <c r="K22" s="730"/>
      <c r="L22" s="703"/>
      <c r="M22" s="703"/>
      <c r="N22" s="703"/>
      <c r="O22" s="703"/>
    </row>
    <row r="23" spans="1:26" s="10" customFormat="1" ht="12.75" customHeight="1">
      <c r="A23" s="730" t="s">
        <v>74</v>
      </c>
      <c r="B23" s="730"/>
      <c r="C23" s="730"/>
      <c r="D23" s="730"/>
      <c r="E23" s="730"/>
      <c r="F23" s="730"/>
      <c r="G23" s="730"/>
      <c r="H23" s="730"/>
      <c r="I23" s="730"/>
      <c r="J23" s="730"/>
      <c r="K23" s="730"/>
      <c r="O23" s="13"/>
      <c r="P23" s="13"/>
      <c r="Q23" s="13"/>
      <c r="R23" s="13"/>
      <c r="S23" s="13"/>
      <c r="T23" s="172"/>
      <c r="U23" s="172"/>
      <c r="V23" s="172"/>
      <c r="W23" s="172"/>
      <c r="X23" s="172"/>
      <c r="Y23" s="172"/>
      <c r="Z23" s="172"/>
    </row>
    <row r="24" spans="1:26" s="10" customFormat="1" ht="12.75">
      <c r="A24" s="725" t="s">
        <v>50</v>
      </c>
      <c r="B24" s="726"/>
      <c r="C24" s="726"/>
      <c r="D24" s="726"/>
      <c r="E24" s="726"/>
      <c r="F24" s="726"/>
      <c r="G24" s="726"/>
      <c r="H24" s="726"/>
      <c r="I24" s="726"/>
      <c r="J24" s="726"/>
      <c r="K24" s="726"/>
      <c r="L24" s="726"/>
      <c r="M24" s="726"/>
      <c r="N24" s="726"/>
      <c r="O24" s="13"/>
      <c r="P24" s="13"/>
      <c r="Q24" s="13"/>
      <c r="R24" s="13"/>
      <c r="S24" s="13"/>
      <c r="T24" s="172"/>
      <c r="U24" s="172"/>
      <c r="V24" s="172"/>
      <c r="W24" s="172"/>
      <c r="X24" s="172"/>
      <c r="Y24" s="172"/>
      <c r="Z24" s="172"/>
    </row>
    <row r="25" spans="1:26" s="10" customFormat="1" ht="12.75">
      <c r="A25" s="701"/>
      <c r="B25" s="702"/>
      <c r="C25" s="702"/>
      <c r="D25" s="702"/>
      <c r="E25" s="702"/>
      <c r="F25" s="702"/>
      <c r="G25" s="702"/>
      <c r="H25" s="702"/>
      <c r="I25" s="702"/>
      <c r="J25" s="702"/>
      <c r="K25" s="702"/>
      <c r="L25" s="702"/>
      <c r="M25" s="702"/>
      <c r="N25" s="702"/>
      <c r="O25" s="13"/>
      <c r="P25" s="13"/>
      <c r="Q25" s="13"/>
      <c r="R25" s="13"/>
      <c r="S25" s="13"/>
      <c r="T25" s="172"/>
      <c r="U25" s="172"/>
      <c r="V25" s="172"/>
      <c r="W25" s="172"/>
      <c r="X25" s="172"/>
      <c r="Y25" s="172"/>
      <c r="Z25" s="172"/>
    </row>
    <row r="26" spans="1:26" ht="40.15" customHeight="1">
      <c r="A26" s="305" t="s">
        <v>51</v>
      </c>
      <c r="N26" s="552"/>
    </row>
    <row r="53" spans="1:1" ht="40.15" customHeight="1">
      <c r="A53" s="239"/>
    </row>
  </sheetData>
  <mergeCells count="6">
    <mergeCell ref="A7:N7"/>
    <mergeCell ref="A24:N24"/>
    <mergeCell ref="A22:K22"/>
    <mergeCell ref="A20:O20"/>
    <mergeCell ref="A21:O21"/>
    <mergeCell ref="A23:K23"/>
  </mergeCells>
  <phoneticPr fontId="0" type="noConversion"/>
  <printOptions horizontalCentered="1"/>
  <pageMargins left="0" right="0" top="0.55000000000000004" bottom="0.17" header="0.3" footer="0.15"/>
  <pageSetup paperSize="5" scale="51" orientation="landscape" cellComments="atEnd" r:id="rId1"/>
  <headerFooter alignWithMargins="0">
    <oddHeader xml:space="preserve">&amp;C&amp;"Arial,Bold"
</oddHeader>
    <oddFooter>&amp;Rpage 3 of 12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140625" defaultRowHeight="12.75"/>
  <cols>
    <col min="1" max="1" width="45.7109375" style="60" customWidth="1"/>
    <col min="2" max="3" width="10.85546875" style="60" customWidth="1"/>
    <col min="4" max="4" width="10.7109375" style="60" customWidth="1"/>
    <col min="5" max="5" width="12.7109375" style="60" customWidth="1"/>
    <col min="6" max="8" width="10.5703125" style="60" customWidth="1"/>
    <col min="9" max="9" width="12.7109375" style="60" customWidth="1"/>
    <col min="10" max="12" width="10.7109375" style="60" customWidth="1"/>
    <col min="13" max="13" width="12.7109375" style="60" customWidth="1"/>
    <col min="14" max="16" width="10.7109375" style="60" customWidth="1"/>
    <col min="17" max="17" width="12.7109375" style="60" customWidth="1"/>
    <col min="18" max="20" width="10.7109375" style="60" customWidth="1"/>
    <col min="21" max="21" width="12.7109375" style="60" customWidth="1"/>
    <col min="22" max="24" width="10.7109375" style="60" customWidth="1"/>
    <col min="25" max="25" width="12.7109375" style="60" customWidth="1"/>
    <col min="26" max="16384" width="9.140625" style="60"/>
  </cols>
  <sheetData>
    <row r="1" spans="1:25">
      <c r="A1" s="59" t="s">
        <v>75</v>
      </c>
    </row>
    <row r="3" spans="1:25" ht="21.75" customHeight="1">
      <c r="A3" s="111">
        <v>2016</v>
      </c>
      <c r="B3" s="737" t="s">
        <v>3</v>
      </c>
      <c r="C3" s="737"/>
      <c r="D3" s="737"/>
      <c r="E3" s="737"/>
      <c r="F3" s="738" t="s">
        <v>4</v>
      </c>
      <c r="G3" s="738"/>
      <c r="H3" s="738"/>
      <c r="I3" s="738"/>
      <c r="J3" s="738" t="s">
        <v>5</v>
      </c>
      <c r="K3" s="738"/>
      <c r="L3" s="738"/>
      <c r="M3" s="738"/>
      <c r="N3" s="738" t="s">
        <v>6</v>
      </c>
      <c r="O3" s="738"/>
      <c r="P3" s="738"/>
      <c r="Q3" s="738"/>
      <c r="R3" s="738" t="s">
        <v>7</v>
      </c>
      <c r="S3" s="738"/>
      <c r="T3" s="738"/>
      <c r="U3" s="738"/>
      <c r="V3" s="738" t="s">
        <v>8</v>
      </c>
      <c r="W3" s="738"/>
      <c r="X3" s="738"/>
      <c r="Y3" s="738"/>
    </row>
    <row r="4" spans="1:25" ht="79.5" customHeight="1">
      <c r="A4" s="705" t="s">
        <v>76</v>
      </c>
      <c r="B4" s="70" t="s">
        <v>77</v>
      </c>
      <c r="C4" s="70" t="s">
        <v>78</v>
      </c>
      <c r="D4" s="70" t="s">
        <v>79</v>
      </c>
      <c r="E4" s="70" t="s">
        <v>80</v>
      </c>
      <c r="F4" s="70" t="s">
        <v>77</v>
      </c>
      <c r="G4" s="70" t="s">
        <v>78</v>
      </c>
      <c r="H4" s="70" t="s">
        <v>79</v>
      </c>
      <c r="I4" s="70" t="s">
        <v>80</v>
      </c>
      <c r="J4" s="70" t="s">
        <v>77</v>
      </c>
      <c r="K4" s="70" t="s">
        <v>78</v>
      </c>
      <c r="L4" s="70" t="s">
        <v>79</v>
      </c>
      <c r="M4" s="70" t="s">
        <v>80</v>
      </c>
      <c r="N4" s="70" t="s">
        <v>77</v>
      </c>
      <c r="O4" s="70" t="s">
        <v>78</v>
      </c>
      <c r="P4" s="70" t="s">
        <v>79</v>
      </c>
      <c r="Q4" s="70" t="s">
        <v>80</v>
      </c>
      <c r="R4" s="70" t="s">
        <v>77</v>
      </c>
      <c r="S4" s="70" t="s">
        <v>78</v>
      </c>
      <c r="T4" s="70" t="s">
        <v>79</v>
      </c>
      <c r="U4" s="70" t="s">
        <v>80</v>
      </c>
      <c r="V4" s="70" t="s">
        <v>77</v>
      </c>
      <c r="W4" s="70" t="s">
        <v>78</v>
      </c>
      <c r="X4" s="70" t="s">
        <v>79</v>
      </c>
      <c r="Y4" s="70" t="s">
        <v>80</v>
      </c>
    </row>
    <row r="5" spans="1:25">
      <c r="A5" s="112" t="s">
        <v>81</v>
      </c>
      <c r="B5" s="72"/>
      <c r="C5" s="73">
        <v>5.8977000000000004</v>
      </c>
      <c r="D5" s="74">
        <v>2.3029999999999999</v>
      </c>
      <c r="E5" s="75">
        <f>SUM(B5:D5)</f>
        <v>8.2007000000000012</v>
      </c>
      <c r="F5" s="71"/>
      <c r="G5" s="74">
        <v>5.8977000000000004</v>
      </c>
      <c r="H5" s="74">
        <v>2.3029999999999999</v>
      </c>
      <c r="I5" s="76">
        <f>SUM(G5:H5)</f>
        <v>8.2007000000000012</v>
      </c>
      <c r="J5" s="71"/>
      <c r="K5" s="74"/>
      <c r="L5" s="74"/>
      <c r="M5" s="76">
        <f>SUM(K5:L5)</f>
        <v>0</v>
      </c>
      <c r="N5" s="71"/>
      <c r="O5" s="74"/>
      <c r="P5" s="74"/>
      <c r="Q5" s="76">
        <f>SUM(O5:P5)</f>
        <v>0</v>
      </c>
      <c r="R5" s="71"/>
      <c r="S5" s="74"/>
      <c r="T5" s="74"/>
      <c r="U5" s="76">
        <f>SUM(S5:T5)</f>
        <v>0</v>
      </c>
      <c r="V5" s="71"/>
      <c r="W5" s="74"/>
      <c r="X5" s="74"/>
      <c r="Y5" s="76">
        <f>SUM(W5:X5)</f>
        <v>0</v>
      </c>
    </row>
    <row r="6" spans="1:25">
      <c r="A6" s="112" t="s">
        <v>82</v>
      </c>
      <c r="B6" s="120"/>
      <c r="C6" s="121">
        <v>12.8962</v>
      </c>
      <c r="D6" s="73">
        <v>1.4750000000000001</v>
      </c>
      <c r="E6" s="75">
        <f>SUM(B6:D6)</f>
        <v>14.3712</v>
      </c>
      <c r="F6" s="71"/>
      <c r="G6" s="74">
        <v>12.911899999999999</v>
      </c>
      <c r="H6" s="77">
        <v>1.4750000000000001</v>
      </c>
      <c r="I6" s="76">
        <f>SUM(G6:H6)</f>
        <v>14.386899999999999</v>
      </c>
      <c r="J6" s="78"/>
      <c r="K6" s="74"/>
      <c r="L6" s="77"/>
      <c r="M6" s="76">
        <f>SUM(K6:L6)</f>
        <v>0</v>
      </c>
      <c r="N6" s="78"/>
      <c r="O6" s="74"/>
      <c r="P6" s="77"/>
      <c r="Q6" s="76">
        <f>SUM(O6:P6)</f>
        <v>0</v>
      </c>
      <c r="R6" s="78"/>
      <c r="S6" s="74"/>
      <c r="T6" s="77"/>
      <c r="U6" s="76">
        <f>SUM(S6:T6)</f>
        <v>0</v>
      </c>
      <c r="V6" s="78"/>
      <c r="W6" s="74"/>
      <c r="X6" s="77"/>
      <c r="Y6" s="76">
        <f>SUM(W6:X6)</f>
        <v>0</v>
      </c>
    </row>
    <row r="7" spans="1:25" s="59" customFormat="1">
      <c r="A7" s="113" t="s">
        <v>83</v>
      </c>
      <c r="B7" s="122"/>
      <c r="C7" s="123">
        <f>SUM(C5:C6)</f>
        <v>18.793900000000001</v>
      </c>
      <c r="D7" s="123">
        <f>SUM(D5:D6)</f>
        <v>3.778</v>
      </c>
      <c r="E7" s="123">
        <f>SUM(E5:E6)</f>
        <v>22.571899999999999</v>
      </c>
      <c r="F7" s="79"/>
      <c r="G7" s="76">
        <f t="shared" ref="G7:Y7" si="0">SUM(G5:G6)</f>
        <v>18.8096</v>
      </c>
      <c r="H7" s="76">
        <f t="shared" si="0"/>
        <v>3.778</v>
      </c>
      <c r="I7" s="76">
        <f t="shared" si="0"/>
        <v>22.587600000000002</v>
      </c>
      <c r="J7" s="76"/>
      <c r="K7" s="76">
        <f t="shared" si="0"/>
        <v>0</v>
      </c>
      <c r="L7" s="76">
        <f t="shared" si="0"/>
        <v>0</v>
      </c>
      <c r="M7" s="76">
        <f t="shared" si="0"/>
        <v>0</v>
      </c>
      <c r="N7" s="76"/>
      <c r="O7" s="76">
        <f t="shared" si="0"/>
        <v>0</v>
      </c>
      <c r="P7" s="76">
        <f t="shared" si="0"/>
        <v>0</v>
      </c>
      <c r="Q7" s="76">
        <f t="shared" si="0"/>
        <v>0</v>
      </c>
      <c r="R7" s="76"/>
      <c r="S7" s="76">
        <f t="shared" si="0"/>
        <v>0</v>
      </c>
      <c r="T7" s="76">
        <f t="shared" si="0"/>
        <v>0</v>
      </c>
      <c r="U7" s="76">
        <f t="shared" si="0"/>
        <v>0</v>
      </c>
      <c r="V7" s="76"/>
      <c r="W7" s="76">
        <f t="shared" si="0"/>
        <v>0</v>
      </c>
      <c r="X7" s="76">
        <f t="shared" si="0"/>
        <v>0</v>
      </c>
      <c r="Y7" s="76">
        <f t="shared" si="0"/>
        <v>0</v>
      </c>
    </row>
    <row r="8" spans="1:25" ht="4.1500000000000004" customHeight="1">
      <c r="A8" s="113"/>
      <c r="B8" s="79"/>
      <c r="C8" s="124"/>
      <c r="D8" s="124"/>
      <c r="E8" s="125"/>
      <c r="F8" s="79"/>
      <c r="G8" s="78"/>
      <c r="H8" s="78"/>
      <c r="I8" s="76"/>
      <c r="J8" s="80"/>
      <c r="K8" s="78"/>
      <c r="L8" s="78"/>
      <c r="M8" s="76"/>
      <c r="N8" s="80"/>
      <c r="O8" s="78"/>
      <c r="P8" s="78"/>
      <c r="Q8" s="76"/>
      <c r="R8" s="80"/>
      <c r="S8" s="78"/>
      <c r="T8" s="78"/>
      <c r="U8" s="76"/>
      <c r="V8" s="80"/>
      <c r="W8" s="78"/>
      <c r="X8" s="78"/>
      <c r="Y8" s="76"/>
    </row>
    <row r="9" spans="1:25">
      <c r="A9" s="114" t="s">
        <v>17</v>
      </c>
      <c r="B9" s="81"/>
      <c r="C9" s="70"/>
      <c r="D9" s="70"/>
      <c r="E9" s="706"/>
      <c r="F9" s="81"/>
      <c r="G9" s="82"/>
      <c r="H9" s="83"/>
      <c r="I9" s="83"/>
      <c r="J9" s="84"/>
      <c r="K9" s="82"/>
      <c r="L9" s="83"/>
      <c r="M9" s="76"/>
      <c r="N9" s="84"/>
      <c r="O9" s="82"/>
      <c r="P9" s="83"/>
      <c r="Q9" s="76"/>
      <c r="R9" s="84"/>
      <c r="S9" s="82"/>
      <c r="T9" s="83"/>
      <c r="U9" s="76"/>
      <c r="V9" s="84"/>
      <c r="W9" s="82"/>
      <c r="X9" s="83"/>
      <c r="Y9" s="76">
        <f>SUM(W9:X9)</f>
        <v>0</v>
      </c>
    </row>
    <row r="10" spans="1:25">
      <c r="A10" s="112" t="s">
        <v>84</v>
      </c>
      <c r="B10" s="120"/>
      <c r="C10" s="120"/>
      <c r="D10" s="73"/>
      <c r="E10" s="75"/>
      <c r="F10" s="71"/>
      <c r="G10" s="74"/>
      <c r="H10" s="73"/>
      <c r="I10" s="75"/>
      <c r="J10" s="78"/>
      <c r="K10" s="73" t="s">
        <v>85</v>
      </c>
      <c r="L10" s="73"/>
      <c r="M10" s="76"/>
      <c r="N10" s="78"/>
      <c r="O10" s="73" t="s">
        <v>85</v>
      </c>
      <c r="P10" s="73"/>
      <c r="Q10" s="76"/>
      <c r="R10" s="78"/>
      <c r="S10" s="73" t="s">
        <v>85</v>
      </c>
      <c r="T10" s="73"/>
      <c r="U10" s="76"/>
      <c r="V10" s="78"/>
      <c r="W10" s="73" t="s">
        <v>85</v>
      </c>
      <c r="X10" s="73"/>
      <c r="Y10" s="76">
        <f>SUM(W10:X10)</f>
        <v>0</v>
      </c>
    </row>
    <row r="11" spans="1:25">
      <c r="A11" s="112" t="s">
        <v>86</v>
      </c>
      <c r="B11" s="120"/>
      <c r="C11" s="120"/>
      <c r="D11" s="73"/>
      <c r="E11" s="75"/>
      <c r="F11" s="71"/>
      <c r="G11" s="74"/>
      <c r="H11" s="74"/>
      <c r="I11" s="78"/>
      <c r="J11" s="78"/>
      <c r="K11" s="74"/>
      <c r="L11" s="74"/>
      <c r="M11" s="76"/>
      <c r="N11" s="78"/>
      <c r="O11" s="74"/>
      <c r="P11" s="74"/>
      <c r="Q11" s="76"/>
      <c r="R11" s="78"/>
      <c r="S11" s="74"/>
      <c r="T11" s="74"/>
      <c r="U11" s="76"/>
      <c r="V11" s="78"/>
      <c r="W11" s="74"/>
      <c r="X11" s="74"/>
      <c r="Y11" s="76">
        <f>SUM(W11:X11)</f>
        <v>0</v>
      </c>
    </row>
    <row r="12" spans="1:25">
      <c r="A12" s="112"/>
      <c r="B12" s="72"/>
      <c r="C12" s="73"/>
      <c r="D12" s="73"/>
      <c r="E12" s="126"/>
      <c r="F12" s="71"/>
      <c r="G12" s="74"/>
      <c r="H12" s="74"/>
      <c r="I12" s="78"/>
      <c r="J12" s="78"/>
      <c r="K12" s="74"/>
      <c r="L12" s="74"/>
      <c r="M12" s="76" t="s">
        <v>85</v>
      </c>
      <c r="N12" s="78"/>
      <c r="O12" s="74"/>
      <c r="P12" s="74"/>
      <c r="Q12" s="76" t="s">
        <v>85</v>
      </c>
      <c r="R12" s="78"/>
      <c r="S12" s="74"/>
      <c r="T12" s="74"/>
      <c r="U12" s="76" t="s">
        <v>85</v>
      </c>
      <c r="V12" s="78"/>
      <c r="W12" s="74"/>
      <c r="X12" s="74"/>
      <c r="Y12" s="76" t="s">
        <v>85</v>
      </c>
    </row>
    <row r="13" spans="1:25" s="59" customFormat="1">
      <c r="A13" s="113" t="s">
        <v>83</v>
      </c>
      <c r="B13" s="122"/>
      <c r="C13" s="123">
        <v>0</v>
      </c>
      <c r="D13" s="123">
        <f>SUM(D10:D12)</f>
        <v>0</v>
      </c>
      <c r="E13" s="123">
        <f>SUM(E10:E12)</f>
        <v>0</v>
      </c>
      <c r="F13" s="79"/>
      <c r="G13" s="76">
        <f>SUM(G9:G12)</f>
        <v>0</v>
      </c>
      <c r="H13" s="76">
        <f>SUM(H9:H12)</f>
        <v>0</v>
      </c>
      <c r="I13" s="76">
        <f>SUM(I9:I12)</f>
        <v>0</v>
      </c>
      <c r="J13" s="80"/>
      <c r="K13" s="76">
        <f>SUM(K9:K12)</f>
        <v>0</v>
      </c>
      <c r="L13" s="76">
        <f>SUM(L9:L12)</f>
        <v>0</v>
      </c>
      <c r="M13" s="76">
        <f>SUM(M9:M12)</f>
        <v>0</v>
      </c>
      <c r="N13" s="80"/>
      <c r="O13" s="76">
        <f>SUM(O9:O12)</f>
        <v>0</v>
      </c>
      <c r="P13" s="76">
        <f>SUM(P9:P12)</f>
        <v>0</v>
      </c>
      <c r="Q13" s="76">
        <f>SUM(Q9:Q12)</f>
        <v>0</v>
      </c>
      <c r="R13" s="80"/>
      <c r="S13" s="76">
        <f>SUM(S9:S12)</f>
        <v>0</v>
      </c>
      <c r="T13" s="76">
        <f>SUM(T9:T12)</f>
        <v>0</v>
      </c>
      <c r="U13" s="76">
        <f>SUM(U9:U12)</f>
        <v>0</v>
      </c>
      <c r="V13" s="80"/>
      <c r="W13" s="76">
        <f>SUM(W9:W12)</f>
        <v>0</v>
      </c>
      <c r="X13" s="76">
        <f>SUM(X9:X12)</f>
        <v>0</v>
      </c>
      <c r="Y13" s="76">
        <f>SUM(Y9:Y12)</f>
        <v>0</v>
      </c>
    </row>
    <row r="14" spans="1:25" ht="4.1500000000000004" customHeight="1">
      <c r="A14" s="113"/>
      <c r="B14" s="79"/>
      <c r="C14" s="124"/>
      <c r="D14" s="124"/>
      <c r="E14" s="125"/>
      <c r="F14" s="79"/>
      <c r="G14" s="78"/>
      <c r="H14" s="78"/>
      <c r="I14" s="76"/>
      <c r="J14" s="80"/>
      <c r="K14" s="78"/>
      <c r="L14" s="78"/>
      <c r="M14" s="76">
        <f>SUM(M9:M12)</f>
        <v>0</v>
      </c>
      <c r="N14" s="80"/>
      <c r="O14" s="78"/>
      <c r="P14" s="78"/>
      <c r="Q14" s="76">
        <f>SUM(Q9:Q12)</f>
        <v>0</v>
      </c>
      <c r="R14" s="80"/>
      <c r="S14" s="78"/>
      <c r="T14" s="78"/>
      <c r="U14" s="76">
        <f>SUM(U9:U12)</f>
        <v>0</v>
      </c>
      <c r="V14" s="80"/>
      <c r="W14" s="78"/>
      <c r="X14" s="78"/>
      <c r="Y14" s="76"/>
    </row>
    <row r="15" spans="1:25" s="59" customFormat="1" ht="17.25" customHeight="1">
      <c r="A15" s="113" t="s">
        <v>80</v>
      </c>
      <c r="B15" s="79"/>
      <c r="C15" s="123">
        <f>C7+C13</f>
        <v>18.793900000000001</v>
      </c>
      <c r="D15" s="123">
        <f>D7+D13</f>
        <v>3.778</v>
      </c>
      <c r="E15" s="123">
        <f>E7+E13</f>
        <v>22.571899999999999</v>
      </c>
      <c r="F15" s="79"/>
      <c r="G15" s="76">
        <f>G7+G13</f>
        <v>18.8096</v>
      </c>
      <c r="H15" s="76">
        <f>H7+H13</f>
        <v>3.778</v>
      </c>
      <c r="I15" s="76">
        <f>I7+I13</f>
        <v>22.587600000000002</v>
      </c>
      <c r="J15" s="80"/>
      <c r="K15" s="76">
        <f>K7+K13</f>
        <v>0</v>
      </c>
      <c r="L15" s="76">
        <f>L7+L13</f>
        <v>0</v>
      </c>
      <c r="M15" s="76">
        <f>M7+M13</f>
        <v>0</v>
      </c>
      <c r="N15" s="80"/>
      <c r="O15" s="76">
        <f>O7+O13</f>
        <v>0</v>
      </c>
      <c r="P15" s="76">
        <f>P7+P13</f>
        <v>0</v>
      </c>
      <c r="Q15" s="76">
        <f>Q7+Q13</f>
        <v>0</v>
      </c>
      <c r="R15" s="80"/>
      <c r="S15" s="76">
        <f>S7+S13</f>
        <v>0</v>
      </c>
      <c r="T15" s="76">
        <f>T7+T13</f>
        <v>0</v>
      </c>
      <c r="U15" s="76">
        <f>U7+U13</f>
        <v>0</v>
      </c>
      <c r="V15" s="80"/>
      <c r="W15" s="76">
        <f>W7+W13</f>
        <v>0</v>
      </c>
      <c r="X15" s="76">
        <f>X7+X13</f>
        <v>0</v>
      </c>
      <c r="Y15" s="76">
        <f>Y7+Y13</f>
        <v>0</v>
      </c>
    </row>
    <row r="16" spans="1:25" ht="17.25" customHeight="1">
      <c r="A16" s="115"/>
      <c r="B16" s="97"/>
      <c r="C16" s="127"/>
      <c r="D16" s="127"/>
      <c r="E16" s="128"/>
      <c r="F16" s="97"/>
      <c r="G16" s="85"/>
      <c r="H16" s="85"/>
      <c r="I16" s="86"/>
      <c r="J16" s="86"/>
      <c r="K16" s="85"/>
      <c r="L16" s="85"/>
      <c r="M16" s="86"/>
      <c r="N16" s="86"/>
      <c r="O16" s="85"/>
      <c r="P16" s="85"/>
      <c r="Q16" s="86"/>
      <c r="R16" s="86"/>
      <c r="S16" s="85"/>
      <c r="T16" s="85"/>
      <c r="U16" s="86"/>
      <c r="V16" s="86"/>
      <c r="W16" s="85"/>
      <c r="X16" s="85"/>
      <c r="Y16" s="86"/>
    </row>
    <row r="17" spans="1:25">
      <c r="A17" s="705" t="s">
        <v>87</v>
      </c>
      <c r="B17" s="129"/>
      <c r="C17" s="130"/>
      <c r="D17" s="130"/>
      <c r="E17" s="131"/>
      <c r="F17" s="139"/>
      <c r="G17" s="87"/>
      <c r="H17" s="87"/>
      <c r="I17" s="88"/>
      <c r="J17" s="88"/>
      <c r="K17" s="87"/>
      <c r="L17" s="87"/>
      <c r="M17" s="88"/>
      <c r="N17" s="88"/>
      <c r="O17" s="87"/>
      <c r="P17" s="87"/>
      <c r="Q17" s="88"/>
      <c r="R17" s="88"/>
      <c r="S17" s="87"/>
      <c r="T17" s="87"/>
      <c r="U17" s="88"/>
      <c r="V17" s="88"/>
      <c r="W17" s="87"/>
      <c r="X17" s="87"/>
      <c r="Y17" s="89"/>
    </row>
    <row r="18" spans="1:25">
      <c r="A18" s="116" t="s">
        <v>88</v>
      </c>
      <c r="B18" s="72"/>
      <c r="C18" s="120"/>
      <c r="D18" s="120"/>
      <c r="E18" s="126"/>
      <c r="F18" s="72"/>
      <c r="G18" s="74"/>
      <c r="H18" s="74"/>
      <c r="I18" s="78"/>
      <c r="J18" s="72"/>
      <c r="K18" s="74"/>
      <c r="L18" s="74"/>
      <c r="M18" s="78"/>
      <c r="N18" s="72"/>
      <c r="O18" s="74"/>
      <c r="P18" s="74"/>
      <c r="Q18" s="78"/>
      <c r="R18" s="72"/>
      <c r="S18" s="74"/>
      <c r="T18" s="74"/>
      <c r="U18" s="78"/>
      <c r="V18" s="72"/>
      <c r="W18" s="74"/>
      <c r="X18" s="74"/>
      <c r="Y18" s="78"/>
    </row>
    <row r="19" spans="1:25">
      <c r="A19" s="112"/>
      <c r="B19" s="71"/>
      <c r="C19" s="132"/>
      <c r="D19" s="132"/>
      <c r="E19" s="133">
        <v>59.3</v>
      </c>
      <c r="F19" s="71"/>
      <c r="G19" s="74"/>
      <c r="H19" s="74"/>
      <c r="I19" s="133">
        <v>59.3</v>
      </c>
      <c r="J19" s="78"/>
      <c r="K19" s="74"/>
      <c r="L19" s="74"/>
      <c r="M19" s="78"/>
      <c r="N19" s="78"/>
      <c r="O19" s="74"/>
      <c r="P19" s="74"/>
      <c r="Q19" s="78"/>
      <c r="R19" s="78"/>
      <c r="S19" s="74"/>
      <c r="T19" s="74"/>
      <c r="U19" s="78"/>
      <c r="V19" s="78"/>
      <c r="W19" s="74"/>
      <c r="X19" s="74"/>
      <c r="Y19" s="78"/>
    </row>
    <row r="20" spans="1:25" s="59" customFormat="1">
      <c r="A20" s="117" t="s">
        <v>83</v>
      </c>
      <c r="B20" s="123">
        <f>SUM(B18:B19)</f>
        <v>0</v>
      </c>
      <c r="C20" s="123"/>
      <c r="D20" s="123"/>
      <c r="E20" s="123">
        <v>59.3</v>
      </c>
      <c r="F20" s="90">
        <f>SUM(F18:F19)</f>
        <v>0</v>
      </c>
      <c r="G20" s="91"/>
      <c r="H20" s="91"/>
      <c r="I20" s="123">
        <v>59.3</v>
      </c>
      <c r="J20" s="76">
        <f>SUM(J18:J19)</f>
        <v>0</v>
      </c>
      <c r="K20" s="91"/>
      <c r="L20" s="91"/>
      <c r="M20" s="76"/>
      <c r="N20" s="76">
        <f>SUM(N18:N19)</f>
        <v>0</v>
      </c>
      <c r="O20" s="91"/>
      <c r="P20" s="91"/>
      <c r="Q20" s="76"/>
      <c r="R20" s="76">
        <f>SUM(R18:R19)</f>
        <v>0</v>
      </c>
      <c r="S20" s="91"/>
      <c r="T20" s="91"/>
      <c r="U20" s="76"/>
      <c r="V20" s="76">
        <f>SUM(V18:V19)</f>
        <v>0</v>
      </c>
      <c r="W20" s="91"/>
      <c r="X20" s="91"/>
      <c r="Y20" s="76"/>
    </row>
    <row r="21" spans="1:25" ht="4.1500000000000004" customHeight="1">
      <c r="A21" s="113"/>
      <c r="B21" s="124"/>
      <c r="C21" s="124"/>
      <c r="D21" s="124"/>
      <c r="E21" s="125"/>
      <c r="F21" s="79"/>
      <c r="G21" s="78"/>
      <c r="H21" s="78"/>
      <c r="I21" s="125"/>
      <c r="J21" s="80"/>
      <c r="K21" s="78"/>
      <c r="L21" s="78"/>
      <c r="M21" s="76"/>
      <c r="N21" s="80"/>
      <c r="O21" s="78"/>
      <c r="P21" s="78"/>
      <c r="Q21" s="76"/>
      <c r="R21" s="80"/>
      <c r="S21" s="78"/>
      <c r="T21" s="78"/>
      <c r="U21" s="76"/>
      <c r="V21" s="80"/>
      <c r="W21" s="78"/>
      <c r="X21" s="78"/>
      <c r="Y21" s="76"/>
    </row>
    <row r="22" spans="1:25" s="59" customFormat="1">
      <c r="A22" s="113" t="s">
        <v>89</v>
      </c>
      <c r="B22" s="92">
        <f>B20</f>
        <v>0</v>
      </c>
      <c r="C22" s="92"/>
      <c r="D22" s="92"/>
      <c r="E22" s="93">
        <v>59.3</v>
      </c>
      <c r="F22" s="90">
        <f>F20</f>
        <v>0</v>
      </c>
      <c r="G22" s="92"/>
      <c r="H22" s="92"/>
      <c r="I22" s="93">
        <v>59.3</v>
      </c>
      <c r="J22" s="80">
        <f>J20</f>
        <v>0</v>
      </c>
      <c r="K22" s="92"/>
      <c r="L22" s="92"/>
      <c r="M22" s="93"/>
      <c r="N22" s="80">
        <f>N20</f>
        <v>0</v>
      </c>
      <c r="O22" s="92"/>
      <c r="P22" s="92"/>
      <c r="Q22" s="93"/>
      <c r="R22" s="80">
        <f>R20</f>
        <v>0</v>
      </c>
      <c r="S22" s="92"/>
      <c r="T22" s="92"/>
      <c r="U22" s="93"/>
      <c r="V22" s="80">
        <f>V20</f>
        <v>0</v>
      </c>
      <c r="W22" s="92"/>
      <c r="X22" s="92"/>
      <c r="Y22" s="93"/>
    </row>
    <row r="23" spans="1:25">
      <c r="A23" s="59"/>
      <c r="B23" s="98"/>
      <c r="C23" s="99"/>
      <c r="D23" s="99"/>
      <c r="E23" s="100"/>
      <c r="F23" s="98"/>
      <c r="G23" s="99"/>
      <c r="H23" s="100"/>
      <c r="I23" s="98"/>
      <c r="J23" s="98"/>
      <c r="K23" s="99"/>
      <c r="L23" s="100"/>
      <c r="M23" s="98"/>
      <c r="N23" s="98"/>
      <c r="O23" s="99"/>
      <c r="P23" s="100"/>
      <c r="Q23" s="98"/>
      <c r="R23" s="98"/>
      <c r="S23" s="99"/>
      <c r="T23" s="100"/>
      <c r="U23" s="98"/>
      <c r="V23" s="98"/>
      <c r="W23" s="99"/>
      <c r="X23" s="100"/>
      <c r="Y23" s="98"/>
    </row>
    <row r="24" spans="1:25">
      <c r="B24" s="69"/>
      <c r="C24" s="69"/>
      <c r="D24" s="69"/>
      <c r="E24" s="69"/>
      <c r="F24" s="69"/>
      <c r="G24" s="69"/>
      <c r="H24" s="69"/>
      <c r="I24" s="69"/>
      <c r="J24" s="69"/>
      <c r="K24" s="69"/>
      <c r="L24" s="69"/>
      <c r="M24" s="69"/>
      <c r="N24" s="69"/>
      <c r="O24" s="69"/>
      <c r="P24" s="69"/>
      <c r="Q24" s="69"/>
      <c r="R24" s="69"/>
      <c r="S24" s="69"/>
      <c r="T24" s="69"/>
      <c r="U24" s="69"/>
      <c r="V24" s="69"/>
      <c r="W24" s="69"/>
      <c r="X24" s="69"/>
      <c r="Y24" s="69"/>
    </row>
    <row r="25" spans="1:25">
      <c r="A25" s="118"/>
      <c r="B25" s="738" t="s">
        <v>35</v>
      </c>
      <c r="C25" s="738"/>
      <c r="D25" s="738"/>
      <c r="E25" s="738"/>
      <c r="F25" s="738" t="s">
        <v>90</v>
      </c>
      <c r="G25" s="738"/>
      <c r="H25" s="738"/>
      <c r="I25" s="738" t="s">
        <v>35</v>
      </c>
      <c r="J25" s="738" t="s">
        <v>91</v>
      </c>
      <c r="K25" s="738"/>
      <c r="L25" s="738"/>
      <c r="M25" s="738" t="s">
        <v>35</v>
      </c>
      <c r="N25" s="738" t="s">
        <v>38</v>
      </c>
      <c r="O25" s="738"/>
      <c r="P25" s="738"/>
      <c r="Q25" s="738" t="s">
        <v>35</v>
      </c>
      <c r="R25" s="738" t="s">
        <v>92</v>
      </c>
      <c r="S25" s="738"/>
      <c r="T25" s="738"/>
      <c r="U25" s="738" t="s">
        <v>35</v>
      </c>
      <c r="V25" s="738" t="s">
        <v>40</v>
      </c>
      <c r="W25" s="738"/>
      <c r="X25" s="738"/>
      <c r="Y25" s="738" t="s">
        <v>35</v>
      </c>
    </row>
    <row r="26" spans="1:25" ht="38.25">
      <c r="A26" s="705" t="s">
        <v>76</v>
      </c>
      <c r="B26" s="70" t="s">
        <v>77</v>
      </c>
      <c r="C26" s="70" t="s">
        <v>78</v>
      </c>
      <c r="D26" s="70" t="s">
        <v>79</v>
      </c>
      <c r="E26" s="70" t="s">
        <v>80</v>
      </c>
      <c r="F26" s="70" t="s">
        <v>77</v>
      </c>
      <c r="G26" s="70" t="s">
        <v>78</v>
      </c>
      <c r="H26" s="70" t="s">
        <v>79</v>
      </c>
      <c r="I26" s="70" t="s">
        <v>80</v>
      </c>
      <c r="J26" s="70" t="s">
        <v>77</v>
      </c>
      <c r="K26" s="70" t="s">
        <v>78</v>
      </c>
      <c r="L26" s="70" t="s">
        <v>79</v>
      </c>
      <c r="M26" s="70" t="s">
        <v>80</v>
      </c>
      <c r="N26" s="70" t="s">
        <v>77</v>
      </c>
      <c r="O26" s="70" t="s">
        <v>78</v>
      </c>
      <c r="P26" s="70" t="s">
        <v>79</v>
      </c>
      <c r="Q26" s="70" t="s">
        <v>80</v>
      </c>
      <c r="R26" s="70" t="s">
        <v>77</v>
      </c>
      <c r="S26" s="70" t="s">
        <v>78</v>
      </c>
      <c r="T26" s="70" t="s">
        <v>79</v>
      </c>
      <c r="U26" s="70" t="s">
        <v>80</v>
      </c>
      <c r="V26" s="70" t="s">
        <v>77</v>
      </c>
      <c r="W26" s="70" t="s">
        <v>78</v>
      </c>
      <c r="X26" s="70" t="s">
        <v>79</v>
      </c>
      <c r="Y26" s="70" t="s">
        <v>80</v>
      </c>
    </row>
    <row r="27" spans="1:25">
      <c r="A27" s="112" t="s">
        <v>93</v>
      </c>
      <c r="B27" s="94"/>
      <c r="C27" s="94"/>
      <c r="D27" s="74"/>
      <c r="E27" s="134"/>
      <c r="F27" s="78"/>
      <c r="G27" s="74"/>
      <c r="H27" s="77"/>
      <c r="I27" s="76"/>
      <c r="J27" s="78"/>
      <c r="K27" s="74"/>
      <c r="L27" s="77"/>
      <c r="M27" s="76"/>
      <c r="N27" s="78"/>
      <c r="O27" s="74"/>
      <c r="P27" s="77"/>
      <c r="Q27" s="76"/>
      <c r="R27" s="78"/>
      <c r="S27" s="74"/>
      <c r="T27" s="77"/>
      <c r="U27" s="76"/>
      <c r="V27" s="78"/>
      <c r="W27" s="74"/>
      <c r="X27" s="77"/>
      <c r="Y27" s="76"/>
    </row>
    <row r="28" spans="1:25">
      <c r="A28" s="112" t="s">
        <v>82</v>
      </c>
      <c r="B28" s="94"/>
      <c r="C28" s="135"/>
      <c r="D28" s="74"/>
      <c r="E28" s="134">
        <f>SUM(B28:D28)</f>
        <v>0</v>
      </c>
      <c r="F28" s="78"/>
      <c r="G28" s="74"/>
      <c r="H28" s="77"/>
      <c r="I28" s="76">
        <f>SUM(G28:H28)</f>
        <v>0</v>
      </c>
      <c r="J28" s="78"/>
      <c r="K28" s="74"/>
      <c r="L28" s="77"/>
      <c r="M28" s="76">
        <f>SUM(K28:L28)</f>
        <v>0</v>
      </c>
      <c r="N28" s="78"/>
      <c r="O28" s="74"/>
      <c r="P28" s="77"/>
      <c r="Q28" s="76">
        <f t="shared" ref="Q28:Q33" si="1">SUM(O28:P28)</f>
        <v>0</v>
      </c>
      <c r="R28" s="78"/>
      <c r="S28" s="74"/>
      <c r="T28" s="77"/>
      <c r="U28" s="76">
        <f>SUM(S28:T28)</f>
        <v>0</v>
      </c>
      <c r="V28" s="78"/>
      <c r="W28" s="74"/>
      <c r="X28" s="77"/>
      <c r="Y28" s="76">
        <f>SUM(W28:X28)</f>
        <v>0</v>
      </c>
    </row>
    <row r="29" spans="1:25">
      <c r="A29" s="112" t="s">
        <v>94</v>
      </c>
      <c r="B29" s="94"/>
      <c r="C29" s="74"/>
      <c r="D29" s="74"/>
      <c r="E29" s="134"/>
      <c r="F29" s="78"/>
      <c r="G29" s="74"/>
      <c r="H29" s="77"/>
      <c r="I29" s="76">
        <f>SUM(G29:H29)</f>
        <v>0</v>
      </c>
      <c r="J29" s="78"/>
      <c r="K29" s="74"/>
      <c r="L29" s="77"/>
      <c r="M29" s="76">
        <f t="shared" ref="M29:M40" si="2">SUM(K29:L29)</f>
        <v>0</v>
      </c>
      <c r="N29" s="78"/>
      <c r="O29" s="74"/>
      <c r="P29" s="77"/>
      <c r="Q29" s="76">
        <f t="shared" si="1"/>
        <v>0</v>
      </c>
      <c r="R29" s="78"/>
      <c r="S29" s="74"/>
      <c r="T29" s="77"/>
      <c r="U29" s="76"/>
      <c r="V29" s="78"/>
      <c r="W29" s="74"/>
      <c r="X29" s="77"/>
      <c r="Y29" s="76"/>
    </row>
    <row r="30" spans="1:25">
      <c r="A30" s="112" t="s">
        <v>95</v>
      </c>
      <c r="B30" s="94"/>
      <c r="C30" s="74"/>
      <c r="D30" s="74"/>
      <c r="E30" s="134"/>
      <c r="F30" s="78"/>
      <c r="G30" s="95"/>
      <c r="H30" s="95"/>
      <c r="I30" s="76">
        <f>SUM(G30:H30)</f>
        <v>0</v>
      </c>
      <c r="J30" s="78"/>
      <c r="K30" s="95"/>
      <c r="L30" s="95"/>
      <c r="M30" s="76">
        <f t="shared" si="2"/>
        <v>0</v>
      </c>
      <c r="N30" s="78"/>
      <c r="O30" s="95"/>
      <c r="P30" s="95"/>
      <c r="Q30" s="76">
        <f t="shared" si="1"/>
        <v>0</v>
      </c>
      <c r="R30" s="78"/>
      <c r="S30" s="95"/>
      <c r="T30" s="95"/>
      <c r="U30" s="76"/>
      <c r="V30" s="78"/>
      <c r="W30" s="95"/>
      <c r="X30" s="95"/>
      <c r="Y30" s="76"/>
    </row>
    <row r="31" spans="1:25">
      <c r="A31" s="112" t="s">
        <v>96</v>
      </c>
      <c r="B31" s="94"/>
      <c r="C31" s="74"/>
      <c r="D31" s="74"/>
      <c r="E31" s="134"/>
      <c r="F31" s="78"/>
      <c r="G31" s="95"/>
      <c r="H31" s="95"/>
      <c r="I31" s="76">
        <f>SUM(G31:H31)</f>
        <v>0</v>
      </c>
      <c r="J31" s="78"/>
      <c r="K31" s="95"/>
      <c r="L31" s="95"/>
      <c r="M31" s="76">
        <f t="shared" si="2"/>
        <v>0</v>
      </c>
      <c r="N31" s="78"/>
      <c r="O31" s="95"/>
      <c r="P31" s="95"/>
      <c r="Q31" s="76">
        <f t="shared" si="1"/>
        <v>0</v>
      </c>
      <c r="R31" s="78"/>
      <c r="S31" s="95"/>
      <c r="T31" s="95"/>
      <c r="U31" s="76"/>
      <c r="V31" s="78"/>
      <c r="W31" s="95"/>
      <c r="X31" s="95"/>
      <c r="Y31" s="76"/>
    </row>
    <row r="32" spans="1:25">
      <c r="A32" s="112" t="s">
        <v>97</v>
      </c>
      <c r="B32" s="78"/>
      <c r="C32" s="74"/>
      <c r="D32" s="74"/>
      <c r="E32" s="134">
        <f>SUM(B32:D32)</f>
        <v>0</v>
      </c>
      <c r="F32" s="78"/>
      <c r="G32" s="74"/>
      <c r="H32" s="74"/>
      <c r="I32" s="76">
        <f>SUM(G32:H32)</f>
        <v>0</v>
      </c>
      <c r="J32" s="78"/>
      <c r="K32" s="74"/>
      <c r="L32" s="74"/>
      <c r="M32" s="76">
        <f t="shared" si="2"/>
        <v>0</v>
      </c>
      <c r="N32" s="78"/>
      <c r="O32" s="74"/>
      <c r="P32" s="74"/>
      <c r="Q32" s="76">
        <f t="shared" si="1"/>
        <v>0</v>
      </c>
      <c r="R32" s="78"/>
      <c r="S32" s="74"/>
      <c r="T32" s="74"/>
      <c r="U32" s="76">
        <f>SUM(S32:T32)</f>
        <v>0</v>
      </c>
      <c r="V32" s="78"/>
      <c r="W32" s="74"/>
      <c r="X32" s="74"/>
      <c r="Y32" s="76">
        <f>SUM(W32:X32)</f>
        <v>0</v>
      </c>
    </row>
    <row r="33" spans="1:25" s="59" customFormat="1">
      <c r="A33" s="113" t="s">
        <v>83</v>
      </c>
      <c r="B33" s="136"/>
      <c r="C33" s="80">
        <f>SUM(C27:C32)</f>
        <v>0</v>
      </c>
      <c r="D33" s="80">
        <f>SUM(D27:D32)</f>
        <v>0</v>
      </c>
      <c r="E33" s="80">
        <f>SUM(E27:E32)</f>
        <v>0</v>
      </c>
      <c r="F33" s="80"/>
      <c r="G33" s="76">
        <f>SUM(G27:G32)</f>
        <v>0</v>
      </c>
      <c r="H33" s="76">
        <f>SUM(H27:H32)</f>
        <v>0</v>
      </c>
      <c r="I33" s="76">
        <f>SUM(I27:I32)</f>
        <v>0</v>
      </c>
      <c r="J33" s="80"/>
      <c r="K33" s="76">
        <f>SUM(K28:K32)</f>
        <v>0</v>
      </c>
      <c r="L33" s="76">
        <f>SUM(L28:L32)</f>
        <v>0</v>
      </c>
      <c r="M33" s="76">
        <f t="shared" si="2"/>
        <v>0</v>
      </c>
      <c r="N33" s="80"/>
      <c r="O33" s="76">
        <f>SUM(O28:O32)</f>
        <v>0</v>
      </c>
      <c r="P33" s="76">
        <f>SUM(P28:P32)</f>
        <v>0</v>
      </c>
      <c r="Q33" s="76">
        <f t="shared" si="1"/>
        <v>0</v>
      </c>
      <c r="R33" s="80"/>
      <c r="S33" s="76">
        <f>SUM(S28:S32)</f>
        <v>0</v>
      </c>
      <c r="T33" s="76">
        <f>SUM(T28:T32)</f>
        <v>0</v>
      </c>
      <c r="U33" s="76">
        <f>SUM(S33:T33)</f>
        <v>0</v>
      </c>
      <c r="V33" s="80"/>
      <c r="W33" s="76">
        <f>SUM(W28:W32)</f>
        <v>0</v>
      </c>
      <c r="X33" s="76">
        <f>SUM(X28:X32)</f>
        <v>0</v>
      </c>
      <c r="Y33" s="76">
        <f>SUM(W33:X33)</f>
        <v>0</v>
      </c>
    </row>
    <row r="34" spans="1:25" ht="4.1500000000000004" customHeight="1">
      <c r="A34" s="113"/>
      <c r="B34" s="80"/>
      <c r="C34" s="78"/>
      <c r="D34" s="78"/>
      <c r="E34" s="76"/>
      <c r="F34" s="80"/>
      <c r="G34" s="78"/>
      <c r="H34" s="78"/>
      <c r="I34" s="76"/>
      <c r="J34" s="80"/>
      <c r="K34" s="78"/>
      <c r="L34" s="78"/>
      <c r="M34" s="76"/>
      <c r="N34" s="80"/>
      <c r="O34" s="78"/>
      <c r="P34" s="78"/>
      <c r="Q34" s="76"/>
      <c r="R34" s="80"/>
      <c r="S34" s="78"/>
      <c r="T34" s="78"/>
      <c r="U34" s="76"/>
      <c r="V34" s="80"/>
      <c r="W34" s="78"/>
      <c r="X34" s="78"/>
      <c r="Y34" s="76"/>
    </row>
    <row r="35" spans="1:25">
      <c r="A35" s="114" t="s">
        <v>17</v>
      </c>
      <c r="B35" s="84"/>
      <c r="C35" s="82"/>
      <c r="D35" s="82"/>
      <c r="E35" s="83"/>
      <c r="F35" s="84"/>
      <c r="G35" s="82"/>
      <c r="H35" s="83"/>
      <c r="I35" s="76">
        <f>SUM(G35:H35)</f>
        <v>0</v>
      </c>
      <c r="J35" s="84"/>
      <c r="K35" s="82"/>
      <c r="L35" s="83"/>
      <c r="M35" s="76">
        <f t="shared" si="2"/>
        <v>0</v>
      </c>
      <c r="N35" s="84"/>
      <c r="O35" s="76"/>
      <c r="P35" s="83"/>
      <c r="Q35" s="76">
        <f t="shared" ref="Q35:Q40" si="3">SUM(O35:P35)</f>
        <v>0</v>
      </c>
      <c r="R35" s="84"/>
      <c r="S35" s="82"/>
      <c r="T35" s="83"/>
      <c r="U35" s="76">
        <f t="shared" ref="U35:U40" si="4">SUM(S35:T35)</f>
        <v>0</v>
      </c>
      <c r="V35" s="84"/>
      <c r="W35" s="82"/>
      <c r="X35" s="83"/>
      <c r="Y35" s="76">
        <f t="shared" ref="Y35:Y40" si="5">SUM(W35:X35)</f>
        <v>0</v>
      </c>
    </row>
    <row r="36" spans="1:25">
      <c r="A36" s="112" t="s">
        <v>84</v>
      </c>
      <c r="B36" s="94"/>
      <c r="C36" s="94"/>
      <c r="D36" s="74"/>
      <c r="E36" s="134"/>
      <c r="F36" s="78"/>
      <c r="G36" s="74"/>
      <c r="H36" s="74"/>
      <c r="I36" s="76">
        <f>SUM(G36:H36)</f>
        <v>0</v>
      </c>
      <c r="J36" s="78"/>
      <c r="K36" s="74"/>
      <c r="L36" s="74"/>
      <c r="M36" s="76">
        <f t="shared" si="2"/>
        <v>0</v>
      </c>
      <c r="N36" s="78"/>
      <c r="O36" s="76"/>
      <c r="P36" s="74"/>
      <c r="Q36" s="76">
        <f t="shared" si="3"/>
        <v>0</v>
      </c>
      <c r="R36" s="78"/>
      <c r="S36" s="74"/>
      <c r="T36" s="74"/>
      <c r="U36" s="76">
        <f t="shared" si="4"/>
        <v>0</v>
      </c>
      <c r="V36" s="78"/>
      <c r="W36" s="74"/>
      <c r="X36" s="74"/>
      <c r="Y36" s="76">
        <f t="shared" si="5"/>
        <v>0</v>
      </c>
    </row>
    <row r="37" spans="1:25">
      <c r="A37" s="112" t="s">
        <v>98</v>
      </c>
      <c r="B37" s="94"/>
      <c r="C37" s="94"/>
      <c r="D37" s="74"/>
      <c r="E37" s="134"/>
      <c r="F37" s="78"/>
      <c r="G37" s="74"/>
      <c r="H37" s="74"/>
      <c r="I37" s="76">
        <f>SUM(G37:H37)</f>
        <v>0</v>
      </c>
      <c r="J37" s="78"/>
      <c r="K37" s="74"/>
      <c r="L37" s="74"/>
      <c r="M37" s="76">
        <f t="shared" si="2"/>
        <v>0</v>
      </c>
      <c r="N37" s="78"/>
      <c r="O37" s="76"/>
      <c r="P37" s="74"/>
      <c r="Q37" s="76">
        <f t="shared" si="3"/>
        <v>0</v>
      </c>
      <c r="R37" s="78"/>
      <c r="S37" s="74"/>
      <c r="T37" s="74"/>
      <c r="U37" s="76">
        <f t="shared" si="4"/>
        <v>0</v>
      </c>
      <c r="V37" s="78"/>
      <c r="W37" s="74"/>
      <c r="X37" s="74"/>
      <c r="Y37" s="76">
        <f t="shared" si="5"/>
        <v>0</v>
      </c>
    </row>
    <row r="38" spans="1:25">
      <c r="A38" s="112" t="s">
        <v>86</v>
      </c>
      <c r="B38" s="94"/>
      <c r="C38" s="94"/>
      <c r="D38" s="74"/>
      <c r="E38" s="134"/>
      <c r="F38" s="78"/>
      <c r="G38" s="74"/>
      <c r="H38" s="74"/>
      <c r="I38" s="76">
        <f>SUM(G38:H38)</f>
        <v>0</v>
      </c>
      <c r="J38" s="78"/>
      <c r="K38" s="74"/>
      <c r="L38" s="74"/>
      <c r="M38" s="76">
        <f t="shared" si="2"/>
        <v>0</v>
      </c>
      <c r="N38" s="78"/>
      <c r="O38" s="76"/>
      <c r="P38" s="74"/>
      <c r="Q38" s="76">
        <f t="shared" si="3"/>
        <v>0</v>
      </c>
      <c r="R38" s="78"/>
      <c r="S38" s="74"/>
      <c r="T38" s="74"/>
      <c r="U38" s="76">
        <f t="shared" si="4"/>
        <v>0</v>
      </c>
      <c r="V38" s="78"/>
      <c r="W38" s="74"/>
      <c r="X38" s="74"/>
      <c r="Y38" s="76">
        <f t="shared" si="5"/>
        <v>0</v>
      </c>
    </row>
    <row r="39" spans="1:25">
      <c r="A39" s="112"/>
      <c r="B39" s="78"/>
      <c r="C39" s="74"/>
      <c r="D39" s="74"/>
      <c r="E39" s="91"/>
      <c r="F39" s="78"/>
      <c r="G39" s="74"/>
      <c r="H39" s="74"/>
      <c r="I39" s="76">
        <f>SUM(G39:H39)</f>
        <v>0</v>
      </c>
      <c r="J39" s="78"/>
      <c r="K39" s="74"/>
      <c r="L39" s="74"/>
      <c r="M39" s="76">
        <f t="shared" si="2"/>
        <v>0</v>
      </c>
      <c r="N39" s="78"/>
      <c r="O39" s="76"/>
      <c r="P39" s="74"/>
      <c r="Q39" s="76">
        <f t="shared" si="3"/>
        <v>0</v>
      </c>
      <c r="R39" s="78"/>
      <c r="S39" s="74"/>
      <c r="T39" s="74"/>
      <c r="U39" s="76">
        <f t="shared" si="4"/>
        <v>0</v>
      </c>
      <c r="V39" s="78"/>
      <c r="W39" s="74"/>
      <c r="X39" s="74"/>
      <c r="Y39" s="76">
        <f t="shared" si="5"/>
        <v>0</v>
      </c>
    </row>
    <row r="40" spans="1:25" s="59" customFormat="1">
      <c r="A40" s="113" t="s">
        <v>83</v>
      </c>
      <c r="B40" s="136"/>
      <c r="C40" s="80">
        <f>SUM(C35:C39)</f>
        <v>0</v>
      </c>
      <c r="D40" s="80">
        <f>SUM(D36:D39)</f>
        <v>0</v>
      </c>
      <c r="E40" s="80">
        <f>SUM(E36:E39)</f>
        <v>0</v>
      </c>
      <c r="F40" s="80"/>
      <c r="G40" s="76">
        <f>SUM(G35:G39)</f>
        <v>0</v>
      </c>
      <c r="H40" s="76">
        <f>SUM(H35:H39)</f>
        <v>0</v>
      </c>
      <c r="I40" s="76">
        <f>SUM(I35:I39)</f>
        <v>0</v>
      </c>
      <c r="J40" s="80"/>
      <c r="K40" s="76">
        <f>(K35+K39)</f>
        <v>0</v>
      </c>
      <c r="L40" s="76">
        <f>(L35+L39)</f>
        <v>0</v>
      </c>
      <c r="M40" s="76">
        <f t="shared" si="2"/>
        <v>0</v>
      </c>
      <c r="N40" s="80"/>
      <c r="O40" s="76"/>
      <c r="P40" s="76"/>
      <c r="Q40" s="76">
        <f t="shared" si="3"/>
        <v>0</v>
      </c>
      <c r="R40" s="80"/>
      <c r="S40" s="76"/>
      <c r="T40" s="76"/>
      <c r="U40" s="76">
        <f t="shared" si="4"/>
        <v>0</v>
      </c>
      <c r="V40" s="80"/>
      <c r="W40" s="76"/>
      <c r="X40" s="76"/>
      <c r="Y40" s="76">
        <f t="shared" si="5"/>
        <v>0</v>
      </c>
    </row>
    <row r="41" spans="1:25" ht="4.1500000000000004" customHeight="1">
      <c r="A41" s="113"/>
      <c r="B41" s="80"/>
      <c r="C41" s="78"/>
      <c r="D41" s="78"/>
      <c r="E41" s="76"/>
      <c r="F41" s="80"/>
      <c r="G41" s="78"/>
      <c r="H41" s="78"/>
      <c r="I41" s="76"/>
      <c r="J41" s="80"/>
      <c r="K41" s="78"/>
      <c r="L41" s="78"/>
      <c r="M41" s="76"/>
      <c r="N41" s="80"/>
      <c r="O41" s="78"/>
      <c r="P41" s="78"/>
      <c r="Q41" s="76"/>
      <c r="R41" s="80"/>
      <c r="S41" s="78"/>
      <c r="T41" s="78"/>
      <c r="U41" s="76"/>
      <c r="V41" s="80"/>
      <c r="W41" s="78"/>
      <c r="X41" s="78"/>
      <c r="Y41" s="76"/>
    </row>
    <row r="42" spans="1:25" ht="17.25" customHeight="1">
      <c r="A42" s="113" t="s">
        <v>80</v>
      </c>
      <c r="B42" s="80"/>
      <c r="C42" s="80">
        <f>C33+C40</f>
        <v>0</v>
      </c>
      <c r="D42" s="80">
        <f>D33+D40</f>
        <v>0</v>
      </c>
      <c r="E42" s="80">
        <f>E33+E40</f>
        <v>0</v>
      </c>
      <c r="F42" s="80"/>
      <c r="G42" s="76">
        <f>G33+G40</f>
        <v>0</v>
      </c>
      <c r="H42" s="76">
        <f>H33+H40</f>
        <v>0</v>
      </c>
      <c r="I42" s="76">
        <f>I33+I40</f>
        <v>0</v>
      </c>
      <c r="J42" s="80"/>
      <c r="K42" s="76">
        <f>(K33+K40)</f>
        <v>0</v>
      </c>
      <c r="L42" s="76">
        <f>(L33+L40)</f>
        <v>0</v>
      </c>
      <c r="M42" s="76">
        <f>(M33+M40)</f>
        <v>0</v>
      </c>
      <c r="N42" s="76">
        <f>N33+N40</f>
        <v>0</v>
      </c>
      <c r="O42" s="76">
        <f>O33+O40</f>
        <v>0</v>
      </c>
      <c r="P42" s="76">
        <f>(P33+P40)</f>
        <v>0</v>
      </c>
      <c r="Q42" s="76">
        <f>(Q33+Q40)</f>
        <v>0</v>
      </c>
      <c r="R42" s="76">
        <f t="shared" ref="R42:Y42" si="6">SUM(R33:R40)</f>
        <v>0</v>
      </c>
      <c r="S42" s="76">
        <f t="shared" si="6"/>
        <v>0</v>
      </c>
      <c r="T42" s="76">
        <f t="shared" si="6"/>
        <v>0</v>
      </c>
      <c r="U42" s="76">
        <f t="shared" si="6"/>
        <v>0</v>
      </c>
      <c r="V42" s="76">
        <f t="shared" si="6"/>
        <v>0</v>
      </c>
      <c r="W42" s="76">
        <f t="shared" si="6"/>
        <v>0</v>
      </c>
      <c r="X42" s="76">
        <f t="shared" si="6"/>
        <v>0</v>
      </c>
      <c r="Y42" s="76">
        <f t="shared" si="6"/>
        <v>0</v>
      </c>
    </row>
    <row r="43" spans="1:25" ht="17.25" customHeight="1">
      <c r="A43" s="115"/>
      <c r="B43" s="86"/>
      <c r="C43" s="85"/>
      <c r="D43" s="85"/>
      <c r="E43" s="86"/>
      <c r="F43" s="86"/>
      <c r="G43" s="85"/>
      <c r="H43" s="85"/>
      <c r="I43" s="86"/>
      <c r="J43" s="86"/>
      <c r="K43" s="85"/>
      <c r="L43" s="85"/>
      <c r="M43" s="86"/>
      <c r="N43" s="86"/>
      <c r="O43" s="85"/>
      <c r="P43" s="85"/>
      <c r="Q43" s="86"/>
      <c r="R43" s="86"/>
      <c r="S43" s="85"/>
      <c r="T43" s="85"/>
      <c r="U43" s="86"/>
      <c r="V43" s="86"/>
      <c r="W43" s="85"/>
      <c r="X43" s="85"/>
      <c r="Y43" s="86"/>
    </row>
    <row r="44" spans="1:25">
      <c r="A44" s="705" t="s">
        <v>87</v>
      </c>
      <c r="B44" s="137"/>
      <c r="C44" s="87"/>
      <c r="D44" s="87"/>
      <c r="E44" s="138"/>
      <c r="F44" s="88"/>
      <c r="G44" s="87"/>
      <c r="H44" s="87"/>
      <c r="I44" s="88"/>
      <c r="J44" s="88"/>
      <c r="K44" s="87"/>
      <c r="L44" s="87"/>
      <c r="M44" s="88"/>
      <c r="N44" s="88"/>
      <c r="O44" s="87"/>
      <c r="P44" s="87"/>
      <c r="Q44" s="88"/>
      <c r="R44" s="88"/>
      <c r="S44" s="87"/>
      <c r="T44" s="87"/>
      <c r="U44" s="88"/>
      <c r="V44" s="88"/>
      <c r="W44" s="87"/>
      <c r="X44" s="87"/>
      <c r="Y44" s="89"/>
    </row>
    <row r="45" spans="1:25">
      <c r="A45" s="116" t="s">
        <v>88</v>
      </c>
      <c r="B45" s="78"/>
      <c r="C45" s="94"/>
      <c r="D45" s="94"/>
      <c r="E45" s="91"/>
      <c r="F45" s="72"/>
      <c r="G45" s="94"/>
      <c r="H45" s="94"/>
      <c r="I45" s="91"/>
      <c r="J45" s="72"/>
      <c r="K45" s="94"/>
      <c r="L45" s="94"/>
      <c r="M45" s="91"/>
      <c r="N45" s="72"/>
      <c r="O45" s="94"/>
      <c r="P45" s="94"/>
      <c r="Q45" s="91"/>
      <c r="R45" s="72"/>
      <c r="S45" s="94"/>
      <c r="T45" s="94"/>
      <c r="U45" s="91"/>
      <c r="V45" s="72"/>
      <c r="W45" s="94"/>
      <c r="X45" s="94"/>
      <c r="Y45" s="91"/>
    </row>
    <row r="46" spans="1:25">
      <c r="A46" s="112"/>
      <c r="B46" s="78"/>
      <c r="C46" s="74"/>
      <c r="D46" s="74"/>
      <c r="E46" s="91"/>
      <c r="F46" s="78"/>
      <c r="G46" s="74"/>
      <c r="H46" s="74"/>
      <c r="I46" s="91"/>
      <c r="J46" s="78"/>
      <c r="K46" s="74"/>
      <c r="L46" s="74"/>
      <c r="M46" s="91"/>
      <c r="N46" s="78"/>
      <c r="O46" s="74"/>
      <c r="P46" s="74"/>
      <c r="Q46" s="91"/>
      <c r="R46" s="78"/>
      <c r="S46" s="74"/>
      <c r="T46" s="74"/>
      <c r="U46" s="91"/>
      <c r="V46" s="78"/>
      <c r="W46" s="74"/>
      <c r="X46" s="74"/>
      <c r="Y46" s="91"/>
    </row>
    <row r="47" spans="1:25" s="59" customFormat="1">
      <c r="A47" s="117" t="s">
        <v>83</v>
      </c>
      <c r="B47" s="80">
        <f>SUM(B45:B46)</f>
        <v>0</v>
      </c>
      <c r="C47" s="80"/>
      <c r="D47" s="80"/>
      <c r="E47" s="80"/>
      <c r="F47" s="80">
        <f>SUM(F45:F46)</f>
        <v>0</v>
      </c>
      <c r="G47" s="80"/>
      <c r="H47" s="80"/>
      <c r="I47" s="80">
        <f>SUM(I45:I46)</f>
        <v>0</v>
      </c>
      <c r="J47" s="80"/>
      <c r="K47" s="80"/>
      <c r="L47" s="80"/>
      <c r="M47" s="80">
        <f>SUM(M45:M46)</f>
        <v>0</v>
      </c>
      <c r="N47" s="80"/>
      <c r="O47" s="80"/>
      <c r="P47" s="80"/>
      <c r="Q47" s="80">
        <f>SUM(Q45:Q46)</f>
        <v>0</v>
      </c>
      <c r="R47" s="80"/>
      <c r="S47" s="80"/>
      <c r="T47" s="80"/>
      <c r="U47" s="80">
        <f>SUM(U45:U46)</f>
        <v>0</v>
      </c>
      <c r="V47" s="80"/>
      <c r="W47" s="80"/>
      <c r="X47" s="80"/>
      <c r="Y47" s="80"/>
    </row>
    <row r="48" spans="1:25" ht="4.1500000000000004" customHeight="1">
      <c r="A48" s="113"/>
      <c r="B48" s="78"/>
      <c r="C48" s="78"/>
      <c r="D48" s="78"/>
      <c r="E48" s="76"/>
      <c r="F48" s="78"/>
      <c r="G48" s="78"/>
      <c r="H48" s="78"/>
      <c r="I48" s="76"/>
      <c r="J48" s="78"/>
      <c r="K48" s="78"/>
      <c r="L48" s="78"/>
      <c r="M48" s="76"/>
      <c r="N48" s="78"/>
      <c r="O48" s="78"/>
      <c r="P48" s="78"/>
      <c r="Q48" s="76"/>
      <c r="R48" s="78"/>
      <c r="S48" s="78"/>
      <c r="T48" s="78"/>
      <c r="U48" s="76"/>
      <c r="V48" s="78"/>
      <c r="W48" s="78"/>
      <c r="X48" s="78"/>
      <c r="Y48" s="76"/>
    </row>
    <row r="49" spans="1:25" s="62" customFormat="1">
      <c r="A49" s="113" t="s">
        <v>89</v>
      </c>
      <c r="B49" s="96">
        <f>B47</f>
        <v>0</v>
      </c>
      <c r="C49" s="96"/>
      <c r="D49" s="96"/>
      <c r="E49" s="96"/>
      <c r="F49" s="96">
        <f>F47</f>
        <v>0</v>
      </c>
      <c r="G49" s="96"/>
      <c r="H49" s="96"/>
      <c r="I49" s="96">
        <f>I47</f>
        <v>0</v>
      </c>
      <c r="J49" s="96"/>
      <c r="K49" s="96"/>
      <c r="L49" s="96"/>
      <c r="M49" s="96">
        <f>M47</f>
        <v>0</v>
      </c>
      <c r="N49" s="96"/>
      <c r="O49" s="96"/>
      <c r="P49" s="96"/>
      <c r="Q49" s="96">
        <f>Q47</f>
        <v>0</v>
      </c>
      <c r="R49" s="96"/>
      <c r="S49" s="96"/>
      <c r="T49" s="96"/>
      <c r="U49" s="96">
        <f>U47</f>
        <v>0</v>
      </c>
      <c r="V49" s="96"/>
      <c r="W49" s="96"/>
      <c r="X49" s="96"/>
      <c r="Y49" s="96"/>
    </row>
    <row r="50" spans="1:25" s="67" customFormat="1">
      <c r="A50" s="59"/>
      <c r="B50" s="63"/>
      <c r="C50" s="63"/>
      <c r="D50" s="63"/>
      <c r="E50" s="64"/>
      <c r="F50" s="62"/>
      <c r="G50" s="65"/>
      <c r="H50" s="66"/>
      <c r="I50" s="62"/>
      <c r="J50" s="62"/>
      <c r="K50" s="65"/>
      <c r="L50" s="66"/>
      <c r="M50" s="62"/>
      <c r="N50" s="62"/>
      <c r="O50" s="65"/>
      <c r="P50" s="66"/>
      <c r="Q50" s="62"/>
      <c r="R50" s="62"/>
      <c r="S50" s="65"/>
      <c r="T50" s="66"/>
      <c r="U50" s="62"/>
      <c r="V50" s="62"/>
      <c r="W50" s="65"/>
      <c r="X50" s="66"/>
      <c r="Y50" s="62"/>
    </row>
    <row r="51" spans="1:25">
      <c r="A51" s="59" t="s">
        <v>43</v>
      </c>
      <c r="B51" s="59"/>
      <c r="C51" s="61" t="s">
        <v>99</v>
      </c>
      <c r="D51" s="61"/>
      <c r="E51" s="61"/>
      <c r="F51" s="59"/>
      <c r="G51" s="61"/>
      <c r="H51" s="61"/>
      <c r="I51" s="59"/>
      <c r="J51" s="59"/>
      <c r="K51" s="61"/>
      <c r="L51" s="61"/>
      <c r="M51" s="59"/>
      <c r="N51" s="59"/>
      <c r="O51" s="61"/>
      <c r="P51" s="61"/>
      <c r="Q51" s="59"/>
      <c r="R51" s="59"/>
      <c r="S51" s="61"/>
      <c r="T51" s="61"/>
      <c r="V51" s="59"/>
      <c r="W51" s="61"/>
      <c r="X51" s="61"/>
      <c r="Y51" s="59"/>
    </row>
    <row r="52" spans="1:25">
      <c r="W52" s="61"/>
      <c r="X52" s="61"/>
    </row>
    <row r="53" spans="1:25">
      <c r="A53" s="59" t="s">
        <v>100</v>
      </c>
      <c r="B53" s="59" t="s">
        <v>101</v>
      </c>
      <c r="D53" s="61"/>
      <c r="G53" s="61"/>
      <c r="I53" s="59"/>
      <c r="K53" s="61"/>
      <c r="M53" s="59"/>
      <c r="O53" s="61"/>
      <c r="P53" s="61"/>
      <c r="S53" s="61"/>
      <c r="T53" s="61"/>
      <c r="W53" s="61"/>
      <c r="X53" s="61"/>
    </row>
    <row r="54" spans="1:25">
      <c r="A54" s="59" t="s">
        <v>102</v>
      </c>
      <c r="B54" s="59" t="s">
        <v>103</v>
      </c>
      <c r="D54" s="61"/>
      <c r="G54" s="61"/>
      <c r="I54" s="59"/>
      <c r="K54" s="61"/>
      <c r="M54" s="59"/>
      <c r="O54" s="61"/>
      <c r="P54" s="61"/>
      <c r="S54" s="61"/>
      <c r="T54" s="61"/>
    </row>
    <row r="55" spans="1:25">
      <c r="A55" s="59" t="s">
        <v>104</v>
      </c>
      <c r="B55" s="59" t="s">
        <v>105</v>
      </c>
      <c r="D55" s="61"/>
      <c r="G55" s="61"/>
      <c r="I55" s="59"/>
      <c r="K55" s="61"/>
      <c r="M55" s="59"/>
      <c r="U55" s="68"/>
      <c r="V55" s="68"/>
      <c r="Y55" s="68"/>
    </row>
    <row r="56" spans="1:25">
      <c r="A56" s="59" t="s">
        <v>106</v>
      </c>
      <c r="B56" s="59" t="s">
        <v>107</v>
      </c>
      <c r="D56" s="61"/>
      <c r="F56" s="68"/>
      <c r="I56" s="68"/>
      <c r="J56" s="68"/>
      <c r="M56" s="68"/>
      <c r="N56" s="68"/>
      <c r="Q56" s="68"/>
      <c r="R56" s="68"/>
      <c r="W56" s="61"/>
      <c r="X56" s="61"/>
    </row>
    <row r="57" spans="1:25">
      <c r="A57" s="59"/>
      <c r="B57" s="59"/>
      <c r="D57" s="61"/>
      <c r="G57" s="61"/>
      <c r="I57" s="59"/>
      <c r="K57" s="61"/>
      <c r="M57" s="59"/>
      <c r="O57" s="61"/>
      <c r="P57" s="61"/>
      <c r="S57" s="61"/>
      <c r="T57" s="61"/>
      <c r="U57" s="68"/>
      <c r="V57" s="68"/>
      <c r="Y57" s="68"/>
    </row>
    <row r="58" spans="1:25">
      <c r="A58" s="68"/>
      <c r="B58" s="68"/>
      <c r="F58" s="68"/>
      <c r="I58" s="68"/>
      <c r="J58" s="68"/>
      <c r="M58" s="68"/>
      <c r="N58" s="68"/>
      <c r="Q58" s="68"/>
      <c r="R58" s="68"/>
      <c r="U58" s="68"/>
      <c r="V58" s="68"/>
      <c r="Y58" s="68"/>
    </row>
    <row r="59" spans="1:25">
      <c r="A59" s="68"/>
      <c r="B59" s="68"/>
      <c r="F59" s="68"/>
      <c r="I59" s="68"/>
      <c r="J59" s="68"/>
      <c r="M59" s="68"/>
      <c r="N59" s="68"/>
      <c r="Q59" s="68"/>
      <c r="R59" s="68"/>
      <c r="U59" s="68"/>
      <c r="V59" s="68"/>
      <c r="Y59" s="68"/>
    </row>
    <row r="60" spans="1:25">
      <c r="A60" s="68"/>
      <c r="B60" s="68"/>
      <c r="F60" s="68"/>
      <c r="I60" s="68"/>
      <c r="J60" s="68"/>
      <c r="M60" s="68"/>
      <c r="N60" s="68"/>
      <c r="Q60" s="68"/>
      <c r="R60" s="68"/>
      <c r="U60" s="68"/>
      <c r="V60" s="68"/>
      <c r="Y60" s="6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topLeftCell="A18" zoomScale="80" zoomScaleNormal="80" workbookViewId="0">
      <selection activeCell="A38" sqref="A38"/>
    </sheetView>
  </sheetViews>
  <sheetFormatPr defaultColWidth="9.140625" defaultRowHeight="12.75"/>
  <cols>
    <col min="1" max="1" width="48" style="60" customWidth="1"/>
    <col min="2" max="3" width="13" style="60" customWidth="1"/>
    <col min="4" max="13" width="13.42578125" style="60" customWidth="1"/>
    <col min="14" max="15" width="9.140625" style="60"/>
    <col min="16" max="16" width="27.7109375" style="60" bestFit="1" customWidth="1"/>
    <col min="17" max="17" width="23.140625" style="60" bestFit="1" customWidth="1"/>
    <col min="18" max="16384" width="9.140625" style="60"/>
  </cols>
  <sheetData>
    <row r="2" spans="1:14" ht="20.25">
      <c r="B2" s="525" t="s">
        <v>0</v>
      </c>
      <c r="C2" s="59"/>
      <c r="D2" s="59"/>
      <c r="E2" s="526"/>
      <c r="F2" s="526"/>
      <c r="G2" s="526"/>
      <c r="H2" s="526"/>
      <c r="I2" s="526"/>
      <c r="J2" s="526"/>
      <c r="K2" s="526"/>
      <c r="L2" s="526"/>
      <c r="M2" s="526"/>
      <c r="N2" s="59"/>
    </row>
    <row r="3" spans="1:14" ht="18">
      <c r="B3" s="739" t="s">
        <v>108</v>
      </c>
      <c r="C3" s="739"/>
      <c r="D3" s="739"/>
      <c r="E3" s="739"/>
      <c r="F3" s="739"/>
      <c r="G3" s="739"/>
      <c r="H3" s="739"/>
      <c r="I3" s="739"/>
      <c r="J3" s="739"/>
      <c r="K3" s="739"/>
      <c r="L3" s="739"/>
      <c r="M3" s="739"/>
      <c r="N3" s="739"/>
    </row>
    <row r="4" spans="1:14" ht="18">
      <c r="A4" s="191"/>
      <c r="B4" s="59"/>
      <c r="C4" s="59"/>
      <c r="D4" s="59"/>
      <c r="E4" s="59"/>
      <c r="F4" s="527"/>
      <c r="G4" s="740" t="str">
        <f>'Program MW '!H3</f>
        <v>August 2019</v>
      </c>
      <c r="H4" s="740"/>
      <c r="I4" s="527"/>
      <c r="J4" s="59"/>
      <c r="K4" s="59"/>
      <c r="L4" s="59"/>
      <c r="M4" s="59"/>
      <c r="N4" s="59"/>
    </row>
    <row r="5" spans="1:14">
      <c r="B5" s="232"/>
      <c r="C5" s="232"/>
      <c r="D5" s="232"/>
    </row>
    <row r="7" spans="1:14" ht="21.75" customHeight="1">
      <c r="A7" s="111"/>
      <c r="B7" s="192" t="s">
        <v>109</v>
      </c>
      <c r="C7" s="192" t="s">
        <v>110</v>
      </c>
      <c r="D7" s="192" t="s">
        <v>5</v>
      </c>
      <c r="E7" s="192" t="s">
        <v>6</v>
      </c>
      <c r="F7" s="192" t="s">
        <v>111</v>
      </c>
      <c r="G7" s="192" t="s">
        <v>8</v>
      </c>
      <c r="H7" s="192" t="s">
        <v>35</v>
      </c>
      <c r="I7" s="192" t="s">
        <v>90</v>
      </c>
      <c r="J7" s="192" t="s">
        <v>91</v>
      </c>
      <c r="K7" s="192" t="s">
        <v>38</v>
      </c>
      <c r="L7" s="192" t="s">
        <v>92</v>
      </c>
      <c r="M7" s="193" t="s">
        <v>40</v>
      </c>
    </row>
    <row r="8" spans="1:14" ht="38.25">
      <c r="A8" s="376" t="s">
        <v>112</v>
      </c>
      <c r="B8" s="424" t="s">
        <v>78</v>
      </c>
      <c r="C8" s="145" t="s">
        <v>78</v>
      </c>
      <c r="D8" s="145" t="s">
        <v>78</v>
      </c>
      <c r="E8" s="145" t="s">
        <v>78</v>
      </c>
      <c r="F8" s="145" t="s">
        <v>78</v>
      </c>
      <c r="G8" s="145" t="s">
        <v>78</v>
      </c>
      <c r="H8" s="145" t="s">
        <v>78</v>
      </c>
      <c r="I8" s="145" t="s">
        <v>78</v>
      </c>
      <c r="J8" s="145" t="s">
        <v>78</v>
      </c>
      <c r="K8" s="145" t="s">
        <v>78</v>
      </c>
      <c r="L8" s="145" t="s">
        <v>113</v>
      </c>
      <c r="M8" s="145" t="s">
        <v>113</v>
      </c>
    </row>
    <row r="9" spans="1:14">
      <c r="A9" s="423" t="s">
        <v>81</v>
      </c>
      <c r="B9" s="425">
        <v>0</v>
      </c>
      <c r="C9" s="425">
        <v>0</v>
      </c>
      <c r="D9" s="425">
        <v>0</v>
      </c>
      <c r="E9" s="425">
        <v>0</v>
      </c>
      <c r="F9" s="425">
        <v>0</v>
      </c>
      <c r="G9" s="425">
        <v>0</v>
      </c>
      <c r="H9" s="425">
        <v>0</v>
      </c>
      <c r="I9" s="425">
        <v>0</v>
      </c>
      <c r="J9" s="425">
        <v>0</v>
      </c>
      <c r="K9" s="425">
        <v>0</v>
      </c>
      <c r="L9" s="425">
        <v>0</v>
      </c>
      <c r="M9" s="425">
        <v>0</v>
      </c>
    </row>
    <row r="10" spans="1:14">
      <c r="A10" s="423" t="s">
        <v>82</v>
      </c>
      <c r="B10" s="425">
        <v>0</v>
      </c>
      <c r="C10" s="425">
        <v>0</v>
      </c>
      <c r="D10" s="425">
        <v>0</v>
      </c>
      <c r="E10" s="425">
        <v>0</v>
      </c>
      <c r="F10" s="425">
        <v>0</v>
      </c>
      <c r="G10" s="425">
        <v>0</v>
      </c>
      <c r="H10" s="425">
        <v>0</v>
      </c>
      <c r="I10" s="425">
        <v>0</v>
      </c>
      <c r="J10" s="425">
        <v>0</v>
      </c>
      <c r="K10" s="425">
        <v>0</v>
      </c>
      <c r="L10" s="425">
        <v>0</v>
      </c>
      <c r="M10" s="425">
        <v>0</v>
      </c>
    </row>
    <row r="11" spans="1:14">
      <c r="A11" s="195" t="s">
        <v>114</v>
      </c>
      <c r="B11" s="73">
        <v>0</v>
      </c>
      <c r="C11" s="73">
        <v>0</v>
      </c>
      <c r="D11" s="73">
        <v>0</v>
      </c>
      <c r="E11" s="73">
        <v>0</v>
      </c>
      <c r="F11" s="73">
        <v>0</v>
      </c>
      <c r="G11" s="73">
        <v>0</v>
      </c>
      <c r="H11" s="73">
        <v>0</v>
      </c>
      <c r="I11" s="73">
        <v>0</v>
      </c>
      <c r="J11" s="73">
        <v>0</v>
      </c>
      <c r="K11" s="73">
        <v>0</v>
      </c>
      <c r="L11" s="73">
        <v>0</v>
      </c>
      <c r="M11" s="73">
        <v>0</v>
      </c>
    </row>
    <row r="12" spans="1:14">
      <c r="A12" s="195" t="s">
        <v>115</v>
      </c>
      <c r="B12" s="121">
        <v>0</v>
      </c>
      <c r="C12" s="121">
        <v>0</v>
      </c>
      <c r="D12" s="121">
        <v>0</v>
      </c>
      <c r="E12" s="121">
        <v>0</v>
      </c>
      <c r="F12" s="121">
        <v>0</v>
      </c>
      <c r="G12" s="121">
        <v>0</v>
      </c>
      <c r="H12" s="121">
        <v>0</v>
      </c>
      <c r="I12" s="121">
        <v>0</v>
      </c>
      <c r="J12" s="121">
        <v>0</v>
      </c>
      <c r="K12" s="121">
        <v>0</v>
      </c>
      <c r="L12" s="121">
        <v>0</v>
      </c>
      <c r="M12" s="121">
        <v>0</v>
      </c>
    </row>
    <row r="13" spans="1:14" s="59" customFormat="1">
      <c r="A13" s="194" t="s">
        <v>83</v>
      </c>
      <c r="B13" s="123">
        <f t="shared" ref="B13:G13" si="0">SUM(B9:B12)</f>
        <v>0</v>
      </c>
      <c r="C13" s="123">
        <f t="shared" si="0"/>
        <v>0</v>
      </c>
      <c r="D13" s="123">
        <f t="shared" si="0"/>
        <v>0</v>
      </c>
      <c r="E13" s="123">
        <f t="shared" si="0"/>
        <v>0</v>
      </c>
      <c r="F13" s="123">
        <f t="shared" si="0"/>
        <v>0</v>
      </c>
      <c r="G13" s="123">
        <f t="shared" si="0"/>
        <v>0</v>
      </c>
      <c r="H13" s="76">
        <f t="shared" ref="H13" si="1">SUM(H9:H12)</f>
        <v>0</v>
      </c>
      <c r="I13" s="76">
        <f t="shared" ref="I13:M13" si="2">SUM(I9:I12)</f>
        <v>0</v>
      </c>
      <c r="J13" s="76">
        <f t="shared" si="2"/>
        <v>0</v>
      </c>
      <c r="K13" s="76">
        <f t="shared" ref="K13" si="3">SUM(K9:K12)</f>
        <v>0</v>
      </c>
      <c r="L13" s="76">
        <f t="shared" ref="L13" si="4">SUM(L9:L12)</f>
        <v>0</v>
      </c>
      <c r="M13" s="76">
        <f t="shared" si="2"/>
        <v>0</v>
      </c>
    </row>
    <row r="14" spans="1:14" s="67" customFormat="1">
      <c r="A14" s="59"/>
      <c r="B14" s="63"/>
      <c r="C14" s="65"/>
      <c r="D14" s="65"/>
      <c r="E14" s="65"/>
      <c r="F14" s="65"/>
      <c r="G14" s="65"/>
    </row>
    <row r="15" spans="1:14" ht="15">
      <c r="A15" s="308" t="s">
        <v>43</v>
      </c>
      <c r="G15" s="61"/>
    </row>
    <row r="16" spans="1:14" ht="15">
      <c r="A16" s="597" t="s">
        <v>116</v>
      </c>
      <c r="B16" s="232"/>
      <c r="C16" s="232"/>
      <c r="D16" s="400"/>
      <c r="E16" s="400"/>
      <c r="F16" s="400"/>
      <c r="G16" s="232"/>
      <c r="H16" s="232"/>
      <c r="I16" s="232"/>
      <c r="J16" s="232"/>
      <c r="K16" s="232"/>
    </row>
    <row r="17" spans="1:17" ht="15">
      <c r="A17" s="596" t="s">
        <v>117</v>
      </c>
    </row>
    <row r="20" spans="1:17" ht="21.75" customHeight="1">
      <c r="A20" s="111"/>
      <c r="B20" s="192" t="s">
        <v>109</v>
      </c>
      <c r="C20" s="192" t="s">
        <v>110</v>
      </c>
      <c r="D20" s="192" t="s">
        <v>5</v>
      </c>
      <c r="E20" s="192" t="s">
        <v>6</v>
      </c>
      <c r="F20" s="192" t="s">
        <v>111</v>
      </c>
      <c r="G20" s="192" t="s">
        <v>8</v>
      </c>
      <c r="H20" s="192" t="s">
        <v>35</v>
      </c>
      <c r="I20" s="192" t="s">
        <v>90</v>
      </c>
      <c r="J20" s="192" t="s">
        <v>91</v>
      </c>
      <c r="K20" s="192" t="s">
        <v>38</v>
      </c>
      <c r="L20" s="192" t="s">
        <v>92</v>
      </c>
      <c r="M20" s="193" t="s">
        <v>40</v>
      </c>
      <c r="P20" s="530"/>
      <c r="Q20" s="530"/>
    </row>
    <row r="21" spans="1:17" ht="51">
      <c r="A21" s="375" t="s">
        <v>112</v>
      </c>
      <c r="B21" s="145" t="s">
        <v>118</v>
      </c>
      <c r="C21" s="145" t="str">
        <f>B21</f>
        <v>Technology Deployment- Residential MWs</v>
      </c>
      <c r="D21" s="145" t="str">
        <f>B21</f>
        <v>Technology Deployment- Residential MWs</v>
      </c>
      <c r="E21" s="145" t="str">
        <f t="shared" ref="E21:M21" si="5">C21</f>
        <v>Technology Deployment- Residential MWs</v>
      </c>
      <c r="F21" s="145" t="str">
        <f t="shared" si="5"/>
        <v>Technology Deployment- Residential MWs</v>
      </c>
      <c r="G21" s="145" t="str">
        <f t="shared" si="5"/>
        <v>Technology Deployment- Residential MWs</v>
      </c>
      <c r="H21" s="145" t="str">
        <f t="shared" si="5"/>
        <v>Technology Deployment- Residential MWs</v>
      </c>
      <c r="I21" s="145" t="str">
        <f t="shared" si="5"/>
        <v>Technology Deployment- Residential MWs</v>
      </c>
      <c r="J21" s="145" t="str">
        <f t="shared" si="5"/>
        <v>Technology Deployment- Residential MWs</v>
      </c>
      <c r="K21" s="145" t="str">
        <f t="shared" si="5"/>
        <v>Technology Deployment- Residential MWs</v>
      </c>
      <c r="L21" s="145" t="str">
        <f t="shared" si="5"/>
        <v>Technology Deployment- Residential MWs</v>
      </c>
      <c r="M21" s="145" t="str">
        <f t="shared" si="5"/>
        <v>Technology Deployment- Residential MWs</v>
      </c>
      <c r="Q21" s="530"/>
    </row>
    <row r="22" spans="1:17">
      <c r="A22" s="195" t="s">
        <v>25</v>
      </c>
      <c r="B22" s="73">
        <f>'Program MW '!D16</f>
        <v>7.1981018452087442</v>
      </c>
      <c r="C22" s="73">
        <f>'Program MW '!G16</f>
        <v>7.2726913657506405</v>
      </c>
      <c r="D22" s="73">
        <f>'Program MW '!J16</f>
        <v>2.7737791291887173</v>
      </c>
      <c r="E22" s="73">
        <f>'Program MW '!K16*'Ex post LI &amp; Eligibility Stats'!E11/1000</f>
        <v>2.7936518477867032</v>
      </c>
      <c r="F22" s="73">
        <f>'Program MW '!O16</f>
        <v>2.7675933089497158</v>
      </c>
      <c r="G22" s="73">
        <f>'Program MW '!S16</f>
        <v>2.8765356253539101</v>
      </c>
      <c r="H22" s="73">
        <f>'Program MW '!D39</f>
        <v>2.9883398633198111</v>
      </c>
      <c r="I22" s="73">
        <f>'Program MW '!G39</f>
        <v>3.0033655773817025</v>
      </c>
      <c r="J22" s="73">
        <v>0</v>
      </c>
      <c r="K22" s="73">
        <v>0</v>
      </c>
      <c r="L22" s="73">
        <v>0</v>
      </c>
      <c r="M22" s="73">
        <v>0</v>
      </c>
      <c r="Q22" s="530"/>
    </row>
    <row r="23" spans="1:17">
      <c r="A23" s="195" t="s">
        <v>32</v>
      </c>
      <c r="B23" s="73">
        <f>'Ex post LI &amp; Eligibility Stats'!B$11/1000*825</f>
        <v>0.35163631112607852</v>
      </c>
      <c r="C23" s="73">
        <f>'Ex post LI &amp; Eligibility Stats'!C$11/1000*854</f>
        <v>0.36399686024444977</v>
      </c>
      <c r="D23" s="73">
        <f>'Ex post LI &amp; Eligibility Stats'!D$11/1000*822</f>
        <v>0.13280792428897517</v>
      </c>
      <c r="E23" s="73">
        <f>'Ex post LI &amp; Eligibility Stats'!E$11/1000*885</f>
        <v>0.14298663381477253</v>
      </c>
      <c r="F23" s="73">
        <f>'Ex post LI &amp; Eligibility Stats'!F$11/1000*900</f>
        <v>0.14541013608281952</v>
      </c>
      <c r="G23" s="73">
        <f>'Ex post LI &amp; Eligibility Stats'!G$11/1000*950</f>
        <v>0.15348847697630949</v>
      </c>
      <c r="H23" s="73">
        <f>'Ex post LI &amp; Eligibility Stats'!H$11/1000*992</f>
        <v>0.16027428332684107</v>
      </c>
      <c r="I23" s="73">
        <f>'Ex post LI &amp; Eligibility Stats'!I$11/1000*995</f>
        <v>0.16075898378045048</v>
      </c>
      <c r="J23" s="73">
        <f>'Ex post LI &amp; Eligibility Stats'!J$11/1000</f>
        <v>1.6156681786979948E-4</v>
      </c>
      <c r="K23" s="73">
        <f>'Ex post LI &amp; Eligibility Stats'!K$11/1000</f>
        <v>1.6156681786979948E-4</v>
      </c>
      <c r="L23" s="73">
        <f>'Ex post LI &amp; Eligibility Stats'!L$11/1000</f>
        <v>1.6156681786979948E-4</v>
      </c>
      <c r="M23" s="73">
        <f>'Ex post LI &amp; Eligibility Stats'!M$11/1000</f>
        <v>1.6156681786979948E-4</v>
      </c>
    </row>
    <row r="24" spans="1:17">
      <c r="A24" s="195" t="s">
        <v>115</v>
      </c>
      <c r="B24" s="73">
        <f>'Ex post LI &amp; Eligibility Stats'!B$11/1000*838</f>
        <v>0.35717724693776221</v>
      </c>
      <c r="C24" s="73">
        <f>'Ex post LI &amp; Eligibility Stats'!C$11/1000*901</f>
        <v>0.38402947433284457</v>
      </c>
      <c r="D24" s="73">
        <f>'Ex post LI &amp; Eligibility Stats'!D$11/1000*923</f>
        <v>0.1491261728938249</v>
      </c>
      <c r="E24" s="73">
        <f>'Ex post LI &amp; Eligibility Stats'!E$11/1000*929</f>
        <v>0.15009557380104371</v>
      </c>
      <c r="F24" s="73">
        <f>'Ex post LI &amp; Eligibility Stats'!F11/1000*976</f>
        <v>0.1576892142409243</v>
      </c>
      <c r="G24" s="73">
        <f>'Ex post LI &amp; Eligibility Stats'!G$11/1000*1007</f>
        <v>0.16269778559488807</v>
      </c>
      <c r="H24" s="73">
        <f>'Ex post LI &amp; Eligibility Stats'!H$11/1000*1085</f>
        <v>0.17529999738873242</v>
      </c>
      <c r="I24" s="73">
        <f>'Ex post LI &amp; Eligibility Stats'!I$11/1000*1117</f>
        <v>0.18047013556056601</v>
      </c>
      <c r="J24" s="73">
        <f>'Ex post LI &amp; Eligibility Stats'!J$11/1000</f>
        <v>1.6156681786979948E-4</v>
      </c>
      <c r="K24" s="73">
        <f>'Ex post LI &amp; Eligibility Stats'!K$11/1000</f>
        <v>1.6156681786979948E-4</v>
      </c>
      <c r="L24" s="73">
        <f>'Ex post LI &amp; Eligibility Stats'!L$11/1000</f>
        <v>1.6156681786979948E-4</v>
      </c>
      <c r="M24" s="73">
        <f>'Ex post LI &amp; Eligibility Stats'!M$11/1000</f>
        <v>1.6156681786979948E-4</v>
      </c>
    </row>
    <row r="25" spans="1:17" s="59" customFormat="1">
      <c r="A25" s="194" t="s">
        <v>83</v>
      </c>
      <c r="B25" s="123">
        <f t="shared" ref="B25:M25" si="6">SUM(B22:B24)</f>
        <v>7.9069154032725848</v>
      </c>
      <c r="C25" s="76">
        <f t="shared" si="6"/>
        <v>8.0207177003279355</v>
      </c>
      <c r="D25" s="76">
        <f t="shared" si="6"/>
        <v>3.0557132263715174</v>
      </c>
      <c r="E25" s="76">
        <f t="shared" si="6"/>
        <v>3.0867340554025198</v>
      </c>
      <c r="F25" s="76">
        <f t="shared" si="6"/>
        <v>3.07069265927346</v>
      </c>
      <c r="G25" s="76">
        <f t="shared" si="6"/>
        <v>3.1927218879251074</v>
      </c>
      <c r="H25" s="76">
        <f t="shared" si="6"/>
        <v>3.3239141440353843</v>
      </c>
      <c r="I25" s="76">
        <f t="shared" si="6"/>
        <v>3.3445946967227189</v>
      </c>
      <c r="J25" s="76">
        <f t="shared" si="6"/>
        <v>3.2313363573959896E-4</v>
      </c>
      <c r="K25" s="76">
        <f t="shared" si="6"/>
        <v>3.2313363573959896E-4</v>
      </c>
      <c r="L25" s="76">
        <f t="shared" si="6"/>
        <v>3.2313363573959896E-4</v>
      </c>
      <c r="M25" s="76">
        <f t="shared" si="6"/>
        <v>3.2313363573959896E-4</v>
      </c>
    </row>
    <row r="26" spans="1:17" s="67" customFormat="1">
      <c r="A26" s="59"/>
      <c r="B26" s="63"/>
      <c r="C26" s="65"/>
      <c r="D26" s="65"/>
      <c r="E26" s="65"/>
      <c r="F26" s="65"/>
      <c r="G26" s="65"/>
    </row>
    <row r="27" spans="1:17" ht="15">
      <c r="A27" s="308" t="s">
        <v>43</v>
      </c>
      <c r="G27" s="61"/>
    </row>
    <row r="28" spans="1:17" ht="15">
      <c r="A28" s="594" t="s">
        <v>119</v>
      </c>
      <c r="G28" s="61"/>
    </row>
    <row r="29" spans="1:17" ht="15">
      <c r="A29" s="596"/>
      <c r="C29" s="61"/>
      <c r="D29" s="61"/>
      <c r="E29" s="61"/>
      <c r="F29" s="61"/>
      <c r="G29" s="61"/>
    </row>
    <row r="30" spans="1:17">
      <c r="C30" s="61"/>
      <c r="D30" s="61"/>
      <c r="E30" s="61"/>
      <c r="F30" s="61"/>
      <c r="G30" s="61"/>
    </row>
    <row r="31" spans="1:17" ht="21.75" customHeight="1">
      <c r="A31" s="111"/>
      <c r="B31" s="192" t="s">
        <v>109</v>
      </c>
      <c r="C31" s="192" t="s">
        <v>110</v>
      </c>
      <c r="D31" s="192" t="s">
        <v>5</v>
      </c>
      <c r="E31" s="192" t="s">
        <v>6</v>
      </c>
      <c r="F31" s="192" t="s">
        <v>111</v>
      </c>
      <c r="G31" s="192" t="s">
        <v>8</v>
      </c>
      <c r="H31" s="192" t="s">
        <v>35</v>
      </c>
      <c r="I31" s="192" t="s">
        <v>90</v>
      </c>
      <c r="J31" s="192" t="s">
        <v>91</v>
      </c>
      <c r="K31" s="192" t="s">
        <v>38</v>
      </c>
      <c r="L31" s="192" t="s">
        <v>92</v>
      </c>
      <c r="M31" s="193" t="s">
        <v>40</v>
      </c>
    </row>
    <row r="32" spans="1:17" ht="55.5">
      <c r="A32" s="375" t="s">
        <v>112</v>
      </c>
      <c r="B32" s="145" t="s">
        <v>120</v>
      </c>
      <c r="C32" s="145" t="str">
        <f>B32</f>
        <v>Technology Deployment- Commercial MWs</v>
      </c>
      <c r="D32" s="145" t="str">
        <f>B32</f>
        <v>Technology Deployment- Commercial MWs</v>
      </c>
      <c r="E32" s="145" t="str">
        <f t="shared" ref="E32" si="7">C32</f>
        <v>Technology Deployment- Commercial MWs</v>
      </c>
      <c r="F32" s="145" t="str">
        <f t="shared" ref="F32" si="8">D32</f>
        <v>Technology Deployment- Commercial MWs</v>
      </c>
      <c r="G32" s="145" t="str">
        <f t="shared" ref="G32" si="9">E32</f>
        <v>Technology Deployment- Commercial MWs</v>
      </c>
      <c r="H32" s="145" t="str">
        <f t="shared" ref="H32" si="10">F32</f>
        <v>Technology Deployment- Commercial MWs</v>
      </c>
      <c r="I32" s="145" t="s">
        <v>121</v>
      </c>
      <c r="J32" s="145" t="str">
        <f t="shared" ref="J32" si="11">H32</f>
        <v>Technology Deployment- Commercial MWs</v>
      </c>
      <c r="K32" s="145" t="str">
        <f>B32</f>
        <v>Technology Deployment- Commercial MWs</v>
      </c>
      <c r="L32" s="145" t="s">
        <v>121</v>
      </c>
      <c r="M32" s="145" t="str">
        <f t="shared" ref="M32" si="12">K32</f>
        <v>Technology Deployment- Commercial MWs</v>
      </c>
    </row>
    <row r="33" spans="1:13">
      <c r="A33" s="195" t="s">
        <v>26</v>
      </c>
      <c r="B33" s="73">
        <f>'Program MW '!D17</f>
        <v>1.9064256763458249</v>
      </c>
      <c r="C33" s="73">
        <f>'Program MW '!G17</f>
        <v>1.9113108158111571</v>
      </c>
      <c r="D33" s="73">
        <f>'Program MW '!J17</f>
        <v>0.74242330313986338</v>
      </c>
      <c r="E33" s="73">
        <f>'Program MW '!M17</f>
        <v>0.74337087595816564</v>
      </c>
      <c r="F33" s="73">
        <f>'Program MW '!P17</f>
        <v>0.74384466236731683</v>
      </c>
      <c r="G33" s="73">
        <f>'Program MW '!S17</f>
        <v>0.74953009927713066</v>
      </c>
      <c r="H33" s="73">
        <f>'Program MW '!D40</f>
        <v>0.75284660414118876</v>
      </c>
      <c r="I33" s="73">
        <f>'Program MW '!G40</f>
        <v>0.75521553618694459</v>
      </c>
      <c r="J33" s="73">
        <v>0</v>
      </c>
      <c r="K33" s="73">
        <v>0</v>
      </c>
      <c r="L33" s="73">
        <v>0</v>
      </c>
      <c r="M33" s="73">
        <v>0</v>
      </c>
    </row>
    <row r="34" spans="1:13">
      <c r="A34" s="195" t="s">
        <v>31</v>
      </c>
      <c r="B34" s="73">
        <f>'Ex post LI &amp; Eligibility Stats'!B$12*1198/1000</f>
        <v>1.4630992698669434</v>
      </c>
      <c r="C34" s="73">
        <f>'Ex post LI &amp; Eligibility Stats'!C$12*1200/1000</f>
        <v>1.4655418395996094</v>
      </c>
      <c r="D34" s="73">
        <f>'Ex post LI &amp; Eligibility Stats'!D$12*1198/1000</f>
        <v>0.56759611816308631</v>
      </c>
      <c r="E34" s="73">
        <f>'Ex post LI &amp; Eligibility Stats'!E$12*1194/1000</f>
        <v>0.56570097252648166</v>
      </c>
      <c r="F34" s="73">
        <f>'Ex post LI &amp; Eligibility Stats'!F$12*1196/1000</f>
        <v>0.56664854534478404</v>
      </c>
      <c r="G34" s="73">
        <f>'Ex post LI &amp; Eligibility Stats'!G$12*1192/1000</f>
        <v>0.56475339970817939</v>
      </c>
      <c r="H34" s="73">
        <f>'Ex post LI &amp; Eligibility Stats'!H$12*1189/1000</f>
        <v>0.56333204048072594</v>
      </c>
      <c r="I34" s="73">
        <f>'Ex post LI &amp; Eligibility Stats'!I$12*1183/1000</f>
        <v>0.56048932202581903</v>
      </c>
      <c r="J34" s="73">
        <v>0</v>
      </c>
      <c r="K34" s="73">
        <v>0</v>
      </c>
      <c r="L34" s="73">
        <v>0</v>
      </c>
      <c r="M34" s="73">
        <v>0</v>
      </c>
    </row>
    <row r="35" spans="1:13">
      <c r="A35" s="195" t="s">
        <v>81</v>
      </c>
      <c r="B35" s="73">
        <f>'Ex post LI &amp; Eligibility Stats'!B$12*596/1000</f>
        <v>0.72788578033447271</v>
      </c>
      <c r="C35" s="73">
        <f>'Ex post LI &amp; Eligibility Stats'!C$12*596/1000</f>
        <v>0.72788578033447271</v>
      </c>
      <c r="D35" s="73">
        <f>'Ex post LI &amp; Eligibility Stats'!D$12*596/1000</f>
        <v>0.2823766998540897</v>
      </c>
      <c r="E35" s="73">
        <f>'Ex post LI &amp; Eligibility Stats'!E$12*595/1000</f>
        <v>0.28190291344493851</v>
      </c>
      <c r="F35" s="73">
        <f>'Ex post LI &amp; Eligibility Stats'!F$12*597/1000</f>
        <v>0.28285048626324083</v>
      </c>
      <c r="G35" s="73">
        <f>'Ex post LI &amp; Eligibility Stats'!G$12*590/1000</f>
        <v>0.27953398139918278</v>
      </c>
      <c r="H35" s="73">
        <f>'Ex post LI &amp; Eligibility Stats'!H$12*584/1000</f>
        <v>0.27669126294427582</v>
      </c>
      <c r="I35" s="73">
        <f>'Ex post LI &amp; Eligibility Stats'!I$12*580/1000</f>
        <v>0.27479611730767117</v>
      </c>
      <c r="J35" s="73">
        <v>0</v>
      </c>
      <c r="K35" s="73">
        <v>0</v>
      </c>
      <c r="L35" s="73">
        <v>0</v>
      </c>
      <c r="M35" s="73">
        <v>0</v>
      </c>
    </row>
    <row r="36" spans="1:13">
      <c r="A36" s="195" t="s">
        <v>82</v>
      </c>
      <c r="B36" s="73">
        <f>'Ex post LI &amp; Eligibility Stats'!B$12*0</f>
        <v>0</v>
      </c>
      <c r="C36" s="73">
        <f>'Ex post LI &amp; Eligibility Stats'!C$12/1000*0</f>
        <v>0</v>
      </c>
      <c r="D36" s="73">
        <f>'Ex post LI &amp; Eligibility Stats'!D$12/1000*0</f>
        <v>0</v>
      </c>
      <c r="E36" s="73">
        <f>'Ex post LI &amp; Eligibility Stats'!E$12/1000*0</f>
        <v>0</v>
      </c>
      <c r="F36" s="73">
        <f>'Ex post LI &amp; Eligibility Stats'!F$12/1000*0</f>
        <v>0</v>
      </c>
      <c r="G36" s="73">
        <f>'Ex post LI &amp; Eligibility Stats'!G$12/1000*0</f>
        <v>0</v>
      </c>
      <c r="H36" s="73">
        <f>'Ex post LI &amp; Eligibility Stats'!G15*'Program MW '!J20/1000</f>
        <v>0</v>
      </c>
      <c r="I36" s="73">
        <f>'Ex post LI &amp; Eligibility Stats'!H15*'Program MW '!K20/1000</f>
        <v>0</v>
      </c>
      <c r="J36" s="73">
        <v>0</v>
      </c>
      <c r="K36" s="73">
        <v>0</v>
      </c>
      <c r="L36" s="73">
        <v>0</v>
      </c>
      <c r="M36" s="73">
        <v>0</v>
      </c>
    </row>
    <row r="37" spans="1:13">
      <c r="A37" s="195" t="s">
        <v>114</v>
      </c>
      <c r="B37" s="73">
        <f>'Ex post LI &amp; Eligibility Stats'!B16*'Program MW '!B$12*0</f>
        <v>0</v>
      </c>
      <c r="C37" s="73">
        <f>'Ex post LI &amp; Eligibility Stats'!C$12/1000*0</f>
        <v>0</v>
      </c>
      <c r="D37" s="73">
        <f>'Ex post LI &amp; Eligibility Stats'!D$12/1000*0</f>
        <v>0</v>
      </c>
      <c r="E37" s="73">
        <f>'Ex post LI &amp; Eligibility Stats'!E$12/1000*0</f>
        <v>0</v>
      </c>
      <c r="F37" s="73">
        <f>'Ex post LI &amp; Eligibility Stats'!F$12/1000*0</f>
        <v>0</v>
      </c>
      <c r="G37" s="73">
        <f>'Ex post LI &amp; Eligibility Stats'!G$12/1000*0</f>
        <v>0</v>
      </c>
      <c r="H37" s="73">
        <f>'Ex post LI &amp; Eligibility Stats'!G16*'Program MW '!J21/1000</f>
        <v>0</v>
      </c>
      <c r="I37" s="73">
        <f>'Ex post LI &amp; Eligibility Stats'!H16*'Program MW '!K21/1000</f>
        <v>0</v>
      </c>
      <c r="J37" s="73">
        <v>0</v>
      </c>
      <c r="K37" s="73">
        <v>0</v>
      </c>
      <c r="L37" s="73">
        <v>0</v>
      </c>
      <c r="M37" s="73">
        <v>0</v>
      </c>
    </row>
    <row r="38" spans="1:13">
      <c r="A38" s="195" t="s">
        <v>115</v>
      </c>
      <c r="B38" s="73">
        <f>1*'Ex post LI &amp; Eligibility Stats'!B12/1000</f>
        <v>1.2212848663330077E-3</v>
      </c>
      <c r="C38" s="73">
        <f>1*'Ex post LI &amp; Eligibility Stats'!C12/1000</f>
        <v>1.2212848663330077E-3</v>
      </c>
      <c r="D38" s="73">
        <f>0*'Ex post LI &amp; Eligibility Stats'!D$12/1000</f>
        <v>0</v>
      </c>
      <c r="E38" s="73">
        <f>0*'Ex post LI &amp; Eligibility Stats'!E$12/1000</f>
        <v>0</v>
      </c>
      <c r="F38" s="73">
        <f>0*'Ex post LI &amp; Eligibility Stats'!F$12/1000</f>
        <v>0</v>
      </c>
      <c r="G38" s="73">
        <f>0*'Ex post LI &amp; Eligibility Stats'!G$12/1000</f>
        <v>0</v>
      </c>
      <c r="H38" s="73">
        <f>1*'Ex post LI &amp; Eligibility Stats'!H12/1000</f>
        <v>4.737864091511572E-4</v>
      </c>
      <c r="I38" s="73">
        <f>1*'Ex post LI &amp; Eligibility Stats'!I12/1000</f>
        <v>4.737864091511572E-4</v>
      </c>
      <c r="J38" s="73">
        <v>0</v>
      </c>
      <c r="K38" s="73">
        <v>0</v>
      </c>
      <c r="L38" s="73">
        <v>0</v>
      </c>
      <c r="M38" s="73">
        <v>0</v>
      </c>
    </row>
    <row r="39" spans="1:13" s="59" customFormat="1">
      <c r="A39" s="194" t="s">
        <v>83</v>
      </c>
      <c r="B39" s="123">
        <f t="shared" ref="B39:M39" si="13">SUM(B33:B38)</f>
        <v>4.0986320114135744</v>
      </c>
      <c r="C39" s="123">
        <f t="shared" si="13"/>
        <v>4.1059597206115725</v>
      </c>
      <c r="D39" s="123">
        <f t="shared" si="13"/>
        <v>1.5923961211570394</v>
      </c>
      <c r="E39" s="123">
        <f t="shared" si="13"/>
        <v>1.5909747619295858</v>
      </c>
      <c r="F39" s="123">
        <f t="shared" si="13"/>
        <v>1.5933436939753418</v>
      </c>
      <c r="G39" s="123">
        <f t="shared" si="13"/>
        <v>1.5938174803844929</v>
      </c>
      <c r="H39" s="123">
        <f t="shared" si="13"/>
        <v>1.5933436939753416</v>
      </c>
      <c r="I39" s="123">
        <f t="shared" si="13"/>
        <v>1.590974761929586</v>
      </c>
      <c r="J39" s="123">
        <f t="shared" si="13"/>
        <v>0</v>
      </c>
      <c r="K39" s="123">
        <f t="shared" si="13"/>
        <v>0</v>
      </c>
      <c r="L39" s="123">
        <f t="shared" si="13"/>
        <v>0</v>
      </c>
      <c r="M39" s="90">
        <f t="shared" si="13"/>
        <v>0</v>
      </c>
    </row>
    <row r="40" spans="1:13">
      <c r="C40" s="61"/>
      <c r="D40" s="61"/>
      <c r="E40" s="61"/>
      <c r="F40" s="61"/>
      <c r="G40" s="61"/>
    </row>
    <row r="41" spans="1:13" ht="15">
      <c r="A41" s="308" t="s">
        <v>43</v>
      </c>
      <c r="G41" s="61"/>
    </row>
    <row r="42" spans="1:13" ht="15">
      <c r="A42" s="594" t="s">
        <v>119</v>
      </c>
      <c r="B42" s="232"/>
      <c r="C42" s="232"/>
      <c r="D42" s="400"/>
      <c r="E42" s="400"/>
      <c r="F42" s="400"/>
      <c r="G42" s="232"/>
      <c r="H42" s="232"/>
      <c r="I42" s="232"/>
      <c r="J42" s="232"/>
      <c r="K42" s="232"/>
    </row>
    <row r="43" spans="1:13" ht="18">
      <c r="A43" s="699" t="s">
        <v>122</v>
      </c>
      <c r="B43" s="232"/>
      <c r="C43" s="232"/>
      <c r="D43" s="400"/>
      <c r="E43" s="400"/>
      <c r="F43" s="400"/>
      <c r="G43" s="232"/>
      <c r="H43" s="232"/>
      <c r="I43" s="232"/>
      <c r="J43" s="232"/>
      <c r="K43" s="232"/>
    </row>
    <row r="44" spans="1:13" ht="14.25">
      <c r="A44" s="307"/>
      <c r="D44" s="61"/>
      <c r="E44" s="61"/>
      <c r="F44" s="61"/>
    </row>
    <row r="45" spans="1:13" ht="15">
      <c r="A45" s="309" t="s">
        <v>51</v>
      </c>
    </row>
    <row r="47" spans="1:13" ht="15">
      <c r="A47" s="174" t="s">
        <v>85</v>
      </c>
    </row>
    <row r="49" spans="1:1">
      <c r="A49" s="243"/>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63"/>
  <sheetViews>
    <sheetView showGridLines="0" zoomScale="110" zoomScaleNormal="110" zoomScaleSheetLayoutView="80" workbookViewId="0">
      <pane xSplit="1" ySplit="9" topLeftCell="B52" activePane="bottomRight" state="frozen"/>
      <selection pane="topRight" activeCell="B34" sqref="B34"/>
      <selection pane="bottomLeft" activeCell="B34" sqref="B34"/>
      <selection pane="bottomRight" activeCell="H59" sqref="H59"/>
    </sheetView>
  </sheetViews>
  <sheetFormatPr defaultColWidth="9.140625" defaultRowHeight="12.75"/>
  <cols>
    <col min="1" max="1" width="51.7109375" style="147" customWidth="1"/>
    <col min="2" max="2" width="13" style="147" customWidth="1"/>
    <col min="3" max="3" width="11.42578125" style="147" customWidth="1"/>
    <col min="4" max="4" width="15.5703125" style="147" customWidth="1"/>
    <col min="5" max="5" width="12" style="147" customWidth="1"/>
    <col min="6" max="6" width="11.28515625" style="147" bestFit="1" customWidth="1"/>
    <col min="7" max="7" width="12.7109375" style="147" customWidth="1"/>
    <col min="8" max="8" width="11.7109375" style="147" bestFit="1" customWidth="1"/>
    <col min="9" max="9" width="11.7109375" style="147" customWidth="1"/>
    <col min="10" max="10" width="12" style="147" customWidth="1"/>
    <col min="11" max="11" width="10.7109375" style="147" customWidth="1"/>
    <col min="12" max="12" width="11.85546875" style="147" customWidth="1"/>
    <col min="13" max="13" width="11.7109375" style="147" customWidth="1"/>
    <col min="14" max="14" width="13.28515625" style="147" customWidth="1"/>
    <col min="15" max="15" width="23.28515625" style="147" bestFit="1" customWidth="1"/>
    <col min="16" max="16" width="16" style="147" customWidth="1"/>
    <col min="17" max="17" width="17.140625" style="147" customWidth="1"/>
    <col min="18" max="18" width="14.7109375" style="147" customWidth="1"/>
    <col min="19" max="19" width="13.42578125" style="147" bestFit="1" customWidth="1"/>
    <col min="20" max="16384" width="9.140625" style="147"/>
  </cols>
  <sheetData>
    <row r="2" spans="1:19">
      <c r="A2" s="146"/>
      <c r="G2" s="175" t="s">
        <v>123</v>
      </c>
      <c r="N2" s="146"/>
    </row>
    <row r="3" spans="1:19">
      <c r="A3" s="146"/>
      <c r="G3" s="175" t="s">
        <v>124</v>
      </c>
      <c r="N3" s="146"/>
    </row>
    <row r="4" spans="1:19">
      <c r="A4" s="146"/>
      <c r="F4" s="230"/>
      <c r="G4" s="231" t="str">
        <f>'Program MW '!H3</f>
        <v>August 2019</v>
      </c>
      <c r="H4" s="230"/>
      <c r="I4" s="230"/>
      <c r="N4" s="146"/>
    </row>
    <row r="5" spans="1:19">
      <c r="A5" s="146"/>
      <c r="B5" s="230"/>
      <c r="C5" s="230"/>
      <c r="D5" s="230"/>
      <c r="N5" s="146"/>
    </row>
    <row r="6" spans="1:19" ht="13.5" thickBot="1"/>
    <row r="7" spans="1:19">
      <c r="A7" s="426"/>
      <c r="B7" s="149"/>
      <c r="C7" s="149"/>
      <c r="D7" s="149"/>
      <c r="E7" s="149"/>
      <c r="F7" s="149"/>
      <c r="G7" s="149"/>
      <c r="H7" s="149"/>
      <c r="I7" s="149"/>
      <c r="J7" s="149"/>
      <c r="K7" s="149"/>
      <c r="L7" s="149"/>
      <c r="M7" s="150"/>
      <c r="N7" s="566"/>
      <c r="O7" s="150"/>
      <c r="P7" s="150"/>
      <c r="Q7" s="151"/>
      <c r="R7" s="151"/>
      <c r="S7" s="411"/>
    </row>
    <row r="8" spans="1:19" ht="9" customHeight="1" thickBot="1">
      <c r="A8" s="427"/>
      <c r="B8" s="153"/>
      <c r="C8" s="153"/>
      <c r="D8" s="153"/>
      <c r="E8" s="153"/>
      <c r="F8" s="153"/>
      <c r="G8" s="153"/>
      <c r="H8" s="153"/>
      <c r="I8" s="153"/>
      <c r="J8" s="153"/>
      <c r="K8" s="153"/>
      <c r="L8" s="153"/>
      <c r="M8" s="154"/>
      <c r="N8" s="569"/>
      <c r="O8" s="154"/>
      <c r="P8" s="154"/>
      <c r="Q8" s="155"/>
      <c r="R8" s="155"/>
      <c r="S8" s="412"/>
    </row>
    <row r="9" spans="1:19" ht="57.75" customHeight="1">
      <c r="A9" s="567" t="s">
        <v>125</v>
      </c>
      <c r="B9" s="598" t="s">
        <v>3</v>
      </c>
      <c r="C9" s="336" t="s">
        <v>4</v>
      </c>
      <c r="D9" s="336" t="s">
        <v>5</v>
      </c>
      <c r="E9" s="336" t="s">
        <v>6</v>
      </c>
      <c r="F9" s="336" t="s">
        <v>7</v>
      </c>
      <c r="G9" s="336" t="s">
        <v>8</v>
      </c>
      <c r="H9" s="336" t="s">
        <v>35</v>
      </c>
      <c r="I9" s="337" t="s">
        <v>36</v>
      </c>
      <c r="J9" s="337" t="s">
        <v>91</v>
      </c>
      <c r="K9" s="336" t="s">
        <v>38</v>
      </c>
      <c r="L9" s="336" t="s">
        <v>92</v>
      </c>
      <c r="M9" s="336" t="s">
        <v>40</v>
      </c>
      <c r="N9" s="570" t="s">
        <v>126</v>
      </c>
      <c r="O9" s="157" t="s">
        <v>127</v>
      </c>
      <c r="P9" s="157" t="s">
        <v>128</v>
      </c>
      <c r="Q9" s="452" t="s">
        <v>129</v>
      </c>
      <c r="R9" s="157" t="s">
        <v>130</v>
      </c>
      <c r="S9" s="413" t="s">
        <v>131</v>
      </c>
    </row>
    <row r="10" spans="1:19">
      <c r="A10" s="428" t="s">
        <v>132</v>
      </c>
      <c r="B10" s="599"/>
      <c r="C10" s="15"/>
      <c r="D10" s="15"/>
      <c r="E10" s="15"/>
      <c r="F10" s="159"/>
      <c r="G10" s="317"/>
      <c r="H10" s="159"/>
      <c r="I10" s="159"/>
      <c r="J10" s="159"/>
      <c r="K10" s="159"/>
      <c r="L10" s="159"/>
      <c r="M10" s="159"/>
      <c r="N10" s="571"/>
      <c r="O10" s="17"/>
      <c r="P10" s="160" t="s">
        <v>85</v>
      </c>
      <c r="Q10" s="453"/>
      <c r="R10" s="161"/>
      <c r="S10" s="414"/>
    </row>
    <row r="11" spans="1:19">
      <c r="A11" s="429" t="s">
        <v>133</v>
      </c>
      <c r="B11" s="600">
        <v>50441.83</v>
      </c>
      <c r="C11" s="568">
        <v>17805.05</v>
      </c>
      <c r="D11" s="568">
        <v>6940</v>
      </c>
      <c r="E11" s="568">
        <v>8974.57</v>
      </c>
      <c r="F11" s="568">
        <v>8721.39</v>
      </c>
      <c r="G11" s="568">
        <v>7354.56</v>
      </c>
      <c r="H11" s="568">
        <v>11489.08</v>
      </c>
      <c r="I11" s="568">
        <v>12963.88</v>
      </c>
      <c r="J11" s="568">
        <v>0</v>
      </c>
      <c r="K11" s="568">
        <v>0</v>
      </c>
      <c r="L11" s="568">
        <v>0</v>
      </c>
      <c r="M11" s="568">
        <v>0</v>
      </c>
      <c r="N11" s="571">
        <v>241024.22999999998</v>
      </c>
      <c r="O11" s="17">
        <f>SUM(B11:M11)</f>
        <v>124690.36000000002</v>
      </c>
      <c r="P11" s="15">
        <f>O11+N11</f>
        <v>365714.58999999997</v>
      </c>
      <c r="Q11" s="454">
        <v>2869200</v>
      </c>
      <c r="R11" s="17">
        <v>0</v>
      </c>
      <c r="S11" s="415">
        <f>+P11/Q11</f>
        <v>0.1274622159486965</v>
      </c>
    </row>
    <row r="12" spans="1:19">
      <c r="A12" s="429" t="s">
        <v>134</v>
      </c>
      <c r="B12" s="600">
        <v>8796.66</v>
      </c>
      <c r="C12" s="568">
        <v>94225.659999999989</v>
      </c>
      <c r="D12" s="568">
        <v>44333</v>
      </c>
      <c r="E12" s="568">
        <v>2684.89</v>
      </c>
      <c r="F12" s="568">
        <v>73951.14</v>
      </c>
      <c r="G12" s="568">
        <v>68211.87000000001</v>
      </c>
      <c r="H12" s="568">
        <v>37917.42</v>
      </c>
      <c r="I12" s="568">
        <v>17014.889999999996</v>
      </c>
      <c r="J12" s="568">
        <v>0</v>
      </c>
      <c r="K12" s="568">
        <v>0</v>
      </c>
      <c r="L12" s="568">
        <v>0</v>
      </c>
      <c r="M12" s="568">
        <v>0</v>
      </c>
      <c r="N12" s="571">
        <v>1433436.43</v>
      </c>
      <c r="O12" s="17">
        <f t="shared" ref="O12:O15" si="0">SUM(B12:M12)</f>
        <v>347135.53</v>
      </c>
      <c r="P12" s="15">
        <f>O12+N12</f>
        <v>1780571.96</v>
      </c>
      <c r="Q12" s="454">
        <v>9020700</v>
      </c>
      <c r="R12" s="17">
        <v>0</v>
      </c>
      <c r="S12" s="415">
        <f t="shared" ref="S12:S15" si="1">+P12/Q12</f>
        <v>0.19738733801146252</v>
      </c>
    </row>
    <row r="13" spans="1:19" ht="14.25">
      <c r="A13" s="429" t="s">
        <v>135</v>
      </c>
      <c r="B13" s="600">
        <v>-916.80999999999858</v>
      </c>
      <c r="C13" s="568">
        <v>8393.36</v>
      </c>
      <c r="D13" s="568">
        <v>11990</v>
      </c>
      <c r="E13" s="568">
        <v>5788.67</v>
      </c>
      <c r="F13" s="568">
        <v>24113.660000000003</v>
      </c>
      <c r="G13" s="568">
        <v>16581.850000000002</v>
      </c>
      <c r="H13" s="568">
        <v>-2895.9299999999967</v>
      </c>
      <c r="I13" s="568">
        <v>12517.220000000001</v>
      </c>
      <c r="J13" s="568">
        <v>0</v>
      </c>
      <c r="K13" s="568">
        <v>0</v>
      </c>
      <c r="L13" s="568">
        <v>0</v>
      </c>
      <c r="M13" s="568">
        <v>0</v>
      </c>
      <c r="N13" s="571">
        <v>197875.51</v>
      </c>
      <c r="O13" s="17">
        <f t="shared" si="0"/>
        <v>75572.020000000019</v>
      </c>
      <c r="P13" s="15">
        <f>O13+N13</f>
        <v>273447.53000000003</v>
      </c>
      <c r="Q13" s="454">
        <v>4664400</v>
      </c>
      <c r="R13" s="17">
        <v>0</v>
      </c>
      <c r="S13" s="415">
        <f t="shared" si="1"/>
        <v>5.8624373981648235E-2</v>
      </c>
    </row>
    <row r="14" spans="1:19">
      <c r="A14" s="429" t="s">
        <v>136</v>
      </c>
      <c r="B14" s="600">
        <v>17975.71</v>
      </c>
      <c r="C14" s="568">
        <v>11594.53</v>
      </c>
      <c r="D14" s="568">
        <v>15244</v>
      </c>
      <c r="E14" s="568">
        <v>14000.48</v>
      </c>
      <c r="F14" s="568">
        <v>27783.719999999994</v>
      </c>
      <c r="G14" s="568">
        <v>12413.72</v>
      </c>
      <c r="H14" s="568">
        <v>12480.7</v>
      </c>
      <c r="I14" s="568">
        <v>25290.999999999996</v>
      </c>
      <c r="J14" s="568">
        <v>0</v>
      </c>
      <c r="K14" s="568">
        <v>0</v>
      </c>
      <c r="L14" s="568">
        <v>0</v>
      </c>
      <c r="M14" s="568">
        <v>0</v>
      </c>
      <c r="N14" s="571">
        <v>444057.25999999995</v>
      </c>
      <c r="O14" s="17">
        <f t="shared" si="0"/>
        <v>136783.85999999999</v>
      </c>
      <c r="P14" s="15">
        <f>O14+N14</f>
        <v>580841.11999999988</v>
      </c>
      <c r="Q14" s="17">
        <f>(10535700)+R14</f>
        <v>10301202</v>
      </c>
      <c r="R14" s="17">
        <v>-234498</v>
      </c>
      <c r="S14" s="415">
        <f t="shared" si="1"/>
        <v>5.6385761583939417E-2</v>
      </c>
    </row>
    <row r="15" spans="1:19" ht="14.25">
      <c r="A15" s="430" t="s">
        <v>137</v>
      </c>
      <c r="B15" s="600">
        <v>-193.62</v>
      </c>
      <c r="C15" s="568">
        <v>0</v>
      </c>
      <c r="D15" s="568">
        <v>0</v>
      </c>
      <c r="E15" s="568">
        <v>0</v>
      </c>
      <c r="F15" s="568">
        <v>0</v>
      </c>
      <c r="G15" s="568">
        <v>0</v>
      </c>
      <c r="H15" s="568">
        <v>0</v>
      </c>
      <c r="I15" s="568">
        <v>0</v>
      </c>
      <c r="J15" s="568">
        <v>0</v>
      </c>
      <c r="K15" s="568">
        <v>0</v>
      </c>
      <c r="L15" s="568">
        <v>0</v>
      </c>
      <c r="M15" s="568">
        <v>0</v>
      </c>
      <c r="N15" s="572">
        <v>15520.07</v>
      </c>
      <c r="O15" s="274">
        <f t="shared" si="0"/>
        <v>-193.62</v>
      </c>
      <c r="P15" s="15">
        <f>O15+N15</f>
        <v>15326.449999999999</v>
      </c>
      <c r="Q15" s="454">
        <v>19800</v>
      </c>
      <c r="R15" s="17">
        <v>0</v>
      </c>
      <c r="S15" s="415">
        <f t="shared" si="1"/>
        <v>0.7740631313131312</v>
      </c>
    </row>
    <row r="16" spans="1:19">
      <c r="A16" s="431" t="s">
        <v>138</v>
      </c>
      <c r="B16" s="601">
        <f>SUM(B11:B15)</f>
        <v>76103.770000000019</v>
      </c>
      <c r="C16" s="18">
        <f t="shared" ref="C16:M16" si="2">SUM(C11:C15)</f>
        <v>132018.6</v>
      </c>
      <c r="D16" s="18">
        <f t="shared" si="2"/>
        <v>78507</v>
      </c>
      <c r="E16" s="18">
        <f t="shared" si="2"/>
        <v>31448.609999999997</v>
      </c>
      <c r="F16" s="18">
        <f t="shared" si="2"/>
        <v>134569.91</v>
      </c>
      <c r="G16" s="18">
        <f t="shared" si="2"/>
        <v>104562.00000000001</v>
      </c>
      <c r="H16" s="18">
        <f t="shared" si="2"/>
        <v>58991.270000000004</v>
      </c>
      <c r="I16" s="18">
        <f t="shared" si="2"/>
        <v>67786.989999999991</v>
      </c>
      <c r="J16" s="18">
        <f t="shared" si="2"/>
        <v>0</v>
      </c>
      <c r="K16" s="18">
        <f>SUM(K11:K15)</f>
        <v>0</v>
      </c>
      <c r="L16" s="18">
        <f t="shared" si="2"/>
        <v>0</v>
      </c>
      <c r="M16" s="18">
        <f t="shared" si="2"/>
        <v>0</v>
      </c>
      <c r="N16" s="573">
        <v>2331913.4999999995</v>
      </c>
      <c r="O16" s="19">
        <f>SUM(O11:O15)</f>
        <v>683988.15</v>
      </c>
      <c r="P16" s="18">
        <f>SUM(P11:P15)</f>
        <v>3015901.6500000004</v>
      </c>
      <c r="Q16" s="455">
        <f>SUM(Q11:Q15)</f>
        <v>26875302</v>
      </c>
      <c r="R16" s="19">
        <f>SUM(R11:R15)</f>
        <v>-234498</v>
      </c>
      <c r="S16" s="416">
        <f>P16/Q16</f>
        <v>0.11221833525814892</v>
      </c>
    </row>
    <row r="17" spans="1:19">
      <c r="A17" s="430"/>
      <c r="B17" s="600"/>
      <c r="C17" s="15"/>
      <c r="D17" s="15"/>
      <c r="E17" s="15"/>
      <c r="F17" s="159"/>
      <c r="G17" s="339"/>
      <c r="H17" s="159"/>
      <c r="I17" s="159"/>
      <c r="J17" s="159"/>
      <c r="K17" s="159"/>
      <c r="L17" s="159"/>
      <c r="M17" s="159"/>
      <c r="N17" s="574"/>
      <c r="O17" s="16"/>
      <c r="P17" s="16"/>
      <c r="Q17" s="454"/>
      <c r="R17" s="17"/>
      <c r="S17" s="415"/>
    </row>
    <row r="18" spans="1:19" ht="25.5">
      <c r="A18" s="428" t="s">
        <v>139</v>
      </c>
      <c r="B18" s="600"/>
      <c r="C18" s="15"/>
      <c r="D18" s="15"/>
      <c r="E18" s="15"/>
      <c r="F18" s="159"/>
      <c r="G18" s="339"/>
      <c r="H18" s="159"/>
      <c r="I18" s="159"/>
      <c r="J18" s="159"/>
      <c r="K18" s="159"/>
      <c r="L18" s="159"/>
      <c r="M18" s="159"/>
      <c r="N18" s="574"/>
      <c r="O18" s="16"/>
      <c r="P18" s="16"/>
      <c r="Q18" s="454"/>
      <c r="R18" s="17"/>
      <c r="S18" s="415"/>
    </row>
    <row r="19" spans="1:19">
      <c r="A19" s="429"/>
      <c r="B19" s="600">
        <v>0</v>
      </c>
      <c r="C19" s="15">
        <v>0</v>
      </c>
      <c r="D19" s="15">
        <v>0</v>
      </c>
      <c r="E19" s="15">
        <v>0</v>
      </c>
      <c r="F19" s="15">
        <v>0</v>
      </c>
      <c r="G19" s="15">
        <v>0</v>
      </c>
      <c r="H19" s="15">
        <v>0</v>
      </c>
      <c r="I19" s="15">
        <v>0</v>
      </c>
      <c r="J19" s="15">
        <v>0</v>
      </c>
      <c r="K19" s="15">
        <v>0</v>
      </c>
      <c r="L19" s="15">
        <v>0</v>
      </c>
      <c r="M19" s="15">
        <v>0</v>
      </c>
      <c r="N19" s="574">
        <v>0</v>
      </c>
      <c r="O19" s="16">
        <f>SUM(B19:M19)</f>
        <v>0</v>
      </c>
      <c r="P19" s="15">
        <f>O19+N19</f>
        <v>0</v>
      </c>
      <c r="Q19" s="456">
        <v>0</v>
      </c>
      <c r="R19" s="16">
        <v>0</v>
      </c>
      <c r="S19" s="415">
        <v>0</v>
      </c>
    </row>
    <row r="20" spans="1:19">
      <c r="A20" s="431" t="s">
        <v>140</v>
      </c>
      <c r="B20" s="602">
        <f t="shared" ref="B20:O20" si="3">SUM(B19:B19)</f>
        <v>0</v>
      </c>
      <c r="C20" s="18">
        <f t="shared" si="3"/>
        <v>0</v>
      </c>
      <c r="D20" s="18">
        <f t="shared" si="3"/>
        <v>0</v>
      </c>
      <c r="E20" s="18">
        <f t="shared" si="3"/>
        <v>0</v>
      </c>
      <c r="F20" s="18">
        <f t="shared" si="3"/>
        <v>0</v>
      </c>
      <c r="G20" s="340">
        <f t="shared" si="3"/>
        <v>0</v>
      </c>
      <c r="H20" s="18">
        <f t="shared" si="3"/>
        <v>0</v>
      </c>
      <c r="I20" s="18">
        <f t="shared" si="3"/>
        <v>0</v>
      </c>
      <c r="J20" s="18">
        <f t="shared" si="3"/>
        <v>0</v>
      </c>
      <c r="K20" s="18">
        <f t="shared" si="3"/>
        <v>0</v>
      </c>
      <c r="L20" s="18">
        <f t="shared" si="3"/>
        <v>0</v>
      </c>
      <c r="M20" s="18">
        <f t="shared" si="3"/>
        <v>0</v>
      </c>
      <c r="N20" s="573">
        <v>0</v>
      </c>
      <c r="O20" s="19">
        <f t="shared" si="3"/>
        <v>0</v>
      </c>
      <c r="P20" s="19">
        <f>SUM(B20:M20)</f>
        <v>0</v>
      </c>
      <c r="Q20" s="455">
        <f>SUM(Q19:Q19)</f>
        <v>0</v>
      </c>
      <c r="R20" s="19">
        <f>SUM(R19:R19)</f>
        <v>0</v>
      </c>
      <c r="S20" s="417">
        <v>0</v>
      </c>
    </row>
    <row r="21" spans="1:19">
      <c r="A21" s="432"/>
      <c r="B21" s="600"/>
      <c r="C21" s="15"/>
      <c r="D21" s="15"/>
      <c r="E21" s="15"/>
      <c r="F21" s="15"/>
      <c r="G21" s="339"/>
      <c r="H21" s="15"/>
      <c r="I21" s="15"/>
      <c r="J21" s="15"/>
      <c r="K21" s="15"/>
      <c r="L21" s="15"/>
      <c r="M21" s="15"/>
      <c r="N21" s="574"/>
      <c r="O21" s="16"/>
      <c r="P21" s="16"/>
      <c r="Q21" s="456"/>
      <c r="R21" s="16"/>
      <c r="S21" s="418"/>
    </row>
    <row r="22" spans="1:19" ht="25.5">
      <c r="A22" s="428" t="s">
        <v>141</v>
      </c>
      <c r="B22" s="600"/>
      <c r="C22" s="15"/>
      <c r="D22" s="15"/>
      <c r="E22" s="15"/>
      <c r="F22" s="159"/>
      <c r="G22" s="339"/>
      <c r="H22" s="159"/>
      <c r="I22" s="159"/>
      <c r="J22" s="159"/>
      <c r="K22" s="159"/>
      <c r="L22" s="159"/>
      <c r="M22" s="159"/>
      <c r="N22" s="574"/>
      <c r="O22" s="16"/>
      <c r="P22" s="16"/>
      <c r="Q22" s="454"/>
      <c r="R22" s="17"/>
      <c r="S22" s="415"/>
    </row>
    <row r="23" spans="1:19">
      <c r="A23" s="429" t="s">
        <v>142</v>
      </c>
      <c r="B23" s="600">
        <v>97032.799999999988</v>
      </c>
      <c r="C23" s="568">
        <v>21649.57</v>
      </c>
      <c r="D23" s="568">
        <v>202064</v>
      </c>
      <c r="E23" s="568">
        <v>14601.02</v>
      </c>
      <c r="F23" s="568">
        <v>18078.28</v>
      </c>
      <c r="G23" s="568">
        <v>200212.43000000002</v>
      </c>
      <c r="H23" s="568">
        <v>31250.21</v>
      </c>
      <c r="I23" s="568">
        <v>9760.36</v>
      </c>
      <c r="J23" s="568">
        <v>0</v>
      </c>
      <c r="K23" s="568">
        <v>0</v>
      </c>
      <c r="L23" s="568">
        <v>0</v>
      </c>
      <c r="M23" s="568">
        <v>0</v>
      </c>
      <c r="N23" s="574">
        <v>866776.02</v>
      </c>
      <c r="O23" s="16">
        <f>SUM(B23:M23)</f>
        <v>594648.67000000004</v>
      </c>
      <c r="P23" s="15">
        <f>O23+N23</f>
        <v>1461424.69</v>
      </c>
      <c r="Q23" s="456">
        <v>3000000</v>
      </c>
      <c r="R23" s="16">
        <v>0</v>
      </c>
      <c r="S23" s="415">
        <f t="shared" ref="S23" si="4">+P23/Q23</f>
        <v>0.48714156333333331</v>
      </c>
    </row>
    <row r="24" spans="1:19">
      <c r="A24" s="431" t="s">
        <v>143</v>
      </c>
      <c r="B24" s="602">
        <f t="shared" ref="B24:O24" si="5">SUM(B23:B23)</f>
        <v>97032.799999999988</v>
      </c>
      <c r="C24" s="18">
        <f t="shared" si="5"/>
        <v>21649.57</v>
      </c>
      <c r="D24" s="18">
        <f t="shared" si="5"/>
        <v>202064</v>
      </c>
      <c r="E24" s="18">
        <f t="shared" si="5"/>
        <v>14601.02</v>
      </c>
      <c r="F24" s="18">
        <f t="shared" si="5"/>
        <v>18078.28</v>
      </c>
      <c r="G24" s="340">
        <f t="shared" si="5"/>
        <v>200212.43000000002</v>
      </c>
      <c r="H24" s="18">
        <f t="shared" si="5"/>
        <v>31250.21</v>
      </c>
      <c r="I24" s="18">
        <f t="shared" si="5"/>
        <v>9760.36</v>
      </c>
      <c r="J24" s="18">
        <f t="shared" si="5"/>
        <v>0</v>
      </c>
      <c r="K24" s="18">
        <f t="shared" si="5"/>
        <v>0</v>
      </c>
      <c r="L24" s="18">
        <f t="shared" si="5"/>
        <v>0</v>
      </c>
      <c r="M24" s="18">
        <f t="shared" si="5"/>
        <v>0</v>
      </c>
      <c r="N24" s="573">
        <v>866776.02</v>
      </c>
      <c r="O24" s="19">
        <f t="shared" si="5"/>
        <v>594648.67000000004</v>
      </c>
      <c r="P24" s="19">
        <f>P23</f>
        <v>1461424.69</v>
      </c>
      <c r="Q24" s="455">
        <f>SUM(Q23:Q23)</f>
        <v>3000000</v>
      </c>
      <c r="R24" s="19">
        <f>SUM(R23:R23)</f>
        <v>0</v>
      </c>
      <c r="S24" s="417">
        <f>P24/Q24</f>
        <v>0.48714156333333331</v>
      </c>
    </row>
    <row r="25" spans="1:19">
      <c r="A25" s="428"/>
      <c r="B25" s="600"/>
      <c r="C25" s="15"/>
      <c r="D25" s="15"/>
      <c r="E25" s="15"/>
      <c r="F25" s="159"/>
      <c r="G25" s="339"/>
      <c r="H25" s="159"/>
      <c r="I25" s="159"/>
      <c r="J25" s="159"/>
      <c r="K25" s="159"/>
      <c r="L25" s="159"/>
      <c r="M25" s="159"/>
      <c r="N25" s="574"/>
      <c r="O25" s="16"/>
      <c r="P25" s="16"/>
      <c r="Q25" s="454"/>
      <c r="R25" s="17"/>
      <c r="S25" s="415"/>
    </row>
    <row r="26" spans="1:19">
      <c r="A26" s="428" t="s">
        <v>144</v>
      </c>
      <c r="B26" s="600"/>
      <c r="C26" s="15"/>
      <c r="D26" s="15"/>
      <c r="E26" s="15"/>
      <c r="F26" s="159"/>
      <c r="G26" s="339"/>
      <c r="H26" s="159"/>
      <c r="I26" s="159"/>
      <c r="J26" s="159"/>
      <c r="K26" s="159"/>
      <c r="L26" s="159"/>
      <c r="M26" s="159"/>
      <c r="N26" s="574"/>
      <c r="O26" s="16"/>
      <c r="P26" s="16"/>
      <c r="Q26" s="454"/>
      <c r="R26" s="17"/>
      <c r="S26" s="415"/>
    </row>
    <row r="27" spans="1:19">
      <c r="A27" s="429" t="s">
        <v>145</v>
      </c>
      <c r="B27" s="600">
        <v>13272.64</v>
      </c>
      <c r="C27" s="568">
        <v>23610.910000000003</v>
      </c>
      <c r="D27" s="568">
        <v>14293</v>
      </c>
      <c r="E27" s="568">
        <v>19298.72</v>
      </c>
      <c r="F27" s="568">
        <v>39444.82</v>
      </c>
      <c r="G27" s="568">
        <v>25308.23</v>
      </c>
      <c r="H27" s="568">
        <v>56316.3</v>
      </c>
      <c r="I27" s="568">
        <v>27304.57</v>
      </c>
      <c r="J27" s="568">
        <v>0</v>
      </c>
      <c r="K27" s="568">
        <v>0</v>
      </c>
      <c r="L27" s="568">
        <v>0</v>
      </c>
      <c r="M27" s="568">
        <v>0</v>
      </c>
      <c r="N27" s="574">
        <v>469609.93000000005</v>
      </c>
      <c r="O27" s="16">
        <f>SUM(B27:M27)</f>
        <v>218849.19</v>
      </c>
      <c r="P27" s="15">
        <f>O27+N27</f>
        <v>688459.12000000011</v>
      </c>
      <c r="Q27" s="456">
        <v>3483000</v>
      </c>
      <c r="R27" s="16">
        <v>0</v>
      </c>
      <c r="S27" s="415">
        <f t="shared" ref="S27:S29" si="6">+P27/Q27</f>
        <v>0.19766268159632505</v>
      </c>
    </row>
    <row r="28" spans="1:19">
      <c r="A28" s="429" t="s">
        <v>146</v>
      </c>
      <c r="B28" s="600">
        <v>42845.389999999992</v>
      </c>
      <c r="C28" s="568">
        <v>60670.04</v>
      </c>
      <c r="D28" s="568">
        <v>45896</v>
      </c>
      <c r="E28" s="568">
        <v>42481.58</v>
      </c>
      <c r="F28" s="568">
        <v>36965.819999999992</v>
      </c>
      <c r="G28" s="568">
        <v>49939.51</v>
      </c>
      <c r="H28" s="568">
        <v>90323.59</v>
      </c>
      <c r="I28" s="568">
        <v>15505.320000000007</v>
      </c>
      <c r="J28" s="568">
        <v>0</v>
      </c>
      <c r="K28" s="568">
        <v>0</v>
      </c>
      <c r="L28" s="568">
        <v>0</v>
      </c>
      <c r="M28" s="568">
        <v>0</v>
      </c>
      <c r="N28" s="574">
        <v>548237.77</v>
      </c>
      <c r="O28" s="16">
        <f>SUM(B28:M28)</f>
        <v>384627.25000000006</v>
      </c>
      <c r="P28" s="15">
        <f>O28+N28</f>
        <v>932865.02</v>
      </c>
      <c r="Q28" s="456">
        <v>3794000</v>
      </c>
      <c r="R28" s="16">
        <v>0</v>
      </c>
      <c r="S28" s="415">
        <f t="shared" si="6"/>
        <v>0.24587902477596205</v>
      </c>
    </row>
    <row r="29" spans="1:19" ht="14.25">
      <c r="A29" s="433" t="s">
        <v>147</v>
      </c>
      <c r="B29" s="600">
        <v>93063.64</v>
      </c>
      <c r="C29" s="568">
        <v>20717.879999999997</v>
      </c>
      <c r="D29" s="568">
        <v>22685</v>
      </c>
      <c r="E29" s="568">
        <v>23381.459999999992</v>
      </c>
      <c r="F29" s="568">
        <v>83959.73000000001</v>
      </c>
      <c r="G29" s="568">
        <v>21595.61</v>
      </c>
      <c r="H29" s="568">
        <v>-99956.610000000015</v>
      </c>
      <c r="I29" s="568">
        <v>23506.249999999996</v>
      </c>
      <c r="J29" s="568">
        <v>0</v>
      </c>
      <c r="K29" s="568">
        <v>0</v>
      </c>
      <c r="L29" s="568">
        <v>0</v>
      </c>
      <c r="M29" s="568">
        <v>0</v>
      </c>
      <c r="N29" s="574">
        <v>308331.39999999997</v>
      </c>
      <c r="O29" s="16">
        <f>SUM(B29:M29)</f>
        <v>188952.95999999999</v>
      </c>
      <c r="P29" s="15">
        <f>O29+N29</f>
        <v>497284.36</v>
      </c>
      <c r="Q29" s="16">
        <f>11967000+R29</f>
        <v>11267000</v>
      </c>
      <c r="R29" s="16">
        <v>-700000</v>
      </c>
      <c r="S29" s="415">
        <f t="shared" si="6"/>
        <v>4.4136359279311262E-2</v>
      </c>
    </row>
    <row r="30" spans="1:19">
      <c r="A30" s="431" t="s">
        <v>148</v>
      </c>
      <c r="B30" s="602">
        <f t="shared" ref="B30:J30" si="7">SUM(B27:B29)</f>
        <v>149181.66999999998</v>
      </c>
      <c r="C30" s="18">
        <f t="shared" si="7"/>
        <v>104998.83000000002</v>
      </c>
      <c r="D30" s="18">
        <f t="shared" si="7"/>
        <v>82874</v>
      </c>
      <c r="E30" s="18">
        <f>SUM(E27:E29)</f>
        <v>85161.76</v>
      </c>
      <c r="F30" s="162">
        <f t="shared" si="7"/>
        <v>160370.37</v>
      </c>
      <c r="G30" s="340">
        <f t="shared" si="7"/>
        <v>96843.35</v>
      </c>
      <c r="H30" s="162">
        <f t="shared" si="7"/>
        <v>46683.28</v>
      </c>
      <c r="I30" s="162">
        <f t="shared" si="7"/>
        <v>66316.14</v>
      </c>
      <c r="J30" s="162">
        <f t="shared" si="7"/>
        <v>0</v>
      </c>
      <c r="K30" s="162">
        <f t="shared" ref="K30:R30" si="8">SUM(K27:K29)</f>
        <v>0</v>
      </c>
      <c r="L30" s="162">
        <f t="shared" si="8"/>
        <v>0</v>
      </c>
      <c r="M30" s="162">
        <f t="shared" si="8"/>
        <v>0</v>
      </c>
      <c r="N30" s="573">
        <v>1326179.1000000001</v>
      </c>
      <c r="O30" s="19">
        <f t="shared" si="8"/>
        <v>792429.4</v>
      </c>
      <c r="P30" s="19">
        <f t="shared" si="8"/>
        <v>2118608.5</v>
      </c>
      <c r="Q30" s="455">
        <f>SUM(Q27:Q29)</f>
        <v>18544000</v>
      </c>
      <c r="R30" s="19">
        <f t="shared" si="8"/>
        <v>-700000</v>
      </c>
      <c r="S30" s="417">
        <f>P30/Q30</f>
        <v>0.11424765422778257</v>
      </c>
    </row>
    <row r="31" spans="1:19">
      <c r="A31" s="429"/>
      <c r="B31" s="600"/>
      <c r="C31" s="15"/>
      <c r="D31" s="15"/>
      <c r="E31" s="15"/>
      <c r="F31" s="159"/>
      <c r="G31" s="339"/>
      <c r="H31" s="159"/>
      <c r="I31" s="159"/>
      <c r="J31" s="159"/>
      <c r="K31" s="159"/>
      <c r="L31" s="159"/>
      <c r="M31" s="159"/>
      <c r="N31" s="574"/>
      <c r="O31" s="16"/>
      <c r="P31" s="16"/>
      <c r="Q31" s="456"/>
      <c r="R31" s="16"/>
      <c r="S31" s="415"/>
    </row>
    <row r="32" spans="1:19">
      <c r="A32" s="428" t="s">
        <v>149</v>
      </c>
      <c r="B32" s="600"/>
      <c r="C32" s="15"/>
      <c r="D32" s="15"/>
      <c r="E32" s="15"/>
      <c r="F32" s="159"/>
      <c r="G32" s="339"/>
      <c r="H32" s="159"/>
      <c r="I32" s="159"/>
      <c r="J32" s="159"/>
      <c r="K32" s="159"/>
      <c r="L32" s="159"/>
      <c r="M32" s="159"/>
      <c r="N32" s="574"/>
      <c r="O32" s="16"/>
      <c r="P32" s="16"/>
      <c r="Q32" s="456"/>
      <c r="R32" s="16"/>
      <c r="S32" s="415"/>
    </row>
    <row r="33" spans="1:19">
      <c r="A33" s="429" t="s">
        <v>150</v>
      </c>
      <c r="B33" s="600">
        <v>0</v>
      </c>
      <c r="C33" s="568">
        <v>0</v>
      </c>
      <c r="D33" s="568">
        <v>0</v>
      </c>
      <c r="E33" s="568">
        <v>0</v>
      </c>
      <c r="F33" s="568">
        <v>0</v>
      </c>
      <c r="G33" s="568">
        <v>0</v>
      </c>
      <c r="H33" s="568">
        <v>0</v>
      </c>
      <c r="I33" s="568">
        <v>0</v>
      </c>
      <c r="J33" s="568">
        <v>0</v>
      </c>
      <c r="K33" s="568">
        <v>0</v>
      </c>
      <c r="L33" s="568">
        <v>0</v>
      </c>
      <c r="M33" s="568">
        <v>0</v>
      </c>
      <c r="N33" s="574">
        <v>8111.66</v>
      </c>
      <c r="O33" s="16">
        <f>SUM(B33:M33)</f>
        <v>0</v>
      </c>
      <c r="P33" s="15">
        <f>O33+N33</f>
        <v>8111.66</v>
      </c>
      <c r="Q33" s="456">
        <v>2587000</v>
      </c>
      <c r="R33" s="16">
        <v>0</v>
      </c>
      <c r="S33" s="415">
        <f t="shared" ref="S33:S36" si="9">+P33/Q33</f>
        <v>3.1355469655972167E-3</v>
      </c>
    </row>
    <row r="34" spans="1:19">
      <c r="A34" s="429" t="s">
        <v>151</v>
      </c>
      <c r="B34" s="600">
        <v>0</v>
      </c>
      <c r="C34" s="568">
        <v>0</v>
      </c>
      <c r="D34" s="568">
        <v>0</v>
      </c>
      <c r="E34" s="568">
        <v>0</v>
      </c>
      <c r="F34" s="568">
        <v>0</v>
      </c>
      <c r="G34" s="568">
        <v>0</v>
      </c>
      <c r="H34" s="568">
        <v>0</v>
      </c>
      <c r="I34" s="568">
        <v>0</v>
      </c>
      <c r="J34" s="568">
        <v>0</v>
      </c>
      <c r="K34" s="568">
        <v>0</v>
      </c>
      <c r="L34" s="568">
        <v>0</v>
      </c>
      <c r="M34" s="568">
        <v>0</v>
      </c>
      <c r="N34" s="574">
        <v>0</v>
      </c>
      <c r="O34" s="16">
        <f>SUM(B34:M34)</f>
        <v>0</v>
      </c>
      <c r="P34" s="15">
        <f>O34+N34</f>
        <v>0</v>
      </c>
      <c r="Q34" s="16">
        <v>50000</v>
      </c>
      <c r="R34" s="16">
        <v>0</v>
      </c>
      <c r="S34" s="415">
        <f t="shared" si="9"/>
        <v>0</v>
      </c>
    </row>
    <row r="35" spans="1:19" ht="14.25">
      <c r="A35" s="473" t="s">
        <v>152</v>
      </c>
      <c r="B35" s="600">
        <v>4111.1399999999994</v>
      </c>
      <c r="C35" s="568">
        <v>5751.17</v>
      </c>
      <c r="D35" s="568">
        <v>4904</v>
      </c>
      <c r="E35" s="568">
        <v>5055.25</v>
      </c>
      <c r="F35" s="568">
        <v>4927.83</v>
      </c>
      <c r="G35" s="568">
        <v>4141.29</v>
      </c>
      <c r="H35" s="568">
        <v>2528.9700000000003</v>
      </c>
      <c r="I35" s="568">
        <v>-2372.2300000000005</v>
      </c>
      <c r="J35" s="568">
        <v>0</v>
      </c>
      <c r="K35" s="568">
        <v>0</v>
      </c>
      <c r="L35" s="568">
        <v>0</v>
      </c>
      <c r="M35" s="568">
        <v>0</v>
      </c>
      <c r="N35" s="574">
        <v>353293.69999999995</v>
      </c>
      <c r="O35" s="16">
        <f>SUM(B35:M35)</f>
        <v>29047.420000000002</v>
      </c>
      <c r="P35" s="15">
        <f>O35+N35</f>
        <v>382341.11999999994</v>
      </c>
      <c r="Q35" s="456">
        <v>2148000</v>
      </c>
      <c r="R35" s="16">
        <v>0</v>
      </c>
      <c r="S35" s="415">
        <f t="shared" si="9"/>
        <v>0.17799865921787705</v>
      </c>
    </row>
    <row r="36" spans="1:19" ht="14.25">
      <c r="A36" s="474" t="s">
        <v>153</v>
      </c>
      <c r="B36" s="600">
        <v>3185.1299999999997</v>
      </c>
      <c r="C36" s="568">
        <v>3612.14</v>
      </c>
      <c r="D36" s="568">
        <v>1679</v>
      </c>
      <c r="E36" s="568">
        <v>1299.47</v>
      </c>
      <c r="F36" s="568">
        <v>-6406.86</v>
      </c>
      <c r="G36" s="568">
        <v>3333.71</v>
      </c>
      <c r="H36" s="568">
        <v>0</v>
      </c>
      <c r="I36" s="568">
        <v>-1426.5300000000002</v>
      </c>
      <c r="J36" s="568">
        <v>0</v>
      </c>
      <c r="K36" s="568">
        <v>0</v>
      </c>
      <c r="L36" s="568">
        <v>0</v>
      </c>
      <c r="M36" s="568">
        <v>0</v>
      </c>
      <c r="N36" s="574">
        <v>36809.949999999997</v>
      </c>
      <c r="O36" s="16">
        <f>SUM(B36:M36)</f>
        <v>5276.0599999999995</v>
      </c>
      <c r="P36" s="15">
        <f>O36+N36</f>
        <v>42086.009999999995</v>
      </c>
      <c r="Q36" s="16">
        <v>340000</v>
      </c>
      <c r="R36" s="16">
        <v>0</v>
      </c>
      <c r="S36" s="415">
        <f t="shared" si="9"/>
        <v>0.12378238235294116</v>
      </c>
    </row>
    <row r="37" spans="1:19">
      <c r="A37" s="431" t="s">
        <v>154</v>
      </c>
      <c r="B37" s="602">
        <f t="shared" ref="B37:R37" si="10">SUM(B33:B36)</f>
        <v>7296.2699999999986</v>
      </c>
      <c r="C37" s="18">
        <f t="shared" si="10"/>
        <v>9363.31</v>
      </c>
      <c r="D37" s="18">
        <f t="shared" si="10"/>
        <v>6583</v>
      </c>
      <c r="E37" s="18">
        <f t="shared" si="10"/>
        <v>6354.72</v>
      </c>
      <c r="F37" s="18">
        <f t="shared" si="10"/>
        <v>-1479.0299999999997</v>
      </c>
      <c r="G37" s="340">
        <f t="shared" si="10"/>
        <v>7475</v>
      </c>
      <c r="H37" s="18">
        <f t="shared" si="10"/>
        <v>2528.9700000000003</v>
      </c>
      <c r="I37" s="18">
        <f t="shared" si="10"/>
        <v>-3798.7600000000007</v>
      </c>
      <c r="J37" s="18">
        <f t="shared" si="10"/>
        <v>0</v>
      </c>
      <c r="K37" s="18">
        <f t="shared" si="10"/>
        <v>0</v>
      </c>
      <c r="L37" s="18">
        <f t="shared" si="10"/>
        <v>0</v>
      </c>
      <c r="M37" s="238">
        <f t="shared" si="10"/>
        <v>0</v>
      </c>
      <c r="N37" s="573">
        <v>398215.30999999994</v>
      </c>
      <c r="O37" s="238">
        <f>SUM(O33:O36)</f>
        <v>34323.480000000003</v>
      </c>
      <c r="P37" s="19">
        <f>SUM(P33:P36)</f>
        <v>432538.78999999992</v>
      </c>
      <c r="Q37" s="455">
        <f t="shared" si="10"/>
        <v>5125000</v>
      </c>
      <c r="R37" s="19">
        <f t="shared" si="10"/>
        <v>0</v>
      </c>
      <c r="S37" s="417">
        <f>P37/Q37</f>
        <v>8.4397812682926815E-2</v>
      </c>
    </row>
    <row r="38" spans="1:19">
      <c r="A38" s="429"/>
      <c r="B38" s="600"/>
      <c r="C38" s="15"/>
      <c r="D38" s="15"/>
      <c r="E38" s="15"/>
      <c r="F38" s="159"/>
      <c r="G38" s="339"/>
      <c r="H38" s="159"/>
      <c r="I38" s="159"/>
      <c r="J38" s="159"/>
      <c r="K38" s="159"/>
      <c r="L38" s="159"/>
      <c r="M38" s="159"/>
      <c r="N38" s="574"/>
      <c r="O38" s="16"/>
      <c r="P38" s="16"/>
      <c r="Q38" s="456"/>
      <c r="R38" s="16"/>
      <c r="S38" s="415"/>
    </row>
    <row r="39" spans="1:19">
      <c r="A39" s="428" t="s">
        <v>155</v>
      </c>
      <c r="B39" s="600"/>
      <c r="C39" s="15"/>
      <c r="D39" s="15"/>
      <c r="E39" s="15"/>
      <c r="F39" s="159"/>
      <c r="G39" s="339"/>
      <c r="H39" s="159"/>
      <c r="I39" s="159"/>
      <c r="J39" s="159"/>
      <c r="K39" s="159"/>
      <c r="L39" s="159"/>
      <c r="M39" s="159"/>
      <c r="N39" s="574"/>
      <c r="O39" s="16"/>
      <c r="P39" s="16"/>
      <c r="Q39" s="456"/>
      <c r="R39" s="16"/>
      <c r="S39" s="415"/>
    </row>
    <row r="40" spans="1:19" ht="14.25">
      <c r="A40" s="429" t="s">
        <v>156</v>
      </c>
      <c r="B40" s="600">
        <v>123346.5</v>
      </c>
      <c r="C40" s="568">
        <v>8878.11</v>
      </c>
      <c r="D40" s="568">
        <v>46003</v>
      </c>
      <c r="E40" s="568">
        <v>-6888.9100000000026</v>
      </c>
      <c r="F40" s="568">
        <v>-36380.74</v>
      </c>
      <c r="G40" s="568">
        <v>179049</v>
      </c>
      <c r="H40" s="568">
        <v>64645.479999999981</v>
      </c>
      <c r="I40" s="568">
        <v>49726.600000000013</v>
      </c>
      <c r="J40" s="568">
        <v>0</v>
      </c>
      <c r="K40" s="568">
        <v>0</v>
      </c>
      <c r="L40" s="568">
        <v>0</v>
      </c>
      <c r="M40" s="568">
        <v>0</v>
      </c>
      <c r="N40" s="574">
        <v>588731.91000000015</v>
      </c>
      <c r="O40" s="16">
        <f>SUM(B40:M40)</f>
        <v>428379.04</v>
      </c>
      <c r="P40" s="15">
        <f>O40+N40</f>
        <v>1017110.9500000002</v>
      </c>
      <c r="Q40" s="456">
        <v>4502000</v>
      </c>
      <c r="R40" s="16">
        <v>0</v>
      </c>
      <c r="S40" s="415">
        <f t="shared" ref="S40" si="11">+P40/Q40</f>
        <v>0.22592424478009779</v>
      </c>
    </row>
    <row r="41" spans="1:19">
      <c r="A41" s="431" t="s">
        <v>157</v>
      </c>
      <c r="B41" s="602">
        <f t="shared" ref="B41:O41" si="12">SUM(B40:B40)</f>
        <v>123346.5</v>
      </c>
      <c r="C41" s="18">
        <f t="shared" si="12"/>
        <v>8878.11</v>
      </c>
      <c r="D41" s="18">
        <f t="shared" si="12"/>
        <v>46003</v>
      </c>
      <c r="E41" s="18">
        <f t="shared" si="12"/>
        <v>-6888.9100000000026</v>
      </c>
      <c r="F41" s="162">
        <f t="shared" si="12"/>
        <v>-36380.74</v>
      </c>
      <c r="G41" s="340">
        <f t="shared" si="12"/>
        <v>179049</v>
      </c>
      <c r="H41" s="162">
        <f t="shared" si="12"/>
        <v>64645.479999999981</v>
      </c>
      <c r="I41" s="162">
        <f t="shared" si="12"/>
        <v>49726.600000000013</v>
      </c>
      <c r="J41" s="162">
        <f t="shared" si="12"/>
        <v>0</v>
      </c>
      <c r="K41" s="162">
        <f t="shared" si="12"/>
        <v>0</v>
      </c>
      <c r="L41" s="162">
        <f t="shared" si="12"/>
        <v>0</v>
      </c>
      <c r="M41" s="162">
        <f t="shared" si="12"/>
        <v>0</v>
      </c>
      <c r="N41" s="573">
        <v>588731.91000000015</v>
      </c>
      <c r="O41" s="19">
        <f t="shared" si="12"/>
        <v>428379.04</v>
      </c>
      <c r="P41" s="19">
        <f>P40</f>
        <v>1017110.9500000002</v>
      </c>
      <c r="Q41" s="455">
        <f>SUM(Q40)</f>
        <v>4502000</v>
      </c>
      <c r="R41" s="19">
        <f>SUM(R40:R40)</f>
        <v>0</v>
      </c>
      <c r="S41" s="417">
        <f>P41/Q41</f>
        <v>0.22592424478009779</v>
      </c>
    </row>
    <row r="42" spans="1:19">
      <c r="A42" s="428"/>
      <c r="B42" s="600"/>
      <c r="C42" s="15"/>
      <c r="D42" s="15"/>
      <c r="E42" s="15"/>
      <c r="F42" s="159"/>
      <c r="G42" s="339"/>
      <c r="H42" s="159"/>
      <c r="I42" s="159"/>
      <c r="J42" s="159"/>
      <c r="K42" s="159"/>
      <c r="L42" s="159"/>
      <c r="M42" s="159"/>
      <c r="N42" s="574"/>
      <c r="O42" s="16"/>
      <c r="P42" s="603"/>
      <c r="Q42" s="604"/>
      <c r="R42" s="16"/>
      <c r="S42" s="415"/>
    </row>
    <row r="43" spans="1:19">
      <c r="A43" s="428" t="s">
        <v>158</v>
      </c>
      <c r="B43" s="600"/>
      <c r="C43" s="15"/>
      <c r="D43" s="15"/>
      <c r="E43" s="15"/>
      <c r="F43" s="159"/>
      <c r="G43" s="339"/>
      <c r="H43" s="159"/>
      <c r="I43" s="159"/>
      <c r="J43" s="159"/>
      <c r="K43" s="159"/>
      <c r="L43" s="159"/>
      <c r="M43" s="159"/>
      <c r="N43" s="574"/>
      <c r="O43" s="16"/>
      <c r="P43" s="603"/>
      <c r="Q43" s="456"/>
      <c r="R43" s="16"/>
      <c r="S43" s="415"/>
    </row>
    <row r="44" spans="1:19">
      <c r="A44" s="429" t="s">
        <v>159</v>
      </c>
      <c r="B44" s="600">
        <v>31241.520000000008</v>
      </c>
      <c r="C44" s="568">
        <v>37571.270000000004</v>
      </c>
      <c r="D44" s="568">
        <v>33664</v>
      </c>
      <c r="E44" s="568">
        <v>22011.73</v>
      </c>
      <c r="F44" s="568">
        <v>35551.1</v>
      </c>
      <c r="G44" s="568">
        <v>26680.62</v>
      </c>
      <c r="H44" s="568">
        <v>36438.300000000003</v>
      </c>
      <c r="I44" s="568">
        <v>43542.130000000005</v>
      </c>
      <c r="J44" s="568">
        <v>0</v>
      </c>
      <c r="K44" s="568">
        <v>0</v>
      </c>
      <c r="L44" s="568">
        <v>0</v>
      </c>
      <c r="M44" s="568">
        <v>0</v>
      </c>
      <c r="N44" s="574">
        <v>608291.89999999991</v>
      </c>
      <c r="O44" s="16">
        <f t="shared" ref="O44:O47" si="13">SUM(B44:M44)</f>
        <v>266700.67</v>
      </c>
      <c r="P44" s="15">
        <f>O44+N44</f>
        <v>874992.56999999983</v>
      </c>
      <c r="Q44" s="605">
        <v>4095000</v>
      </c>
      <c r="R44" s="16">
        <v>0</v>
      </c>
      <c r="S44" s="415">
        <f t="shared" ref="S44:S47" si="14">+P44/Q44</f>
        <v>0.21367339926739923</v>
      </c>
    </row>
    <row r="45" spans="1:19" ht="14.25">
      <c r="A45" s="429" t="s">
        <v>160</v>
      </c>
      <c r="B45" s="600">
        <v>43570.509999999995</v>
      </c>
      <c r="C45" s="568">
        <v>187728</v>
      </c>
      <c r="D45" s="568">
        <v>1003870.71</v>
      </c>
      <c r="E45" s="568">
        <v>211418.59999999998</v>
      </c>
      <c r="F45" s="568">
        <v>200885.99</v>
      </c>
      <c r="G45" s="568">
        <v>180024.6</v>
      </c>
      <c r="H45" s="568">
        <v>206425.47999999998</v>
      </c>
      <c r="I45" s="568">
        <v>232062.34999999995</v>
      </c>
      <c r="J45" s="568">
        <v>0</v>
      </c>
      <c r="K45" s="568">
        <v>0</v>
      </c>
      <c r="L45" s="568">
        <v>0</v>
      </c>
      <c r="M45" s="568">
        <v>0</v>
      </c>
      <c r="N45" s="574">
        <v>1794645.4000000001</v>
      </c>
      <c r="O45" s="16">
        <f t="shared" si="13"/>
        <v>2265986.2399999998</v>
      </c>
      <c r="P45" s="15">
        <f>O45+N45</f>
        <v>4060631.6399999997</v>
      </c>
      <c r="Q45" s="605">
        <v>7948000</v>
      </c>
      <c r="R45" s="16">
        <v>0</v>
      </c>
      <c r="S45" s="415">
        <f t="shared" si="14"/>
        <v>0.51089980372420729</v>
      </c>
    </row>
    <row r="46" spans="1:19" ht="14.25">
      <c r="A46" s="429" t="s">
        <v>161</v>
      </c>
      <c r="B46" s="600">
        <v>67688.350000000006</v>
      </c>
      <c r="C46" s="568">
        <v>80076.049999999988</v>
      </c>
      <c r="D46" s="568">
        <v>247532.3</v>
      </c>
      <c r="E46" s="568">
        <v>-14914.149999999998</v>
      </c>
      <c r="F46" s="568">
        <v>107961.66</v>
      </c>
      <c r="G46" s="568">
        <v>92118.22</v>
      </c>
      <c r="H46" s="568">
        <v>-40747.949999999997</v>
      </c>
      <c r="I46" s="568">
        <v>117487.76999999999</v>
      </c>
      <c r="J46" s="568">
        <v>0</v>
      </c>
      <c r="K46" s="568">
        <v>0</v>
      </c>
      <c r="L46" s="568">
        <v>0</v>
      </c>
      <c r="M46" s="568">
        <v>0</v>
      </c>
      <c r="N46" s="574">
        <v>695976.37000000011</v>
      </c>
      <c r="O46" s="16">
        <f t="shared" si="13"/>
        <v>657202.25</v>
      </c>
      <c r="P46" s="15">
        <f>O46+N46</f>
        <v>1353178.62</v>
      </c>
      <c r="Q46" s="606">
        <f>5795000+R46</f>
        <v>5600600</v>
      </c>
      <c r="R46" s="16">
        <v>-194400</v>
      </c>
      <c r="S46" s="415">
        <f t="shared" si="14"/>
        <v>0.24161315216226834</v>
      </c>
    </row>
    <row r="47" spans="1:19">
      <c r="A47" s="429" t="s">
        <v>162</v>
      </c>
      <c r="B47" s="600">
        <v>0</v>
      </c>
      <c r="C47" s="568">
        <v>0</v>
      </c>
      <c r="D47" s="568">
        <v>0</v>
      </c>
      <c r="E47" s="568">
        <v>0</v>
      </c>
      <c r="F47" s="568">
        <v>0</v>
      </c>
      <c r="G47" s="568">
        <v>0</v>
      </c>
      <c r="H47" s="568">
        <v>100000</v>
      </c>
      <c r="I47" s="568">
        <v>0</v>
      </c>
      <c r="J47" s="568">
        <v>0</v>
      </c>
      <c r="K47" s="568">
        <v>0</v>
      </c>
      <c r="L47" s="568">
        <v>0</v>
      </c>
      <c r="M47" s="568">
        <v>0</v>
      </c>
      <c r="N47" s="574">
        <v>19580.09</v>
      </c>
      <c r="O47" s="16">
        <f t="shared" si="13"/>
        <v>100000</v>
      </c>
      <c r="P47" s="15">
        <f>O47+N47</f>
        <v>119580.09</v>
      </c>
      <c r="Q47" s="607">
        <v>1000000</v>
      </c>
      <c r="R47" s="16">
        <v>0</v>
      </c>
      <c r="S47" s="415">
        <f t="shared" si="14"/>
        <v>0.11958009</v>
      </c>
    </row>
    <row r="48" spans="1:19">
      <c r="A48" s="431" t="s">
        <v>163</v>
      </c>
      <c r="B48" s="602">
        <f>SUM(B44:B47)</f>
        <v>142500.38</v>
      </c>
      <c r="C48" s="340">
        <f t="shared" ref="C48:M48" si="15">SUM(C44:C47)</f>
        <v>305375.32</v>
      </c>
      <c r="D48" s="340">
        <f t="shared" si="15"/>
        <v>1285067.01</v>
      </c>
      <c r="E48" s="340">
        <f t="shared" si="15"/>
        <v>218516.18</v>
      </c>
      <c r="F48" s="340">
        <f t="shared" si="15"/>
        <v>344398.75</v>
      </c>
      <c r="G48" s="340">
        <f>SUM(G44:G47)</f>
        <v>298823.44</v>
      </c>
      <c r="H48" s="340">
        <f t="shared" si="15"/>
        <v>302115.82999999996</v>
      </c>
      <c r="I48" s="340">
        <f t="shared" si="15"/>
        <v>393092.25</v>
      </c>
      <c r="J48" s="340">
        <f t="shared" si="15"/>
        <v>0</v>
      </c>
      <c r="K48" s="340">
        <f t="shared" si="15"/>
        <v>0</v>
      </c>
      <c r="L48" s="340">
        <f t="shared" si="15"/>
        <v>0</v>
      </c>
      <c r="M48" s="340">
        <f t="shared" si="15"/>
        <v>0</v>
      </c>
      <c r="N48" s="646">
        <v>3118493.7600000002</v>
      </c>
      <c r="O48" s="647">
        <f>O47+O46+O45+O44</f>
        <v>3289889.1599999997</v>
      </c>
      <c r="P48" s="19">
        <f>SUM(P44:P47)</f>
        <v>6408382.919999999</v>
      </c>
      <c r="Q48" s="455">
        <f>SUM(Q44:Q47)</f>
        <v>18643600</v>
      </c>
      <c r="R48" s="19">
        <f>SUM(R44:R47)</f>
        <v>-194400</v>
      </c>
      <c r="S48" s="417">
        <f>P48/Q48</f>
        <v>0.34373098114098133</v>
      </c>
    </row>
    <row r="49" spans="1:26">
      <c r="A49" s="428"/>
      <c r="B49" s="600"/>
      <c r="C49" s="15"/>
      <c r="D49" s="15"/>
      <c r="E49" s="15"/>
      <c r="F49" s="159"/>
      <c r="G49" s="339"/>
      <c r="H49" s="159"/>
      <c r="I49" s="159"/>
      <c r="J49" s="159"/>
      <c r="K49" s="159"/>
      <c r="L49" s="159"/>
      <c r="M49" s="159"/>
      <c r="N49" s="574"/>
      <c r="O49" s="16"/>
      <c r="P49" s="16"/>
      <c r="Q49" s="456"/>
      <c r="R49" s="16"/>
      <c r="S49" s="415"/>
    </row>
    <row r="50" spans="1:26" ht="15" customHeight="1" thickBot="1">
      <c r="A50" s="434" t="s">
        <v>164</v>
      </c>
      <c r="B50" s="602">
        <f>B48+B41+B37+B30+B24+B20+B16</f>
        <v>595461.39</v>
      </c>
      <c r="C50" s="340">
        <f>C48+C41+C37+C30+C24+C20+C16</f>
        <v>582283.74</v>
      </c>
      <c r="D50" s="340">
        <f t="shared" ref="D50:M50" si="16">D48+D41+D37+D30+D24+D20+D16</f>
        <v>1701098.01</v>
      </c>
      <c r="E50" s="340">
        <f t="shared" si="16"/>
        <v>349193.38</v>
      </c>
      <c r="F50" s="340">
        <f t="shared" si="16"/>
        <v>619557.54</v>
      </c>
      <c r="G50" s="340">
        <f t="shared" si="16"/>
        <v>886965.22000000009</v>
      </c>
      <c r="H50" s="340">
        <f t="shared" si="16"/>
        <v>506215.04</v>
      </c>
      <c r="I50" s="340">
        <f t="shared" si="16"/>
        <v>582883.58000000007</v>
      </c>
      <c r="J50" s="340">
        <f t="shared" si="16"/>
        <v>0</v>
      </c>
      <c r="K50" s="340">
        <f t="shared" si="16"/>
        <v>0</v>
      </c>
      <c r="L50" s="340">
        <f t="shared" si="16"/>
        <v>0</v>
      </c>
      <c r="M50" s="340">
        <f t="shared" si="16"/>
        <v>0</v>
      </c>
      <c r="N50" s="340">
        <f>N48+N41+N37+N30+N24+N20+N16</f>
        <v>8630309.5999999996</v>
      </c>
      <c r="O50" s="396">
        <f>O48+O41+O37+O30+O24+O20+O16</f>
        <v>5823657.9000000004</v>
      </c>
      <c r="P50" s="396">
        <f>P48+P41+P37+P30+P24+P20+P16</f>
        <v>14453967.5</v>
      </c>
      <c r="Q50" s="457">
        <f>Q48+Q41+Q37+Q30+Q24+Q20+Q16</f>
        <v>76689902</v>
      </c>
      <c r="R50" s="457">
        <f>R16+R30+R48</f>
        <v>-1128898</v>
      </c>
      <c r="S50" s="420">
        <f>P50/Q50</f>
        <v>0.18847289047259441</v>
      </c>
    </row>
    <row r="51" spans="1:26" ht="15" customHeight="1" thickTop="1">
      <c r="A51" s="435"/>
      <c r="B51" s="338"/>
      <c r="C51" s="159"/>
      <c r="D51" s="159"/>
      <c r="E51" s="159"/>
      <c r="F51" s="159"/>
      <c r="G51" s="165"/>
      <c r="H51" s="159"/>
      <c r="I51" s="159"/>
      <c r="J51" s="159"/>
      <c r="K51" s="159"/>
      <c r="L51" s="159"/>
      <c r="M51" s="159"/>
      <c r="N51" s="159"/>
      <c r="O51" s="159"/>
      <c r="P51" s="159"/>
      <c r="Q51" s="159" t="s">
        <v>85</v>
      </c>
      <c r="R51" s="159"/>
      <c r="S51" s="421"/>
    </row>
    <row r="52" spans="1:26" ht="10.5" customHeight="1" thickBot="1">
      <c r="A52" s="236"/>
      <c r="B52" s="233"/>
      <c r="C52" s="163"/>
      <c r="D52" s="163"/>
      <c r="E52" s="163"/>
      <c r="F52" s="163"/>
      <c r="G52" s="163"/>
      <c r="H52" s="163"/>
      <c r="I52" s="163"/>
      <c r="J52" s="163"/>
      <c r="K52" s="163"/>
      <c r="L52" s="163"/>
      <c r="M52" s="163"/>
      <c r="N52" s="163"/>
      <c r="O52" s="163"/>
      <c r="P52" s="163"/>
      <c r="Q52" s="164"/>
      <c r="R52" s="164"/>
      <c r="S52" s="422"/>
    </row>
    <row r="53" spans="1:26">
      <c r="A53" s="230"/>
      <c r="G53" s="310"/>
      <c r="N53" s="230"/>
    </row>
    <row r="54" spans="1:26" ht="15">
      <c r="A54" s="342" t="s">
        <v>43</v>
      </c>
      <c r="B54" s="230"/>
      <c r="N54" s="342"/>
      <c r="O54" s="529"/>
    </row>
    <row r="55" spans="1:26" s="261" customFormat="1" ht="16.5">
      <c r="A55" s="402" t="s">
        <v>165</v>
      </c>
      <c r="G55" s="260"/>
      <c r="H55" s="260"/>
      <c r="J55" s="383"/>
    </row>
    <row r="56" spans="1:26" s="10" customFormat="1" ht="30.75">
      <c r="A56" s="643" t="s">
        <v>166</v>
      </c>
      <c r="B56" s="644"/>
      <c r="C56" s="644"/>
      <c r="D56" s="644"/>
      <c r="E56" s="644"/>
      <c r="F56" s="644"/>
      <c r="G56" s="644"/>
      <c r="H56" s="644"/>
      <c r="I56" s="644"/>
      <c r="J56" s="644"/>
      <c r="K56" s="644"/>
      <c r="L56" s="644"/>
      <c r="M56" s="644"/>
      <c r="N56" s="644"/>
      <c r="O56" s="13"/>
      <c r="P56" s="13"/>
      <c r="Q56" s="13"/>
      <c r="R56" s="13"/>
      <c r="S56" s="13"/>
      <c r="T56" s="172"/>
      <c r="U56" s="172"/>
      <c r="V56" s="172"/>
      <c r="W56" s="172"/>
      <c r="X56" s="172"/>
      <c r="Y56" s="172"/>
      <c r="Z56" s="172"/>
    </row>
    <row r="57" spans="1:26" ht="17.25" customHeight="1">
      <c r="A57" s="741" t="s">
        <v>167</v>
      </c>
      <c r="B57" s="742"/>
      <c r="C57" s="742"/>
      <c r="D57" s="742"/>
      <c r="E57" s="742"/>
      <c r="F57" s="742"/>
      <c r="G57" s="742"/>
      <c r="H57" s="742"/>
      <c r="I57" s="742"/>
      <c r="J57" s="742"/>
      <c r="K57" s="742"/>
      <c r="L57" s="742"/>
      <c r="M57" s="742"/>
      <c r="N57" s="742"/>
    </row>
    <row r="58" spans="1:26" ht="17.25" customHeight="1">
      <c r="A58" s="707" t="s">
        <v>168</v>
      </c>
      <c r="B58" s="708"/>
      <c r="C58" s="708"/>
      <c r="D58" s="708"/>
      <c r="E58" s="708"/>
      <c r="F58" s="708"/>
      <c r="G58" s="708"/>
      <c r="H58" s="708"/>
      <c r="I58" s="708"/>
      <c r="J58" s="708"/>
      <c r="K58" s="708"/>
      <c r="L58" s="708"/>
      <c r="M58" s="708"/>
      <c r="N58" s="708"/>
    </row>
    <row r="59" spans="1:26" ht="16.5">
      <c r="A59" s="472" t="s">
        <v>169</v>
      </c>
      <c r="N59" s="543"/>
    </row>
    <row r="60" spans="1:26" ht="16.5">
      <c r="A60" s="655" t="s">
        <v>170</v>
      </c>
      <c r="N60" s="543"/>
    </row>
    <row r="61" spans="1:26" s="230" customFormat="1" ht="16.5">
      <c r="A61" s="688" t="s">
        <v>171</v>
      </c>
      <c r="N61" s="689"/>
    </row>
    <row r="62" spans="1:26" ht="16.5">
      <c r="A62" s="688" t="s">
        <v>172</v>
      </c>
    </row>
    <row r="63" spans="1:26" ht="15">
      <c r="A63" s="283" t="s">
        <v>51</v>
      </c>
    </row>
  </sheetData>
  <mergeCells count="1">
    <mergeCell ref="A57:N57"/>
  </mergeCells>
  <printOptions horizontalCentered="1"/>
  <pageMargins left="0" right="0" top="0.55000000000000004" bottom="0.17" header="0.3" footer="0.15"/>
  <pageSetup paperSize="5" scale="58" orientation="landscape" cellComments="atEnd" r:id="rId1"/>
  <headerFooter alignWithMargins="0">
    <oddHeader xml:space="preserve">&amp;C&amp;"Arial,Bold"
</oddHeader>
    <oddFooter>&amp;Rpage 5 of 12
&amp;A
&amp;D  &amp;T</oddFoot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9"/>
  <sheetViews>
    <sheetView workbookViewId="0">
      <selection activeCell="A12" sqref="A12"/>
    </sheetView>
  </sheetViews>
  <sheetFormatPr defaultColWidth="9.140625" defaultRowHeight="12.75"/>
  <cols>
    <col min="1" max="1" width="60" style="147" customWidth="1"/>
    <col min="2" max="2" width="23.28515625" style="147" bestFit="1" customWidth="1"/>
    <col min="3" max="3" width="11.42578125" style="147" customWidth="1"/>
    <col min="4" max="4" width="15.5703125" style="147" customWidth="1"/>
    <col min="5" max="5" width="12" style="147" customWidth="1"/>
    <col min="6" max="6" width="10.7109375" style="147" customWidth="1"/>
    <col min="7" max="7" width="11" style="147" customWidth="1"/>
    <col min="8" max="9" width="11.7109375" style="147" bestFit="1" customWidth="1"/>
    <col min="10" max="10" width="12" style="147" customWidth="1"/>
    <col min="11" max="11" width="10.7109375" style="147" customWidth="1"/>
    <col min="12" max="12" width="11.85546875" style="147" customWidth="1"/>
    <col min="13" max="13" width="11.7109375" style="147" customWidth="1"/>
    <col min="14" max="14" width="16" style="147" customWidth="1"/>
    <col min="15" max="16384" width="9.140625" style="147"/>
  </cols>
  <sheetData>
    <row r="2" spans="1:14">
      <c r="A2" s="146"/>
      <c r="C2" s="230"/>
      <c r="D2" s="230"/>
      <c r="E2" s="230"/>
      <c r="F2" s="230"/>
      <c r="G2" s="188" t="s">
        <v>0</v>
      </c>
      <c r="H2" s="230"/>
      <c r="I2" s="230"/>
      <c r="J2" s="230"/>
      <c r="K2" s="230"/>
      <c r="L2" s="230"/>
      <c r="M2" s="230"/>
    </row>
    <row r="3" spans="1:14">
      <c r="A3" s="146"/>
      <c r="C3" s="230"/>
      <c r="D3" s="401"/>
      <c r="E3" s="230"/>
      <c r="F3" s="230"/>
      <c r="G3" s="301" t="s">
        <v>173</v>
      </c>
      <c r="H3" s="230"/>
      <c r="I3" s="230"/>
      <c r="J3" s="230"/>
      <c r="K3" s="230"/>
      <c r="L3" s="230"/>
      <c r="M3" s="230"/>
    </row>
    <row r="4" spans="1:14">
      <c r="A4" s="146"/>
      <c r="F4" s="230"/>
      <c r="G4" s="273" t="str">
        <f>'Program MW '!H3</f>
        <v>August 2019</v>
      </c>
      <c r="H4" s="230"/>
      <c r="I4" s="230"/>
    </row>
    <row r="5" spans="1:14">
      <c r="A5" s="146"/>
      <c r="B5" s="230"/>
      <c r="C5" s="230"/>
      <c r="D5" s="230"/>
    </row>
    <row r="6" spans="1:14" ht="13.5" thickBot="1"/>
    <row r="7" spans="1:14">
      <c r="A7" s="148"/>
      <c r="B7" s="149"/>
      <c r="C7" s="149"/>
      <c r="D7" s="149"/>
      <c r="E7" s="149"/>
      <c r="F7" s="149"/>
      <c r="G7" s="149"/>
      <c r="H7" s="149"/>
      <c r="I7" s="149"/>
      <c r="J7" s="149"/>
      <c r="K7" s="149"/>
      <c r="L7" s="149"/>
      <c r="M7" s="150"/>
      <c r="N7" s="151"/>
    </row>
    <row r="8" spans="1:14" ht="7.5" customHeight="1">
      <c r="A8" s="152"/>
      <c r="B8" s="153"/>
      <c r="C8" s="153"/>
      <c r="D8" s="153"/>
      <c r="E8" s="153"/>
      <c r="F8" s="153"/>
      <c r="G8" s="153"/>
      <c r="H8" s="153"/>
      <c r="I8" s="153"/>
      <c r="J8" s="153"/>
      <c r="K8" s="153"/>
      <c r="L8" s="153"/>
      <c r="M8" s="154"/>
      <c r="N8" s="155"/>
    </row>
    <row r="9" spans="1:14" ht="57" customHeight="1">
      <c r="A9" s="156" t="s">
        <v>125</v>
      </c>
      <c r="B9" s="158" t="s">
        <v>3</v>
      </c>
      <c r="C9" s="158" t="s">
        <v>4</v>
      </c>
      <c r="D9" s="158" t="s">
        <v>5</v>
      </c>
      <c r="E9" s="158" t="s">
        <v>6</v>
      </c>
      <c r="F9" s="158" t="s">
        <v>7</v>
      </c>
      <c r="G9" s="158" t="s">
        <v>8</v>
      </c>
      <c r="H9" s="158" t="s">
        <v>35</v>
      </c>
      <c r="I9" s="173" t="s">
        <v>36</v>
      </c>
      <c r="J9" s="173" t="s">
        <v>91</v>
      </c>
      <c r="K9" s="158" t="s">
        <v>38</v>
      </c>
      <c r="L9" s="158" t="s">
        <v>92</v>
      </c>
      <c r="M9" s="158" t="s">
        <v>40</v>
      </c>
      <c r="N9" s="157" t="s">
        <v>174</v>
      </c>
    </row>
    <row r="10" spans="1:14">
      <c r="A10" s="272"/>
      <c r="B10" s="461"/>
      <c r="C10" s="461"/>
      <c r="D10" s="461"/>
      <c r="E10" s="461"/>
      <c r="F10" s="461"/>
      <c r="G10" s="461"/>
      <c r="H10" s="461"/>
      <c r="I10" s="462"/>
      <c r="J10" s="462"/>
      <c r="K10" s="461"/>
      <c r="L10" s="461"/>
      <c r="M10" s="461"/>
      <c r="N10" s="160"/>
    </row>
    <row r="11" spans="1:14">
      <c r="A11" s="465" t="s">
        <v>175</v>
      </c>
      <c r="B11" s="327">
        <v>0</v>
      </c>
      <c r="C11" s="327">
        <v>0</v>
      </c>
      <c r="D11" s="327">
        <v>0</v>
      </c>
      <c r="E11" s="327"/>
      <c r="F11" s="327">
        <v>0</v>
      </c>
      <c r="G11" s="327">
        <v>0</v>
      </c>
      <c r="H11" s="327">
        <v>0</v>
      </c>
      <c r="I11" s="327">
        <v>0</v>
      </c>
      <c r="J11" s="327">
        <v>0</v>
      </c>
      <c r="K11" s="327">
        <v>0</v>
      </c>
      <c r="L11" s="327">
        <v>0</v>
      </c>
      <c r="M11" s="327">
        <v>0</v>
      </c>
      <c r="N11" s="327">
        <f t="shared" ref="N11:N12" si="0">SUM(B11:M11)</f>
        <v>0</v>
      </c>
    </row>
    <row r="12" spans="1:14">
      <c r="A12" s="479" t="s">
        <v>176</v>
      </c>
      <c r="B12" s="379">
        <f>B11</f>
        <v>0</v>
      </c>
      <c r="C12" s="379">
        <f t="shared" ref="C12:M12" si="1">C11</f>
        <v>0</v>
      </c>
      <c r="D12" s="379">
        <f t="shared" si="1"/>
        <v>0</v>
      </c>
      <c r="E12" s="379">
        <f t="shared" si="1"/>
        <v>0</v>
      </c>
      <c r="F12" s="379">
        <f t="shared" si="1"/>
        <v>0</v>
      </c>
      <c r="G12" s="379">
        <f t="shared" si="1"/>
        <v>0</v>
      </c>
      <c r="H12" s="379">
        <f t="shared" si="1"/>
        <v>0</v>
      </c>
      <c r="I12" s="379">
        <f t="shared" si="1"/>
        <v>0</v>
      </c>
      <c r="J12" s="379">
        <f t="shared" si="1"/>
        <v>0</v>
      </c>
      <c r="K12" s="379">
        <f t="shared" si="1"/>
        <v>0</v>
      </c>
      <c r="L12" s="379">
        <f t="shared" si="1"/>
        <v>0</v>
      </c>
      <c r="M12" s="379">
        <f t="shared" si="1"/>
        <v>0</v>
      </c>
      <c r="N12" s="379">
        <f t="shared" si="0"/>
        <v>0</v>
      </c>
    </row>
    <row r="13" spans="1:14">
      <c r="A13" s="46"/>
      <c r="B13" s="466"/>
      <c r="C13" s="466"/>
      <c r="D13" s="466"/>
      <c r="E13" s="466"/>
      <c r="F13" s="466"/>
      <c r="G13" s="466"/>
      <c r="H13" s="466"/>
      <c r="I13" s="467"/>
      <c r="J13" s="467"/>
      <c r="K13" s="466"/>
      <c r="L13" s="466"/>
      <c r="M13" s="466"/>
      <c r="N13" s="157"/>
    </row>
    <row r="14" spans="1:14" ht="15" customHeight="1">
      <c r="A14" s="468" t="s">
        <v>177</v>
      </c>
      <c r="B14" s="463">
        <v>0</v>
      </c>
      <c r="C14" s="463">
        <v>0</v>
      </c>
      <c r="D14" s="463">
        <v>0</v>
      </c>
      <c r="E14" s="463">
        <v>0</v>
      </c>
      <c r="F14" s="463">
        <v>0</v>
      </c>
      <c r="G14" s="463">
        <v>0</v>
      </c>
      <c r="H14" s="463">
        <v>0</v>
      </c>
      <c r="I14" s="463">
        <v>0</v>
      </c>
      <c r="J14" s="463">
        <v>0</v>
      </c>
      <c r="K14" s="463">
        <v>0</v>
      </c>
      <c r="L14" s="463">
        <v>0</v>
      </c>
      <c r="M14" s="463">
        <v>0</v>
      </c>
      <c r="N14" s="327">
        <f>SUM(B14:M14)</f>
        <v>0</v>
      </c>
    </row>
    <row r="15" spans="1:14" s="146" customFormat="1">
      <c r="A15" s="46" t="s">
        <v>178</v>
      </c>
      <c r="B15" s="378">
        <f>B14</f>
        <v>0</v>
      </c>
      <c r="C15" s="378">
        <f t="shared" ref="C15:M15" si="2">C14</f>
        <v>0</v>
      </c>
      <c r="D15" s="378">
        <f t="shared" si="2"/>
        <v>0</v>
      </c>
      <c r="E15" s="378">
        <f t="shared" si="2"/>
        <v>0</v>
      </c>
      <c r="F15" s="378">
        <f t="shared" si="2"/>
        <v>0</v>
      </c>
      <c r="G15" s="378">
        <f t="shared" si="2"/>
        <v>0</v>
      </c>
      <c r="H15" s="378">
        <f t="shared" si="2"/>
        <v>0</v>
      </c>
      <c r="I15" s="378">
        <f t="shared" si="2"/>
        <v>0</v>
      </c>
      <c r="J15" s="378">
        <f t="shared" si="2"/>
        <v>0</v>
      </c>
      <c r="K15" s="378">
        <f t="shared" si="2"/>
        <v>0</v>
      </c>
      <c r="L15" s="378">
        <f t="shared" si="2"/>
        <v>0</v>
      </c>
      <c r="M15" s="378">
        <f t="shared" si="2"/>
        <v>0</v>
      </c>
      <c r="N15" s="379">
        <f>SUM(B15:M15)</f>
        <v>0</v>
      </c>
    </row>
    <row r="16" spans="1:14">
      <c r="A16" s="397"/>
      <c r="B16" s="328"/>
      <c r="C16" s="318"/>
      <c r="D16" s="318"/>
      <c r="E16" s="318"/>
      <c r="F16" s="317"/>
      <c r="G16" s="318"/>
      <c r="H16" s="317"/>
      <c r="I16" s="317"/>
      <c r="J16" s="317"/>
      <c r="K16" s="317"/>
      <c r="L16" s="317"/>
      <c r="M16" s="317"/>
      <c r="N16" s="327"/>
    </row>
    <row r="17" spans="1:14" ht="14.25">
      <c r="A17" s="468" t="s">
        <v>179</v>
      </c>
      <c r="B17" s="327">
        <v>0</v>
      </c>
      <c r="C17" s="327">
        <v>0</v>
      </c>
      <c r="D17" s="327">
        <v>0</v>
      </c>
      <c r="E17" s="327">
        <v>-8300</v>
      </c>
      <c r="F17" s="327">
        <v>0</v>
      </c>
      <c r="G17" s="327">
        <v>0</v>
      </c>
      <c r="H17" s="327">
        <v>0</v>
      </c>
      <c r="I17" s="327">
        <v>0</v>
      </c>
      <c r="J17" s="327">
        <v>0</v>
      </c>
      <c r="K17" s="327">
        <v>0</v>
      </c>
      <c r="L17" s="327">
        <v>0</v>
      </c>
      <c r="M17" s="327">
        <v>0</v>
      </c>
      <c r="N17" s="327">
        <f>SUM(B17:M17)</f>
        <v>-8300</v>
      </c>
    </row>
    <row r="18" spans="1:14" s="146" customFormat="1">
      <c r="A18" s="46" t="s">
        <v>180</v>
      </c>
      <c r="B18" s="379">
        <f>B17</f>
        <v>0</v>
      </c>
      <c r="C18" s="379">
        <f>C17</f>
        <v>0</v>
      </c>
      <c r="D18" s="379">
        <f t="shared" ref="D18:M18" si="3">D17</f>
        <v>0</v>
      </c>
      <c r="E18" s="379">
        <f t="shared" si="3"/>
        <v>-8300</v>
      </c>
      <c r="F18" s="379">
        <f t="shared" si="3"/>
        <v>0</v>
      </c>
      <c r="G18" s="379">
        <f t="shared" si="3"/>
        <v>0</v>
      </c>
      <c r="H18" s="379">
        <f t="shared" si="3"/>
        <v>0</v>
      </c>
      <c r="I18" s="379">
        <f t="shared" si="3"/>
        <v>0</v>
      </c>
      <c r="J18" s="379">
        <f t="shared" si="3"/>
        <v>0</v>
      </c>
      <c r="K18" s="379">
        <f t="shared" si="3"/>
        <v>0</v>
      </c>
      <c r="L18" s="379">
        <f t="shared" si="3"/>
        <v>0</v>
      </c>
      <c r="M18" s="379">
        <f t="shared" si="3"/>
        <v>0</v>
      </c>
      <c r="N18" s="379">
        <f>N17</f>
        <v>-8300</v>
      </c>
    </row>
    <row r="19" spans="1:14">
      <c r="A19" s="46"/>
      <c r="B19" s="327"/>
      <c r="C19" s="327"/>
      <c r="D19" s="327"/>
      <c r="E19" s="327"/>
      <c r="F19" s="327"/>
      <c r="G19" s="327"/>
      <c r="H19" s="327"/>
      <c r="I19" s="327"/>
      <c r="J19" s="327"/>
      <c r="K19" s="327"/>
      <c r="L19" s="327"/>
      <c r="M19" s="327"/>
      <c r="N19" s="327"/>
    </row>
    <row r="20" spans="1:14">
      <c r="A20" s="468" t="s">
        <v>181</v>
      </c>
      <c r="B20" s="327">
        <v>0</v>
      </c>
      <c r="C20" s="327">
        <v>0</v>
      </c>
      <c r="D20" s="327">
        <v>0</v>
      </c>
      <c r="E20" s="327">
        <v>0</v>
      </c>
      <c r="F20" s="327">
        <v>0</v>
      </c>
      <c r="G20" s="327">
        <v>0</v>
      </c>
      <c r="H20" s="327">
        <v>0</v>
      </c>
      <c r="I20" s="327">
        <v>0</v>
      </c>
      <c r="J20" s="327">
        <v>0</v>
      </c>
      <c r="K20" s="327">
        <v>0</v>
      </c>
      <c r="L20" s="327">
        <v>0</v>
      </c>
      <c r="M20" s="327">
        <v>0</v>
      </c>
      <c r="N20" s="327">
        <f>SUM(B20:M20)</f>
        <v>0</v>
      </c>
    </row>
    <row r="21" spans="1:14" s="146" customFormat="1">
      <c r="A21" s="46" t="s">
        <v>182</v>
      </c>
      <c r="B21" s="379">
        <f t="shared" ref="B21:N21" si="4">B20</f>
        <v>0</v>
      </c>
      <c r="C21" s="379">
        <f t="shared" si="4"/>
        <v>0</v>
      </c>
      <c r="D21" s="379">
        <f t="shared" si="4"/>
        <v>0</v>
      </c>
      <c r="E21" s="379">
        <f t="shared" si="4"/>
        <v>0</v>
      </c>
      <c r="F21" s="379">
        <f t="shared" si="4"/>
        <v>0</v>
      </c>
      <c r="G21" s="379">
        <f t="shared" si="4"/>
        <v>0</v>
      </c>
      <c r="H21" s="379">
        <f t="shared" si="4"/>
        <v>0</v>
      </c>
      <c r="I21" s="379">
        <f t="shared" si="4"/>
        <v>0</v>
      </c>
      <c r="J21" s="379">
        <f t="shared" si="4"/>
        <v>0</v>
      </c>
      <c r="K21" s="379">
        <f t="shared" si="4"/>
        <v>0</v>
      </c>
      <c r="L21" s="379">
        <f t="shared" si="4"/>
        <v>0</v>
      </c>
      <c r="M21" s="379">
        <f t="shared" si="4"/>
        <v>0</v>
      </c>
      <c r="N21" s="379">
        <f t="shared" si="4"/>
        <v>0</v>
      </c>
    </row>
    <row r="22" spans="1:14" s="146" customFormat="1">
      <c r="A22" s="46"/>
      <c r="B22" s="379"/>
      <c r="C22" s="379"/>
      <c r="D22" s="379"/>
      <c r="E22" s="379"/>
      <c r="F22" s="379"/>
      <c r="G22" s="379"/>
      <c r="H22" s="379"/>
      <c r="I22" s="379"/>
      <c r="J22" s="379"/>
      <c r="K22" s="379"/>
      <c r="L22" s="379"/>
      <c r="M22" s="379"/>
      <c r="N22" s="379"/>
    </row>
    <row r="23" spans="1:14" s="146" customFormat="1">
      <c r="A23" s="464" t="s">
        <v>183</v>
      </c>
      <c r="B23" s="327">
        <v>0</v>
      </c>
      <c r="C23" s="327">
        <v>0</v>
      </c>
      <c r="D23" s="327">
        <v>0</v>
      </c>
      <c r="E23" s="327">
        <v>0</v>
      </c>
      <c r="F23" s="327">
        <v>0</v>
      </c>
      <c r="G23" s="327">
        <v>0</v>
      </c>
      <c r="H23" s="327">
        <v>0</v>
      </c>
      <c r="I23" s="327">
        <v>0</v>
      </c>
      <c r="J23" s="327">
        <v>0</v>
      </c>
      <c r="K23" s="327">
        <v>0</v>
      </c>
      <c r="L23" s="327">
        <v>0</v>
      </c>
      <c r="M23" s="327">
        <v>0</v>
      </c>
      <c r="N23" s="327">
        <f>SUM(B23:M23)</f>
        <v>0</v>
      </c>
    </row>
    <row r="24" spans="1:14" s="146" customFormat="1">
      <c r="A24" s="46" t="s">
        <v>184</v>
      </c>
      <c r="B24" s="379">
        <f>B23</f>
        <v>0</v>
      </c>
      <c r="C24" s="379">
        <f t="shared" ref="C24:M24" si="5">C23</f>
        <v>0</v>
      </c>
      <c r="D24" s="379">
        <f t="shared" si="5"/>
        <v>0</v>
      </c>
      <c r="E24" s="379">
        <f t="shared" si="5"/>
        <v>0</v>
      </c>
      <c r="F24" s="379">
        <f t="shared" si="5"/>
        <v>0</v>
      </c>
      <c r="G24" s="379">
        <f t="shared" si="5"/>
        <v>0</v>
      </c>
      <c r="H24" s="379">
        <f t="shared" si="5"/>
        <v>0</v>
      </c>
      <c r="I24" s="379">
        <f t="shared" si="5"/>
        <v>0</v>
      </c>
      <c r="J24" s="379">
        <f t="shared" si="5"/>
        <v>0</v>
      </c>
      <c r="K24" s="379">
        <f t="shared" si="5"/>
        <v>0</v>
      </c>
      <c r="L24" s="379">
        <f t="shared" si="5"/>
        <v>0</v>
      </c>
      <c r="M24" s="379">
        <f t="shared" si="5"/>
        <v>0</v>
      </c>
      <c r="N24" s="379">
        <f>SUM(B24:M24)</f>
        <v>0</v>
      </c>
    </row>
    <row r="25" spans="1:14">
      <c r="A25" s="46"/>
      <c r="B25" s="327"/>
      <c r="C25" s="327"/>
      <c r="D25" s="327"/>
      <c r="E25" s="327"/>
      <c r="F25" s="327"/>
      <c r="G25" s="327"/>
      <c r="H25" s="327"/>
      <c r="I25" s="327"/>
      <c r="J25" s="327"/>
      <c r="K25" s="327"/>
      <c r="L25" s="327"/>
      <c r="M25" s="327"/>
      <c r="N25" s="327"/>
    </row>
    <row r="26" spans="1:14" ht="14.25">
      <c r="A26" s="468" t="s">
        <v>185</v>
      </c>
      <c r="B26" s="327">
        <v>-121800</v>
      </c>
      <c r="C26" s="327">
        <v>0</v>
      </c>
      <c r="D26" s="327">
        <v>0</v>
      </c>
      <c r="E26" s="327">
        <v>0</v>
      </c>
      <c r="F26" s="327">
        <v>0</v>
      </c>
      <c r="G26" s="327">
        <v>0</v>
      </c>
      <c r="H26" s="327">
        <v>0</v>
      </c>
      <c r="I26" s="327">
        <v>0</v>
      </c>
      <c r="J26" s="327">
        <v>0</v>
      </c>
      <c r="K26" s="327">
        <v>0</v>
      </c>
      <c r="L26" s="327">
        <v>0</v>
      </c>
      <c r="M26" s="327">
        <v>0</v>
      </c>
      <c r="N26" s="327">
        <f>SUM(B26:M26)</f>
        <v>-121800</v>
      </c>
    </row>
    <row r="27" spans="1:14" s="146" customFormat="1">
      <c r="A27" s="46" t="s">
        <v>186</v>
      </c>
      <c r="B27" s="379">
        <f t="shared" ref="B27:N27" si="6">B26</f>
        <v>-121800</v>
      </c>
      <c r="C27" s="379">
        <f t="shared" si="6"/>
        <v>0</v>
      </c>
      <c r="D27" s="379">
        <f t="shared" si="6"/>
        <v>0</v>
      </c>
      <c r="E27" s="379">
        <f t="shared" si="6"/>
        <v>0</v>
      </c>
      <c r="F27" s="379">
        <f t="shared" si="6"/>
        <v>0</v>
      </c>
      <c r="G27" s="379">
        <f t="shared" si="6"/>
        <v>0</v>
      </c>
      <c r="H27" s="379">
        <f t="shared" si="6"/>
        <v>0</v>
      </c>
      <c r="I27" s="379">
        <f t="shared" si="6"/>
        <v>0</v>
      </c>
      <c r="J27" s="379">
        <f t="shared" si="6"/>
        <v>0</v>
      </c>
      <c r="K27" s="379">
        <f t="shared" si="6"/>
        <v>0</v>
      </c>
      <c r="L27" s="379">
        <f t="shared" si="6"/>
        <v>0</v>
      </c>
      <c r="M27" s="379">
        <f t="shared" si="6"/>
        <v>0</v>
      </c>
      <c r="N27" s="379">
        <f t="shared" si="6"/>
        <v>-121800</v>
      </c>
    </row>
    <row r="28" spans="1:14">
      <c r="A28" s="46"/>
      <c r="B28" s="318"/>
      <c r="C28" s="318"/>
      <c r="D28" s="318"/>
      <c r="E28" s="318"/>
      <c r="F28" s="318"/>
      <c r="G28" s="318"/>
      <c r="H28" s="318"/>
      <c r="I28" s="318"/>
      <c r="J28" s="318"/>
      <c r="K28" s="318"/>
      <c r="L28" s="318"/>
      <c r="M28" s="318"/>
      <c r="N28" s="327"/>
    </row>
    <row r="29" spans="1:14">
      <c r="A29" s="468" t="s">
        <v>187</v>
      </c>
      <c r="B29" s="327">
        <v>0</v>
      </c>
      <c r="C29" s="327">
        <v>0</v>
      </c>
      <c r="D29" s="327">
        <v>0</v>
      </c>
      <c r="E29" s="327">
        <v>0</v>
      </c>
      <c r="F29" s="327">
        <v>0</v>
      </c>
      <c r="G29" s="327">
        <v>0</v>
      </c>
      <c r="H29" s="327">
        <v>0</v>
      </c>
      <c r="I29" s="327">
        <v>0</v>
      </c>
      <c r="J29" s="327">
        <v>0</v>
      </c>
      <c r="K29" s="327">
        <v>0</v>
      </c>
      <c r="L29" s="327">
        <v>0</v>
      </c>
      <c r="M29" s="327">
        <v>0</v>
      </c>
      <c r="N29" s="377">
        <f>SUM(B29:M29)</f>
        <v>0</v>
      </c>
    </row>
    <row r="30" spans="1:14" s="146" customFormat="1">
      <c r="A30" s="46" t="s">
        <v>188</v>
      </c>
      <c r="B30" s="379">
        <f t="shared" ref="B30:M30" si="7">B29</f>
        <v>0</v>
      </c>
      <c r="C30" s="379">
        <f t="shared" si="7"/>
        <v>0</v>
      </c>
      <c r="D30" s="379">
        <f t="shared" si="7"/>
        <v>0</v>
      </c>
      <c r="E30" s="379">
        <f t="shared" si="7"/>
        <v>0</v>
      </c>
      <c r="F30" s="379">
        <f t="shared" si="7"/>
        <v>0</v>
      </c>
      <c r="G30" s="379">
        <f t="shared" si="7"/>
        <v>0</v>
      </c>
      <c r="H30" s="379">
        <f t="shared" si="7"/>
        <v>0</v>
      </c>
      <c r="I30" s="379">
        <f t="shared" si="7"/>
        <v>0</v>
      </c>
      <c r="J30" s="379">
        <f t="shared" si="7"/>
        <v>0</v>
      </c>
      <c r="K30" s="379">
        <f t="shared" si="7"/>
        <v>0</v>
      </c>
      <c r="L30" s="379">
        <f t="shared" si="7"/>
        <v>0</v>
      </c>
      <c r="M30" s="379">
        <f t="shared" si="7"/>
        <v>0</v>
      </c>
      <c r="N30" s="382">
        <f>SUM(B30:M30)</f>
        <v>0</v>
      </c>
    </row>
    <row r="31" spans="1:14">
      <c r="A31" s="397"/>
      <c r="B31" s="329"/>
      <c r="C31" s="329"/>
      <c r="D31" s="329"/>
      <c r="E31" s="329"/>
      <c r="F31" s="329"/>
      <c r="G31" s="329"/>
      <c r="H31" s="329"/>
      <c r="I31" s="329"/>
      <c r="J31" s="329"/>
      <c r="K31" s="329"/>
      <c r="L31" s="329"/>
      <c r="M31" s="329"/>
      <c r="N31" s="442"/>
    </row>
    <row r="32" spans="1:14" s="146" customFormat="1" ht="15" customHeight="1" thickBot="1">
      <c r="A32" s="398" t="s">
        <v>164</v>
      </c>
      <c r="B32" s="380">
        <f>+B27+B21+B18+B30+B15+B12+B24</f>
        <v>-121800</v>
      </c>
      <c r="C32" s="380">
        <f t="shared" ref="C32:M32" si="8">+C27+C21+C18+C30+C15+C12+C24</f>
        <v>0</v>
      </c>
      <c r="D32" s="380">
        <f>+D27+D21+D18+D30+D15+D12+D24</f>
        <v>0</v>
      </c>
      <c r="E32" s="380">
        <f t="shared" si="8"/>
        <v>-8300</v>
      </c>
      <c r="F32" s="380">
        <f t="shared" si="8"/>
        <v>0</v>
      </c>
      <c r="G32" s="380">
        <f t="shared" si="8"/>
        <v>0</v>
      </c>
      <c r="H32" s="380">
        <f t="shared" si="8"/>
        <v>0</v>
      </c>
      <c r="I32" s="380">
        <f t="shared" si="8"/>
        <v>0</v>
      </c>
      <c r="J32" s="380">
        <f t="shared" si="8"/>
        <v>0</v>
      </c>
      <c r="K32" s="380">
        <f t="shared" si="8"/>
        <v>0</v>
      </c>
      <c r="L32" s="380">
        <f t="shared" si="8"/>
        <v>0</v>
      </c>
      <c r="M32" s="380">
        <f t="shared" si="8"/>
        <v>0</v>
      </c>
      <c r="N32" s="381">
        <f>N30+N27+N21+N18+N15+N24+N12</f>
        <v>-130100</v>
      </c>
    </row>
    <row r="33" spans="1:14" ht="10.5" customHeight="1" thickTop="1" thickBot="1">
      <c r="A33" s="236"/>
      <c r="B33" s="233"/>
      <c r="C33" s="163"/>
      <c r="D33" s="163"/>
      <c r="E33" s="163"/>
      <c r="F33" s="163"/>
      <c r="G33" s="163"/>
      <c r="H33" s="163"/>
      <c r="I33" s="163"/>
      <c r="J33" s="163"/>
      <c r="K33" s="163"/>
      <c r="L33" s="163"/>
      <c r="M33" s="163"/>
      <c r="N33" s="271"/>
    </row>
    <row r="35" spans="1:14">
      <c r="A35" s="146" t="s">
        <v>43</v>
      </c>
    </row>
    <row r="36" spans="1:14" ht="16.5">
      <c r="A36" s="469" t="s">
        <v>189</v>
      </c>
      <c r="B36" s="230"/>
      <c r="C36" s="230"/>
      <c r="D36" s="230"/>
      <c r="E36" s="230"/>
      <c r="F36" s="230"/>
      <c r="G36" s="230"/>
      <c r="N36" s="159"/>
    </row>
    <row r="37" spans="1:14" ht="14.25">
      <c r="A37" s="649" t="s">
        <v>190</v>
      </c>
      <c r="B37" s="230"/>
      <c r="C37" s="230"/>
      <c r="D37" s="230"/>
      <c r="E37" s="230"/>
      <c r="F37" s="230"/>
      <c r="G37" s="230"/>
      <c r="N37" s="159"/>
    </row>
    <row r="38" spans="1:14">
      <c r="A38" s="649"/>
      <c r="B38" s="230"/>
      <c r="C38" s="230"/>
      <c r="D38" s="230"/>
      <c r="E38" s="230"/>
      <c r="F38" s="230"/>
      <c r="G38" s="230"/>
      <c r="N38" s="159"/>
    </row>
    <row r="39" spans="1:14" s="230" customFormat="1">
      <c r="A39" s="545" t="s">
        <v>51</v>
      </c>
      <c r="D39" s="546"/>
      <c r="E39" s="547"/>
      <c r="F39" s="401"/>
    </row>
    <row r="40" spans="1:14" ht="15">
      <c r="A40" s="544"/>
      <c r="D40" s="165"/>
      <c r="E40" s="166"/>
      <c r="F40" s="159"/>
    </row>
    <row r="41" spans="1:14">
      <c r="A41" s="147" t="s">
        <v>85</v>
      </c>
      <c r="D41" s="165"/>
      <c r="E41" s="166"/>
      <c r="F41" s="159"/>
    </row>
    <row r="42" spans="1:14">
      <c r="D42" s="165"/>
      <c r="E42" s="166"/>
      <c r="F42" s="159"/>
    </row>
    <row r="43" spans="1:14">
      <c r="E43" s="166"/>
    </row>
    <row r="44" spans="1:14">
      <c r="D44" s="159"/>
      <c r="E44" s="166"/>
      <c r="F44" s="159"/>
    </row>
    <row r="45" spans="1:14">
      <c r="D45" s="159"/>
      <c r="E45" s="166"/>
      <c r="F45" s="159"/>
    </row>
    <row r="46" spans="1:14">
      <c r="D46" s="159"/>
      <c r="E46" s="166"/>
      <c r="F46" s="159"/>
    </row>
    <row r="47" spans="1:14">
      <c r="D47" s="159"/>
      <c r="E47" s="166"/>
      <c r="F47" s="159"/>
    </row>
    <row r="48" spans="1:14">
      <c r="D48" s="159"/>
      <c r="E48" s="166"/>
      <c r="F48" s="159"/>
    </row>
    <row r="49" spans="5:6">
      <c r="E49" s="167"/>
      <c r="F49" s="159"/>
    </row>
  </sheetData>
  <printOptions horizontalCentered="1"/>
  <pageMargins left="0" right="0" top="0.55000000000000004" bottom="0.17" header="0.3" footer="0.15"/>
  <pageSetup paperSize="5" scale="77" orientation="landscape" cellComments="atEnd" r:id="rId1"/>
  <headerFooter alignWithMargins="0">
    <oddHeader xml:space="preserve">&amp;C&amp;"Arial,Bold"
</oddHeader>
    <oddFooter>&amp;Rpage 6 of 12
&amp;A
&amp;D</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H14" sqref="H14"/>
    </sheetView>
  </sheetViews>
  <sheetFormatPr defaultColWidth="9.140625" defaultRowHeight="12.75"/>
  <cols>
    <col min="1" max="1" width="29.28515625" style="168" customWidth="1"/>
    <col min="2" max="2" width="15" style="168" customWidth="1"/>
    <col min="3" max="3" width="49.7109375" style="168" customWidth="1"/>
    <col min="4" max="4" width="11.140625" style="168" customWidth="1"/>
    <col min="5" max="5" width="57" style="168" customWidth="1"/>
    <col min="6" max="16384" width="9.140625" style="168"/>
  </cols>
  <sheetData>
    <row r="1" spans="1:5">
      <c r="C1" s="175" t="s">
        <v>0</v>
      </c>
    </row>
    <row r="2" spans="1:5">
      <c r="C2" s="175" t="s">
        <v>191</v>
      </c>
    </row>
    <row r="3" spans="1:5">
      <c r="C3" s="231" t="str">
        <f>'Program MW '!H3</f>
        <v>August 2019</v>
      </c>
    </row>
    <row r="4" spans="1:5">
      <c r="C4" s="229"/>
    </row>
    <row r="5" spans="1:5">
      <c r="B5" s="229"/>
      <c r="D5" s="229"/>
    </row>
    <row r="6" spans="1:5" s="21" customFormat="1">
      <c r="A6" s="349"/>
      <c r="B6" s="349"/>
    </row>
    <row r="7" spans="1:5" s="21" customFormat="1"/>
    <row r="8" spans="1:5" s="23" customFormat="1">
      <c r="A8" s="22" t="s">
        <v>192</v>
      </c>
      <c r="B8" s="22" t="s">
        <v>193</v>
      </c>
      <c r="C8" s="22" t="s">
        <v>194</v>
      </c>
      <c r="D8" s="22" t="s">
        <v>195</v>
      </c>
      <c r="E8" s="22" t="s">
        <v>196</v>
      </c>
    </row>
    <row r="9" spans="1:5" s="536" customFormat="1" ht="51">
      <c r="A9" s="532">
        <v>1</v>
      </c>
      <c r="B9" s="533">
        <v>-234498</v>
      </c>
      <c r="C9" s="540" t="s">
        <v>197</v>
      </c>
      <c r="D9" s="535">
        <v>43302</v>
      </c>
      <c r="E9" s="534" t="s">
        <v>198</v>
      </c>
    </row>
    <row r="10" spans="1:5" s="539" customFormat="1" ht="51">
      <c r="A10" s="537">
        <v>4</v>
      </c>
      <c r="B10" s="538">
        <v>-700000</v>
      </c>
      <c r="C10" s="541" t="s">
        <v>199</v>
      </c>
      <c r="D10" s="535">
        <v>43302</v>
      </c>
      <c r="E10" s="534" t="s">
        <v>200</v>
      </c>
    </row>
    <row r="11" spans="1:5" s="539" customFormat="1" ht="63.75">
      <c r="A11" s="537">
        <v>7</v>
      </c>
      <c r="B11" s="538">
        <v>-194400</v>
      </c>
      <c r="C11" s="541" t="s">
        <v>201</v>
      </c>
      <c r="D11" s="535">
        <v>43304</v>
      </c>
      <c r="E11" s="542" t="s">
        <v>202</v>
      </c>
    </row>
    <row r="12" spans="1:5" s="539" customFormat="1" ht="140.25">
      <c r="A12" s="537" t="s">
        <v>203</v>
      </c>
      <c r="B12" s="538">
        <v>1128898</v>
      </c>
      <c r="C12" s="541" t="s">
        <v>204</v>
      </c>
      <c r="D12" s="535">
        <v>43302</v>
      </c>
      <c r="E12" s="534" t="s">
        <v>205</v>
      </c>
    </row>
    <row r="13" spans="1:5">
      <c r="A13" s="170" t="s">
        <v>83</v>
      </c>
      <c r="B13" s="276">
        <f>SUM(B9:B12)</f>
        <v>0</v>
      </c>
      <c r="C13" s="169"/>
      <c r="D13" s="169"/>
      <c r="E13" s="169"/>
    </row>
    <row r="14" spans="1:5">
      <c r="A14" s="169"/>
      <c r="B14" s="169"/>
      <c r="C14" s="169"/>
      <c r="D14" s="169"/>
      <c r="E14" s="169"/>
    </row>
    <row r="16" spans="1:5">
      <c r="A16" s="168" t="s">
        <v>43</v>
      </c>
    </row>
    <row r="17" spans="1:5">
      <c r="A17" s="595" t="s">
        <v>206</v>
      </c>
    </row>
    <row r="19" spans="1:5" ht="15">
      <c r="A19" s="284" t="s">
        <v>51</v>
      </c>
      <c r="E19" s="171"/>
    </row>
  </sheetData>
  <phoneticPr fontId="41"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7 of 12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zoomScaleNormal="100" workbookViewId="0">
      <pane xSplit="1" ySplit="10" topLeftCell="C37" activePane="bottomRight" state="frozen"/>
      <selection pane="topRight" activeCell="B1" sqref="B1"/>
      <selection pane="bottomLeft" activeCell="A11" sqref="A11"/>
      <selection pane="bottomRight" sqref="A1:Q54"/>
    </sheetView>
  </sheetViews>
  <sheetFormatPr defaultRowHeight="12"/>
  <cols>
    <col min="1" max="1" width="84.28515625" style="343" customWidth="1"/>
    <col min="2" max="3" width="12.7109375" style="343" customWidth="1"/>
    <col min="4" max="4" width="9.42578125" style="343" bestFit="1" customWidth="1"/>
    <col min="5" max="10" width="12.7109375" style="343" customWidth="1"/>
    <col min="11" max="11" width="8" style="343" bestFit="1" customWidth="1"/>
    <col min="12" max="13" width="12.7109375" style="343" customWidth="1"/>
    <col min="14" max="14" width="17.140625" style="343" customWidth="1"/>
    <col min="15" max="15" width="11.85546875" style="343" customWidth="1"/>
    <col min="16" max="16" width="13.28515625" style="343" hidden="1" customWidth="1"/>
    <col min="17" max="17" width="11.7109375" style="343" customWidth="1"/>
    <col min="18" max="256" width="9.140625" style="343"/>
    <col min="257" max="257" width="70" style="343" customWidth="1"/>
    <col min="258" max="269" width="12.7109375" style="343" customWidth="1"/>
    <col min="270" max="270" width="11" style="343" customWidth="1"/>
    <col min="271" max="271" width="0" style="343" hidden="1" customWidth="1"/>
    <col min="272" max="273" width="11.7109375" style="343" customWidth="1"/>
    <col min="274" max="512" width="9.140625" style="343"/>
    <col min="513" max="513" width="70" style="343" customWidth="1"/>
    <col min="514" max="525" width="12.7109375" style="343" customWidth="1"/>
    <col min="526" max="526" width="11" style="343" customWidth="1"/>
    <col min="527" max="527" width="0" style="343" hidden="1" customWidth="1"/>
    <col min="528" max="529" width="11.7109375" style="343" customWidth="1"/>
    <col min="530" max="768" width="9.140625" style="343"/>
    <col min="769" max="769" width="70" style="343" customWidth="1"/>
    <col min="770" max="781" width="12.7109375" style="343" customWidth="1"/>
    <col min="782" max="782" width="11" style="343" customWidth="1"/>
    <col min="783" max="783" width="0" style="343" hidden="1" customWidth="1"/>
    <col min="784" max="785" width="11.7109375" style="343" customWidth="1"/>
    <col min="786" max="1024" width="9.140625" style="343"/>
    <col min="1025" max="1025" width="70" style="343" customWidth="1"/>
    <col min="1026" max="1037" width="12.7109375" style="343" customWidth="1"/>
    <col min="1038" max="1038" width="11" style="343" customWidth="1"/>
    <col min="1039" max="1039" width="0" style="343" hidden="1" customWidth="1"/>
    <col min="1040" max="1041" width="11.7109375" style="343" customWidth="1"/>
    <col min="1042" max="1280" width="9.140625" style="343"/>
    <col min="1281" max="1281" width="70" style="343" customWidth="1"/>
    <col min="1282" max="1293" width="12.7109375" style="343" customWidth="1"/>
    <col min="1294" max="1294" width="11" style="343" customWidth="1"/>
    <col min="1295" max="1295" width="0" style="343" hidden="1" customWidth="1"/>
    <col min="1296" max="1297" width="11.7109375" style="343" customWidth="1"/>
    <col min="1298" max="1536" width="9.140625" style="343"/>
    <col min="1537" max="1537" width="70" style="343" customWidth="1"/>
    <col min="1538" max="1549" width="12.7109375" style="343" customWidth="1"/>
    <col min="1550" max="1550" width="11" style="343" customWidth="1"/>
    <col min="1551" max="1551" width="0" style="343" hidden="1" customWidth="1"/>
    <col min="1552" max="1553" width="11.7109375" style="343" customWidth="1"/>
    <col min="1554" max="1792" width="9.140625" style="343"/>
    <col min="1793" max="1793" width="70" style="343" customWidth="1"/>
    <col min="1794" max="1805" width="12.7109375" style="343" customWidth="1"/>
    <col min="1806" max="1806" width="11" style="343" customWidth="1"/>
    <col min="1807" max="1807" width="0" style="343" hidden="1" customWidth="1"/>
    <col min="1808" max="1809" width="11.7109375" style="343" customWidth="1"/>
    <col min="1810" max="2048" width="9.140625" style="343"/>
    <col min="2049" max="2049" width="70" style="343" customWidth="1"/>
    <col min="2050" max="2061" width="12.7109375" style="343" customWidth="1"/>
    <col min="2062" max="2062" width="11" style="343" customWidth="1"/>
    <col min="2063" max="2063" width="0" style="343" hidden="1" customWidth="1"/>
    <col min="2064" max="2065" width="11.7109375" style="343" customWidth="1"/>
    <col min="2066" max="2304" width="9.140625" style="343"/>
    <col min="2305" max="2305" width="70" style="343" customWidth="1"/>
    <col min="2306" max="2317" width="12.7109375" style="343" customWidth="1"/>
    <col min="2318" max="2318" width="11" style="343" customWidth="1"/>
    <col min="2319" max="2319" width="0" style="343" hidden="1" customWidth="1"/>
    <col min="2320" max="2321" width="11.7109375" style="343" customWidth="1"/>
    <col min="2322" max="2560" width="9.140625" style="343"/>
    <col min="2561" max="2561" width="70" style="343" customWidth="1"/>
    <col min="2562" max="2573" width="12.7109375" style="343" customWidth="1"/>
    <col min="2574" max="2574" width="11" style="343" customWidth="1"/>
    <col min="2575" max="2575" width="0" style="343" hidden="1" customWidth="1"/>
    <col min="2576" max="2577" width="11.7109375" style="343" customWidth="1"/>
    <col min="2578" max="2816" width="9.140625" style="343"/>
    <col min="2817" max="2817" width="70" style="343" customWidth="1"/>
    <col min="2818" max="2829" width="12.7109375" style="343" customWidth="1"/>
    <col min="2830" max="2830" width="11" style="343" customWidth="1"/>
    <col min="2831" max="2831" width="0" style="343" hidden="1" customWidth="1"/>
    <col min="2832" max="2833" width="11.7109375" style="343" customWidth="1"/>
    <col min="2834" max="3072" width="9.140625" style="343"/>
    <col min="3073" max="3073" width="70" style="343" customWidth="1"/>
    <col min="3074" max="3085" width="12.7109375" style="343" customWidth="1"/>
    <col min="3086" max="3086" width="11" style="343" customWidth="1"/>
    <col min="3087" max="3087" width="0" style="343" hidden="1" customWidth="1"/>
    <col min="3088" max="3089" width="11.7109375" style="343" customWidth="1"/>
    <col min="3090" max="3328" width="9.140625" style="343"/>
    <col min="3329" max="3329" width="70" style="343" customWidth="1"/>
    <col min="3330" max="3341" width="12.7109375" style="343" customWidth="1"/>
    <col min="3342" max="3342" width="11" style="343" customWidth="1"/>
    <col min="3343" max="3343" width="0" style="343" hidden="1" customWidth="1"/>
    <col min="3344" max="3345" width="11.7109375" style="343" customWidth="1"/>
    <col min="3346" max="3584" width="9.140625" style="343"/>
    <col min="3585" max="3585" width="70" style="343" customWidth="1"/>
    <col min="3586" max="3597" width="12.7109375" style="343" customWidth="1"/>
    <col min="3598" max="3598" width="11" style="343" customWidth="1"/>
    <col min="3599" max="3599" width="0" style="343" hidden="1" customWidth="1"/>
    <col min="3600" max="3601" width="11.7109375" style="343" customWidth="1"/>
    <col min="3602" max="3840" width="9.140625" style="343"/>
    <col min="3841" max="3841" width="70" style="343" customWidth="1"/>
    <col min="3842" max="3853" width="12.7109375" style="343" customWidth="1"/>
    <col min="3854" max="3854" width="11" style="343" customWidth="1"/>
    <col min="3855" max="3855" width="0" style="343" hidden="1" customWidth="1"/>
    <col min="3856" max="3857" width="11.7109375" style="343" customWidth="1"/>
    <col min="3858" max="4096" width="9.140625" style="343"/>
    <col min="4097" max="4097" width="70" style="343" customWidth="1"/>
    <col min="4098" max="4109" width="12.7109375" style="343" customWidth="1"/>
    <col min="4110" max="4110" width="11" style="343" customWidth="1"/>
    <col min="4111" max="4111" width="0" style="343" hidden="1" customWidth="1"/>
    <col min="4112" max="4113" width="11.7109375" style="343" customWidth="1"/>
    <col min="4114" max="4352" width="9.140625" style="343"/>
    <col min="4353" max="4353" width="70" style="343" customWidth="1"/>
    <col min="4354" max="4365" width="12.7109375" style="343" customWidth="1"/>
    <col min="4366" max="4366" width="11" style="343" customWidth="1"/>
    <col min="4367" max="4367" width="0" style="343" hidden="1" customWidth="1"/>
    <col min="4368" max="4369" width="11.7109375" style="343" customWidth="1"/>
    <col min="4370" max="4608" width="9.140625" style="343"/>
    <col min="4609" max="4609" width="70" style="343" customWidth="1"/>
    <col min="4610" max="4621" width="12.7109375" style="343" customWidth="1"/>
    <col min="4622" max="4622" width="11" style="343" customWidth="1"/>
    <col min="4623" max="4623" width="0" style="343" hidden="1" customWidth="1"/>
    <col min="4624" max="4625" width="11.7109375" style="343" customWidth="1"/>
    <col min="4626" max="4864" width="9.140625" style="343"/>
    <col min="4865" max="4865" width="70" style="343" customWidth="1"/>
    <col min="4866" max="4877" width="12.7109375" style="343" customWidth="1"/>
    <col min="4878" max="4878" width="11" style="343" customWidth="1"/>
    <col min="4879" max="4879" width="0" style="343" hidden="1" customWidth="1"/>
    <col min="4880" max="4881" width="11.7109375" style="343" customWidth="1"/>
    <col min="4882" max="5120" width="9.140625" style="343"/>
    <col min="5121" max="5121" width="70" style="343" customWidth="1"/>
    <col min="5122" max="5133" width="12.7109375" style="343" customWidth="1"/>
    <col min="5134" max="5134" width="11" style="343" customWidth="1"/>
    <col min="5135" max="5135" width="0" style="343" hidden="1" customWidth="1"/>
    <col min="5136" max="5137" width="11.7109375" style="343" customWidth="1"/>
    <col min="5138" max="5376" width="9.140625" style="343"/>
    <col min="5377" max="5377" width="70" style="343" customWidth="1"/>
    <col min="5378" max="5389" width="12.7109375" style="343" customWidth="1"/>
    <col min="5390" max="5390" width="11" style="343" customWidth="1"/>
    <col min="5391" max="5391" width="0" style="343" hidden="1" customWidth="1"/>
    <col min="5392" max="5393" width="11.7109375" style="343" customWidth="1"/>
    <col min="5394" max="5632" width="9.140625" style="343"/>
    <col min="5633" max="5633" width="70" style="343" customWidth="1"/>
    <col min="5634" max="5645" width="12.7109375" style="343" customWidth="1"/>
    <col min="5646" max="5646" width="11" style="343" customWidth="1"/>
    <col min="5647" max="5647" width="0" style="343" hidden="1" customWidth="1"/>
    <col min="5648" max="5649" width="11.7109375" style="343" customWidth="1"/>
    <col min="5650" max="5888" width="9.140625" style="343"/>
    <col min="5889" max="5889" width="70" style="343" customWidth="1"/>
    <col min="5890" max="5901" width="12.7109375" style="343" customWidth="1"/>
    <col min="5902" max="5902" width="11" style="343" customWidth="1"/>
    <col min="5903" max="5903" width="0" style="343" hidden="1" customWidth="1"/>
    <col min="5904" max="5905" width="11.7109375" style="343" customWidth="1"/>
    <col min="5906" max="6144" width="9.140625" style="343"/>
    <col min="6145" max="6145" width="70" style="343" customWidth="1"/>
    <col min="6146" max="6157" width="12.7109375" style="343" customWidth="1"/>
    <col min="6158" max="6158" width="11" style="343" customWidth="1"/>
    <col min="6159" max="6159" width="0" style="343" hidden="1" customWidth="1"/>
    <col min="6160" max="6161" width="11.7109375" style="343" customWidth="1"/>
    <col min="6162" max="6400" width="9.140625" style="343"/>
    <col min="6401" max="6401" width="70" style="343" customWidth="1"/>
    <col min="6402" max="6413" width="12.7109375" style="343" customWidth="1"/>
    <col min="6414" max="6414" width="11" style="343" customWidth="1"/>
    <col min="6415" max="6415" width="0" style="343" hidden="1" customWidth="1"/>
    <col min="6416" max="6417" width="11.7109375" style="343" customWidth="1"/>
    <col min="6418" max="6656" width="9.140625" style="343"/>
    <col min="6657" max="6657" width="70" style="343" customWidth="1"/>
    <col min="6658" max="6669" width="12.7109375" style="343" customWidth="1"/>
    <col min="6670" max="6670" width="11" style="343" customWidth="1"/>
    <col min="6671" max="6671" width="0" style="343" hidden="1" customWidth="1"/>
    <col min="6672" max="6673" width="11.7109375" style="343" customWidth="1"/>
    <col min="6674" max="6912" width="9.140625" style="343"/>
    <col min="6913" max="6913" width="70" style="343" customWidth="1"/>
    <col min="6914" max="6925" width="12.7109375" style="343" customWidth="1"/>
    <col min="6926" max="6926" width="11" style="343" customWidth="1"/>
    <col min="6927" max="6927" width="0" style="343" hidden="1" customWidth="1"/>
    <col min="6928" max="6929" width="11.7109375" style="343" customWidth="1"/>
    <col min="6930" max="7168" width="9.140625" style="343"/>
    <col min="7169" max="7169" width="70" style="343" customWidth="1"/>
    <col min="7170" max="7181" width="12.7109375" style="343" customWidth="1"/>
    <col min="7182" max="7182" width="11" style="343" customWidth="1"/>
    <col min="7183" max="7183" width="0" style="343" hidden="1" customWidth="1"/>
    <col min="7184" max="7185" width="11.7109375" style="343" customWidth="1"/>
    <col min="7186" max="7424" width="9.140625" style="343"/>
    <col min="7425" max="7425" width="70" style="343" customWidth="1"/>
    <col min="7426" max="7437" width="12.7109375" style="343" customWidth="1"/>
    <col min="7438" max="7438" width="11" style="343" customWidth="1"/>
    <col min="7439" max="7439" width="0" style="343" hidden="1" customWidth="1"/>
    <col min="7440" max="7441" width="11.7109375" style="343" customWidth="1"/>
    <col min="7442" max="7680" width="9.140625" style="343"/>
    <col min="7681" max="7681" width="70" style="343" customWidth="1"/>
    <col min="7682" max="7693" width="12.7109375" style="343" customWidth="1"/>
    <col min="7694" max="7694" width="11" style="343" customWidth="1"/>
    <col min="7695" max="7695" width="0" style="343" hidden="1" customWidth="1"/>
    <col min="7696" max="7697" width="11.7109375" style="343" customWidth="1"/>
    <col min="7698" max="7936" width="9.140625" style="343"/>
    <col min="7937" max="7937" width="70" style="343" customWidth="1"/>
    <col min="7938" max="7949" width="12.7109375" style="343" customWidth="1"/>
    <col min="7950" max="7950" width="11" style="343" customWidth="1"/>
    <col min="7951" max="7951" width="0" style="343" hidden="1" customWidth="1"/>
    <col min="7952" max="7953" width="11.7109375" style="343" customWidth="1"/>
    <col min="7954" max="8192" width="9.140625" style="343"/>
    <col min="8193" max="8193" width="70" style="343" customWidth="1"/>
    <col min="8194" max="8205" width="12.7109375" style="343" customWidth="1"/>
    <col min="8206" max="8206" width="11" style="343" customWidth="1"/>
    <col min="8207" max="8207" width="0" style="343" hidden="1" customWidth="1"/>
    <col min="8208" max="8209" width="11.7109375" style="343" customWidth="1"/>
    <col min="8210" max="8448" width="9.140625" style="343"/>
    <col min="8449" max="8449" width="70" style="343" customWidth="1"/>
    <col min="8450" max="8461" width="12.7109375" style="343" customWidth="1"/>
    <col min="8462" max="8462" width="11" style="343" customWidth="1"/>
    <col min="8463" max="8463" width="0" style="343" hidden="1" customWidth="1"/>
    <col min="8464" max="8465" width="11.7109375" style="343" customWidth="1"/>
    <col min="8466" max="8704" width="9.140625" style="343"/>
    <col min="8705" max="8705" width="70" style="343" customWidth="1"/>
    <col min="8706" max="8717" width="12.7109375" style="343" customWidth="1"/>
    <col min="8718" max="8718" width="11" style="343" customWidth="1"/>
    <col min="8719" max="8719" width="0" style="343" hidden="1" customWidth="1"/>
    <col min="8720" max="8721" width="11.7109375" style="343" customWidth="1"/>
    <col min="8722" max="8960" width="9.140625" style="343"/>
    <col min="8961" max="8961" width="70" style="343" customWidth="1"/>
    <col min="8962" max="8973" width="12.7109375" style="343" customWidth="1"/>
    <col min="8974" max="8974" width="11" style="343" customWidth="1"/>
    <col min="8975" max="8975" width="0" style="343" hidden="1" customWidth="1"/>
    <col min="8976" max="8977" width="11.7109375" style="343" customWidth="1"/>
    <col min="8978" max="9216" width="9.140625" style="343"/>
    <col min="9217" max="9217" width="70" style="343" customWidth="1"/>
    <col min="9218" max="9229" width="12.7109375" style="343" customWidth="1"/>
    <col min="9230" max="9230" width="11" style="343" customWidth="1"/>
    <col min="9231" max="9231" width="0" style="343" hidden="1" customWidth="1"/>
    <col min="9232" max="9233" width="11.7109375" style="343" customWidth="1"/>
    <col min="9234" max="9472" width="9.140625" style="343"/>
    <col min="9473" max="9473" width="70" style="343" customWidth="1"/>
    <col min="9474" max="9485" width="12.7109375" style="343" customWidth="1"/>
    <col min="9486" max="9486" width="11" style="343" customWidth="1"/>
    <col min="9487" max="9487" width="0" style="343" hidden="1" customWidth="1"/>
    <col min="9488" max="9489" width="11.7109375" style="343" customWidth="1"/>
    <col min="9490" max="9728" width="9.140625" style="343"/>
    <col min="9729" max="9729" width="70" style="343" customWidth="1"/>
    <col min="9730" max="9741" width="12.7109375" style="343" customWidth="1"/>
    <col min="9742" max="9742" width="11" style="343" customWidth="1"/>
    <col min="9743" max="9743" width="0" style="343" hidden="1" customWidth="1"/>
    <col min="9744" max="9745" width="11.7109375" style="343" customWidth="1"/>
    <col min="9746" max="9984" width="9.140625" style="343"/>
    <col min="9985" max="9985" width="70" style="343" customWidth="1"/>
    <col min="9986" max="9997" width="12.7109375" style="343" customWidth="1"/>
    <col min="9998" max="9998" width="11" style="343" customWidth="1"/>
    <col min="9999" max="9999" width="0" style="343" hidden="1" customWidth="1"/>
    <col min="10000" max="10001" width="11.7109375" style="343" customWidth="1"/>
    <col min="10002" max="10240" width="9.140625" style="343"/>
    <col min="10241" max="10241" width="70" style="343" customWidth="1"/>
    <col min="10242" max="10253" width="12.7109375" style="343" customWidth="1"/>
    <col min="10254" max="10254" width="11" style="343" customWidth="1"/>
    <col min="10255" max="10255" width="0" style="343" hidden="1" customWidth="1"/>
    <col min="10256" max="10257" width="11.7109375" style="343" customWidth="1"/>
    <col min="10258" max="10496" width="9.140625" style="343"/>
    <col min="10497" max="10497" width="70" style="343" customWidth="1"/>
    <col min="10498" max="10509" width="12.7109375" style="343" customWidth="1"/>
    <col min="10510" max="10510" width="11" style="343" customWidth="1"/>
    <col min="10511" max="10511" width="0" style="343" hidden="1" customWidth="1"/>
    <col min="10512" max="10513" width="11.7109375" style="343" customWidth="1"/>
    <col min="10514" max="10752" width="9.140625" style="343"/>
    <col min="10753" max="10753" width="70" style="343" customWidth="1"/>
    <col min="10754" max="10765" width="12.7109375" style="343" customWidth="1"/>
    <col min="10766" max="10766" width="11" style="343" customWidth="1"/>
    <col min="10767" max="10767" width="0" style="343" hidden="1" customWidth="1"/>
    <col min="10768" max="10769" width="11.7109375" style="343" customWidth="1"/>
    <col min="10770" max="11008" width="9.140625" style="343"/>
    <col min="11009" max="11009" width="70" style="343" customWidth="1"/>
    <col min="11010" max="11021" width="12.7109375" style="343" customWidth="1"/>
    <col min="11022" max="11022" width="11" style="343" customWidth="1"/>
    <col min="11023" max="11023" width="0" style="343" hidden="1" customWidth="1"/>
    <col min="11024" max="11025" width="11.7109375" style="343" customWidth="1"/>
    <col min="11026" max="11264" width="9.140625" style="343"/>
    <col min="11265" max="11265" width="70" style="343" customWidth="1"/>
    <col min="11266" max="11277" width="12.7109375" style="343" customWidth="1"/>
    <col min="11278" max="11278" width="11" style="343" customWidth="1"/>
    <col min="11279" max="11279" width="0" style="343" hidden="1" customWidth="1"/>
    <col min="11280" max="11281" width="11.7109375" style="343" customWidth="1"/>
    <col min="11282" max="11520" width="9.140625" style="343"/>
    <col min="11521" max="11521" width="70" style="343" customWidth="1"/>
    <col min="11522" max="11533" width="12.7109375" style="343" customWidth="1"/>
    <col min="11534" max="11534" width="11" style="343" customWidth="1"/>
    <col min="11535" max="11535" width="0" style="343" hidden="1" customWidth="1"/>
    <col min="11536" max="11537" width="11.7109375" style="343" customWidth="1"/>
    <col min="11538" max="11776" width="9.140625" style="343"/>
    <col min="11777" max="11777" width="70" style="343" customWidth="1"/>
    <col min="11778" max="11789" width="12.7109375" style="343" customWidth="1"/>
    <col min="11790" max="11790" width="11" style="343" customWidth="1"/>
    <col min="11791" max="11791" width="0" style="343" hidden="1" customWidth="1"/>
    <col min="11792" max="11793" width="11.7109375" style="343" customWidth="1"/>
    <col min="11794" max="12032" width="9.140625" style="343"/>
    <col min="12033" max="12033" width="70" style="343" customWidth="1"/>
    <col min="12034" max="12045" width="12.7109375" style="343" customWidth="1"/>
    <col min="12046" max="12046" width="11" style="343" customWidth="1"/>
    <col min="12047" max="12047" width="0" style="343" hidden="1" customWidth="1"/>
    <col min="12048" max="12049" width="11.7109375" style="343" customWidth="1"/>
    <col min="12050" max="12288" width="9.140625" style="343"/>
    <col min="12289" max="12289" width="70" style="343" customWidth="1"/>
    <col min="12290" max="12301" width="12.7109375" style="343" customWidth="1"/>
    <col min="12302" max="12302" width="11" style="343" customWidth="1"/>
    <col min="12303" max="12303" width="0" style="343" hidden="1" customWidth="1"/>
    <col min="12304" max="12305" width="11.7109375" style="343" customWidth="1"/>
    <col min="12306" max="12544" width="9.140625" style="343"/>
    <col min="12545" max="12545" width="70" style="343" customWidth="1"/>
    <col min="12546" max="12557" width="12.7109375" style="343" customWidth="1"/>
    <col min="12558" max="12558" width="11" style="343" customWidth="1"/>
    <col min="12559" max="12559" width="0" style="343" hidden="1" customWidth="1"/>
    <col min="12560" max="12561" width="11.7109375" style="343" customWidth="1"/>
    <col min="12562" max="12800" width="9.140625" style="343"/>
    <col min="12801" max="12801" width="70" style="343" customWidth="1"/>
    <col min="12802" max="12813" width="12.7109375" style="343" customWidth="1"/>
    <col min="12814" max="12814" width="11" style="343" customWidth="1"/>
    <col min="12815" max="12815" width="0" style="343" hidden="1" customWidth="1"/>
    <col min="12816" max="12817" width="11.7109375" style="343" customWidth="1"/>
    <col min="12818" max="13056" width="9.140625" style="343"/>
    <col min="13057" max="13057" width="70" style="343" customWidth="1"/>
    <col min="13058" max="13069" width="12.7109375" style="343" customWidth="1"/>
    <col min="13070" max="13070" width="11" style="343" customWidth="1"/>
    <col min="13071" max="13071" width="0" style="343" hidden="1" customWidth="1"/>
    <col min="13072" max="13073" width="11.7109375" style="343" customWidth="1"/>
    <col min="13074" max="13312" width="9.140625" style="343"/>
    <col min="13313" max="13313" width="70" style="343" customWidth="1"/>
    <col min="13314" max="13325" width="12.7109375" style="343" customWidth="1"/>
    <col min="13326" max="13326" width="11" style="343" customWidth="1"/>
    <col min="13327" max="13327" width="0" style="343" hidden="1" customWidth="1"/>
    <col min="13328" max="13329" width="11.7109375" style="343" customWidth="1"/>
    <col min="13330" max="13568" width="9.140625" style="343"/>
    <col min="13569" max="13569" width="70" style="343" customWidth="1"/>
    <col min="13570" max="13581" width="12.7109375" style="343" customWidth="1"/>
    <col min="13582" max="13582" width="11" style="343" customWidth="1"/>
    <col min="13583" max="13583" width="0" style="343" hidden="1" customWidth="1"/>
    <col min="13584" max="13585" width="11.7109375" style="343" customWidth="1"/>
    <col min="13586" max="13824" width="9.140625" style="343"/>
    <col min="13825" max="13825" width="70" style="343" customWidth="1"/>
    <col min="13826" max="13837" width="12.7109375" style="343" customWidth="1"/>
    <col min="13838" max="13838" width="11" style="343" customWidth="1"/>
    <col min="13839" max="13839" width="0" style="343" hidden="1" customWidth="1"/>
    <col min="13840" max="13841" width="11.7109375" style="343" customWidth="1"/>
    <col min="13842" max="14080" width="9.140625" style="343"/>
    <col min="14081" max="14081" width="70" style="343" customWidth="1"/>
    <col min="14082" max="14093" width="12.7109375" style="343" customWidth="1"/>
    <col min="14094" max="14094" width="11" style="343" customWidth="1"/>
    <col min="14095" max="14095" width="0" style="343" hidden="1" customWidth="1"/>
    <col min="14096" max="14097" width="11.7109375" style="343" customWidth="1"/>
    <col min="14098" max="14336" width="9.140625" style="343"/>
    <col min="14337" max="14337" width="70" style="343" customWidth="1"/>
    <col min="14338" max="14349" width="12.7109375" style="343" customWidth="1"/>
    <col min="14350" max="14350" width="11" style="343" customWidth="1"/>
    <col min="14351" max="14351" width="0" style="343" hidden="1" customWidth="1"/>
    <col min="14352" max="14353" width="11.7109375" style="343" customWidth="1"/>
    <col min="14354" max="14592" width="9.140625" style="343"/>
    <col min="14593" max="14593" width="70" style="343" customWidth="1"/>
    <col min="14594" max="14605" width="12.7109375" style="343" customWidth="1"/>
    <col min="14606" max="14606" width="11" style="343" customWidth="1"/>
    <col min="14607" max="14607" width="0" style="343" hidden="1" customWidth="1"/>
    <col min="14608" max="14609" width="11.7109375" style="343" customWidth="1"/>
    <col min="14610" max="14848" width="9.140625" style="343"/>
    <col min="14849" max="14849" width="70" style="343" customWidth="1"/>
    <col min="14850" max="14861" width="12.7109375" style="343" customWidth="1"/>
    <col min="14862" max="14862" width="11" style="343" customWidth="1"/>
    <col min="14863" max="14863" width="0" style="343" hidden="1" customWidth="1"/>
    <col min="14864" max="14865" width="11.7109375" style="343" customWidth="1"/>
    <col min="14866" max="15104" width="9.140625" style="343"/>
    <col min="15105" max="15105" width="70" style="343" customWidth="1"/>
    <col min="15106" max="15117" width="12.7109375" style="343" customWidth="1"/>
    <col min="15118" max="15118" width="11" style="343" customWidth="1"/>
    <col min="15119" max="15119" width="0" style="343" hidden="1" customWidth="1"/>
    <col min="15120" max="15121" width="11.7109375" style="343" customWidth="1"/>
    <col min="15122" max="15360" width="9.140625" style="343"/>
    <col min="15361" max="15361" width="70" style="343" customWidth="1"/>
    <col min="15362" max="15373" width="12.7109375" style="343" customWidth="1"/>
    <col min="15374" max="15374" width="11" style="343" customWidth="1"/>
    <col min="15375" max="15375" width="0" style="343" hidden="1" customWidth="1"/>
    <col min="15376" max="15377" width="11.7109375" style="343" customWidth="1"/>
    <col min="15378" max="15616" width="9.140625" style="343"/>
    <col min="15617" max="15617" width="70" style="343" customWidth="1"/>
    <col min="15618" max="15629" width="12.7109375" style="343" customWidth="1"/>
    <col min="15630" max="15630" width="11" style="343" customWidth="1"/>
    <col min="15631" max="15631" width="0" style="343" hidden="1" customWidth="1"/>
    <col min="15632" max="15633" width="11.7109375" style="343" customWidth="1"/>
    <col min="15634" max="15872" width="9.140625" style="343"/>
    <col min="15873" max="15873" width="70" style="343" customWidth="1"/>
    <col min="15874" max="15885" width="12.7109375" style="343" customWidth="1"/>
    <col min="15886" max="15886" width="11" style="343" customWidth="1"/>
    <col min="15887" max="15887" width="0" style="343" hidden="1" customWidth="1"/>
    <col min="15888" max="15889" width="11.7109375" style="343" customWidth="1"/>
    <col min="15890" max="16128" width="9.140625" style="343"/>
    <col min="16129" max="16129" width="70" style="343" customWidth="1"/>
    <col min="16130" max="16141" width="12.7109375" style="343" customWidth="1"/>
    <col min="16142" max="16142" width="11" style="343" customWidth="1"/>
    <col min="16143" max="16143" width="0" style="343" hidden="1" customWidth="1"/>
    <col min="16144" max="16145" width="11.7109375" style="343" customWidth="1"/>
    <col min="16146" max="16384" width="9.140625" style="343"/>
  </cols>
  <sheetData>
    <row r="1" spans="1:17" ht="13.5" customHeight="1">
      <c r="L1" s="344"/>
      <c r="O1" s="344"/>
      <c r="P1" s="344"/>
      <c r="Q1" s="344"/>
    </row>
    <row r="2" spans="1:17" ht="13.5" customHeight="1">
      <c r="C2" s="608" t="s">
        <v>0</v>
      </c>
      <c r="L2" s="344"/>
      <c r="O2" s="344"/>
      <c r="P2" s="344"/>
      <c r="Q2" s="344"/>
    </row>
    <row r="3" spans="1:17" ht="13.5" customHeight="1">
      <c r="C3" s="608" t="s">
        <v>207</v>
      </c>
      <c r="F3" s="345"/>
      <c r="G3" s="345"/>
      <c r="H3" s="345"/>
      <c r="I3" s="345"/>
      <c r="L3" s="344"/>
      <c r="O3" s="344"/>
      <c r="P3" s="344"/>
      <c r="Q3" s="344"/>
    </row>
    <row r="4" spans="1:17" ht="13.5" customHeight="1">
      <c r="B4" s="345"/>
      <c r="C4" s="609" t="str">
        <f>'Program MW '!H3</f>
        <v>August 2019</v>
      </c>
      <c r="D4" s="345"/>
      <c r="L4" s="344"/>
      <c r="O4" s="344"/>
      <c r="P4" s="344"/>
      <c r="Q4" s="344"/>
    </row>
    <row r="5" spans="1:17" ht="13.5" customHeight="1">
      <c r="L5" s="344"/>
      <c r="O5" s="344"/>
      <c r="P5" s="344"/>
      <c r="Q5" s="344"/>
    </row>
    <row r="6" spans="1:17" s="384" customFormat="1" ht="13.5" customHeight="1"/>
    <row r="7" spans="1:17" s="384" customFormat="1" ht="18" customHeight="1">
      <c r="A7" s="440"/>
      <c r="B7" s="610" t="s">
        <v>208</v>
      </c>
      <c r="C7" s="440"/>
      <c r="D7" s="440"/>
      <c r="E7" s="440"/>
      <c r="F7" s="440"/>
      <c r="G7" s="440"/>
      <c r="H7" s="440"/>
      <c r="I7" s="440"/>
      <c r="J7" s="440"/>
      <c r="K7" s="440"/>
      <c r="L7" s="440"/>
      <c r="M7" s="441"/>
      <c r="N7" s="745" t="s">
        <v>209</v>
      </c>
      <c r="O7" s="743" t="s">
        <v>210</v>
      </c>
      <c r="P7" s="385"/>
      <c r="Q7" s="745" t="s">
        <v>211</v>
      </c>
    </row>
    <row r="8" spans="1:17" s="384" customFormat="1" ht="39" customHeight="1">
      <c r="A8" s="579"/>
      <c r="B8" s="612" t="s">
        <v>3</v>
      </c>
      <c r="C8" s="613" t="s">
        <v>4</v>
      </c>
      <c r="D8" s="613" t="s">
        <v>5</v>
      </c>
      <c r="E8" s="613" t="s">
        <v>6</v>
      </c>
      <c r="F8" s="613" t="s">
        <v>7</v>
      </c>
      <c r="G8" s="613" t="s">
        <v>8</v>
      </c>
      <c r="H8" s="613" t="s">
        <v>35</v>
      </c>
      <c r="I8" s="613" t="s">
        <v>90</v>
      </c>
      <c r="J8" s="613" t="s">
        <v>91</v>
      </c>
      <c r="K8" s="613" t="s">
        <v>38</v>
      </c>
      <c r="L8" s="613" t="s">
        <v>92</v>
      </c>
      <c r="M8" s="614" t="s">
        <v>40</v>
      </c>
      <c r="N8" s="746"/>
      <c r="O8" s="744"/>
      <c r="P8" s="386" t="s">
        <v>212</v>
      </c>
      <c r="Q8" s="746"/>
    </row>
    <row r="9" spans="1:17" s="384" customFormat="1" ht="15.75">
      <c r="A9" s="638" t="s">
        <v>213</v>
      </c>
      <c r="B9" s="576"/>
      <c r="N9" s="470"/>
      <c r="O9" s="387"/>
      <c r="P9" s="387"/>
      <c r="Q9" s="403"/>
    </row>
    <row r="10" spans="1:17" s="384" customFormat="1" ht="12.75">
      <c r="A10" s="634" t="s">
        <v>214</v>
      </c>
      <c r="B10" s="576"/>
      <c r="C10" s="576"/>
      <c r="D10" s="576"/>
      <c r="E10" s="576"/>
      <c r="F10" s="576"/>
      <c r="G10" s="576"/>
      <c r="H10" s="576"/>
      <c r="I10" s="576"/>
      <c r="J10" s="576"/>
      <c r="K10" s="576"/>
      <c r="L10" s="576"/>
      <c r="M10" s="576"/>
      <c r="N10" s="471"/>
      <c r="O10" s="575"/>
      <c r="P10" s="388"/>
      <c r="Q10" s="404"/>
    </row>
    <row r="11" spans="1:17" s="384" customFormat="1" ht="12.75">
      <c r="A11" s="635" t="s">
        <v>215</v>
      </c>
      <c r="B11" s="615">
        <v>42611</v>
      </c>
      <c r="C11" s="611">
        <v>49062</v>
      </c>
      <c r="D11" s="611">
        <v>60541.3</v>
      </c>
      <c r="E11" s="611">
        <v>48725.86</v>
      </c>
      <c r="F11" s="611">
        <v>25727.32</v>
      </c>
      <c r="G11" s="611">
        <v>32493.73</v>
      </c>
      <c r="H11" s="611">
        <v>20048</v>
      </c>
      <c r="I11" s="611">
        <v>46782.59</v>
      </c>
      <c r="J11" s="611">
        <v>0</v>
      </c>
      <c r="K11" s="611">
        <v>0</v>
      </c>
      <c r="L11" s="611">
        <v>0</v>
      </c>
      <c r="M11" s="617">
        <v>0</v>
      </c>
      <c r="N11" s="628">
        <v>695389.41999999993</v>
      </c>
      <c r="O11" s="628">
        <f t="shared" ref="O11:O23" si="0">SUM(B11:M11)+N11</f>
        <v>1021381.2199999999</v>
      </c>
      <c r="P11" s="387"/>
      <c r="Q11" s="619">
        <v>857842</v>
      </c>
    </row>
    <row r="12" spans="1:17" s="384" customFormat="1" ht="12.75">
      <c r="A12" s="635" t="s">
        <v>216</v>
      </c>
      <c r="B12" s="616">
        <v>630.88</v>
      </c>
      <c r="C12" s="618">
        <v>0</v>
      </c>
      <c r="D12" s="618">
        <v>1.63</v>
      </c>
      <c r="E12" s="618">
        <v>240.14</v>
      </c>
      <c r="F12" s="618">
        <v>68.02</v>
      </c>
      <c r="G12" s="618">
        <v>1407.06</v>
      </c>
      <c r="H12" s="618">
        <v>394.12000000000018</v>
      </c>
      <c r="I12" s="618">
        <v>1076.3999999999999</v>
      </c>
      <c r="J12" s="618">
        <v>0</v>
      </c>
      <c r="K12" s="618">
        <v>0</v>
      </c>
      <c r="L12" s="618">
        <v>0</v>
      </c>
      <c r="M12" s="619">
        <v>0</v>
      </c>
      <c r="N12" s="631">
        <v>7805.91</v>
      </c>
      <c r="O12" s="629">
        <f t="shared" si="0"/>
        <v>11624.16</v>
      </c>
      <c r="P12" s="632"/>
      <c r="Q12" s="633">
        <v>35302</v>
      </c>
    </row>
    <row r="13" spans="1:17" s="384" customFormat="1" ht="14.25">
      <c r="A13" s="635" t="s">
        <v>217</v>
      </c>
      <c r="B13" s="616">
        <v>0</v>
      </c>
      <c r="C13" s="618">
        <v>0</v>
      </c>
      <c r="D13" s="618">
        <v>0</v>
      </c>
      <c r="E13" s="618">
        <v>560</v>
      </c>
      <c r="F13" s="618">
        <v>-560</v>
      </c>
      <c r="G13" s="618">
        <v>0</v>
      </c>
      <c r="H13" s="618">
        <v>0</v>
      </c>
      <c r="I13" s="618">
        <v>0</v>
      </c>
      <c r="J13" s="618">
        <v>0</v>
      </c>
      <c r="K13" s="618">
        <v>0</v>
      </c>
      <c r="L13" s="618">
        <v>0</v>
      </c>
      <c r="M13" s="619">
        <v>0</v>
      </c>
      <c r="N13" s="629">
        <v>0</v>
      </c>
      <c r="O13" s="629">
        <f t="shared" si="0"/>
        <v>0</v>
      </c>
      <c r="P13" s="627"/>
      <c r="Q13" s="619">
        <v>1000</v>
      </c>
    </row>
    <row r="14" spans="1:17" s="384" customFormat="1" ht="12.75">
      <c r="A14" s="635" t="s">
        <v>218</v>
      </c>
      <c r="B14" s="616">
        <v>1254.17</v>
      </c>
      <c r="C14" s="618">
        <v>0</v>
      </c>
      <c r="D14" s="618">
        <v>3.26</v>
      </c>
      <c r="E14" s="618">
        <v>477.39</v>
      </c>
      <c r="F14" s="618">
        <v>135.51</v>
      </c>
      <c r="G14" s="618">
        <v>2797.1399999999994</v>
      </c>
      <c r="H14" s="618">
        <v>734.68000000000029</v>
      </c>
      <c r="I14" s="618">
        <v>3.75</v>
      </c>
      <c r="J14" s="618">
        <v>0</v>
      </c>
      <c r="K14" s="618">
        <v>0</v>
      </c>
      <c r="L14" s="618">
        <v>0</v>
      </c>
      <c r="M14" s="619">
        <v>0</v>
      </c>
      <c r="N14" s="629">
        <v>4889.6399999999994</v>
      </c>
      <c r="O14" s="629">
        <f t="shared" si="0"/>
        <v>10295.539999999999</v>
      </c>
      <c r="P14" s="627"/>
      <c r="Q14" s="619">
        <v>78149</v>
      </c>
    </row>
    <row r="15" spans="1:17" s="384" customFormat="1" ht="12.75">
      <c r="A15" s="635" t="s">
        <v>219</v>
      </c>
      <c r="B15" s="616">
        <v>3373.82</v>
      </c>
      <c r="C15" s="618">
        <v>0</v>
      </c>
      <c r="D15" s="618">
        <v>6.52</v>
      </c>
      <c r="E15" s="618">
        <v>1183.3399999999999</v>
      </c>
      <c r="F15" s="618">
        <v>314.45999999999998</v>
      </c>
      <c r="G15" s="618">
        <v>6933.54</v>
      </c>
      <c r="H15" s="618">
        <v>2258.17</v>
      </c>
      <c r="I15" s="618">
        <v>1779.61</v>
      </c>
      <c r="J15" s="618">
        <v>0</v>
      </c>
      <c r="K15" s="618">
        <v>0</v>
      </c>
      <c r="L15" s="618">
        <v>0</v>
      </c>
      <c r="M15" s="619">
        <v>0</v>
      </c>
      <c r="N15" s="631">
        <v>49396.569999999992</v>
      </c>
      <c r="O15" s="629">
        <f t="shared" si="0"/>
        <v>65246.029999999992</v>
      </c>
      <c r="P15" s="632"/>
      <c r="Q15" s="633">
        <f>606299/2</f>
        <v>303149.5</v>
      </c>
    </row>
    <row r="16" spans="1:17" s="384" customFormat="1" ht="12.75">
      <c r="A16" s="635" t="s">
        <v>220</v>
      </c>
      <c r="B16" s="616">
        <v>7258.97</v>
      </c>
      <c r="C16" s="618">
        <v>8382.0300000000007</v>
      </c>
      <c r="D16" s="618">
        <v>16.309999999999999</v>
      </c>
      <c r="E16" s="618">
        <v>12221.68</v>
      </c>
      <c r="F16" s="618">
        <v>749.03</v>
      </c>
      <c r="G16" s="618">
        <v>16565.89</v>
      </c>
      <c r="H16" s="618">
        <v>4346.7499999999982</v>
      </c>
      <c r="I16" s="618">
        <v>4156.58</v>
      </c>
      <c r="J16" s="618">
        <v>0</v>
      </c>
      <c r="K16" s="618">
        <v>0</v>
      </c>
      <c r="L16" s="618">
        <v>0</v>
      </c>
      <c r="M16" s="619">
        <v>0</v>
      </c>
      <c r="N16" s="629">
        <v>30843.66</v>
      </c>
      <c r="O16" s="629">
        <f t="shared" si="0"/>
        <v>84540.9</v>
      </c>
      <c r="P16" s="627"/>
      <c r="Q16" s="619">
        <v>303150</v>
      </c>
    </row>
    <row r="17" spans="1:122" s="384" customFormat="1" ht="14.25">
      <c r="A17" s="635" t="s">
        <v>221</v>
      </c>
      <c r="B17" s="616">
        <v>34234</v>
      </c>
      <c r="C17" s="618">
        <v>527</v>
      </c>
      <c r="D17" s="618">
        <v>22944.47</v>
      </c>
      <c r="E17" s="618">
        <v>-18736.37</v>
      </c>
      <c r="F17" s="618">
        <v>-21404.05</v>
      </c>
      <c r="G17" s="618">
        <v>24946.959999999999</v>
      </c>
      <c r="H17" s="618">
        <v>6581.54</v>
      </c>
      <c r="I17" s="618">
        <v>6374.9999999999991</v>
      </c>
      <c r="J17" s="618">
        <v>0</v>
      </c>
      <c r="K17" s="618">
        <v>0</v>
      </c>
      <c r="L17" s="618">
        <v>0</v>
      </c>
      <c r="M17" s="619">
        <v>0</v>
      </c>
      <c r="N17" s="629">
        <v>73279.320000000007</v>
      </c>
      <c r="O17" s="629">
        <f t="shared" si="0"/>
        <v>128747.87000000002</v>
      </c>
      <c r="P17" s="627"/>
      <c r="Q17" s="619">
        <v>643043</v>
      </c>
    </row>
    <row r="18" spans="1:122" s="384" customFormat="1" ht="12.75">
      <c r="A18" s="636" t="s">
        <v>222</v>
      </c>
      <c r="B18" s="616">
        <v>5655.16</v>
      </c>
      <c r="C18" s="618">
        <v>0</v>
      </c>
      <c r="D18" s="618">
        <v>11.42</v>
      </c>
      <c r="E18" s="618">
        <v>2152.58</v>
      </c>
      <c r="F18" s="618">
        <v>1382.35</v>
      </c>
      <c r="G18" s="618">
        <v>12612.590000000002</v>
      </c>
      <c r="H18" s="618">
        <v>3386.3399999999992</v>
      </c>
      <c r="I18" s="618">
        <v>3236.72</v>
      </c>
      <c r="J18" s="618">
        <v>0</v>
      </c>
      <c r="K18" s="618">
        <v>0</v>
      </c>
      <c r="L18" s="618">
        <v>0</v>
      </c>
      <c r="M18" s="619">
        <v>0</v>
      </c>
      <c r="N18" s="629">
        <v>21089.97</v>
      </c>
      <c r="O18" s="629">
        <f t="shared" si="0"/>
        <v>49527.130000000005</v>
      </c>
      <c r="P18" s="627"/>
      <c r="Q18" s="619">
        <v>383701</v>
      </c>
    </row>
    <row r="19" spans="1:122" s="384" customFormat="1" ht="14.25">
      <c r="A19" s="636" t="s">
        <v>223</v>
      </c>
      <c r="B19" s="616">
        <v>19845.090000000004</v>
      </c>
      <c r="C19" s="618">
        <v>-31.059999999999988</v>
      </c>
      <c r="D19" s="618">
        <v>42.41</v>
      </c>
      <c r="E19" s="618">
        <v>7172.36</v>
      </c>
      <c r="F19" s="618">
        <v>3025.26</v>
      </c>
      <c r="G19" s="618">
        <v>42362.04</v>
      </c>
      <c r="H19" s="618">
        <v>11487.59</v>
      </c>
      <c r="I19" s="618">
        <v>14193.27</v>
      </c>
      <c r="J19" s="618">
        <v>0</v>
      </c>
      <c r="K19" s="618">
        <v>0</v>
      </c>
      <c r="L19" s="618">
        <v>0</v>
      </c>
      <c r="M19" s="619">
        <v>0</v>
      </c>
      <c r="N19" s="629">
        <v>107380.29999999978</v>
      </c>
      <c r="O19" s="629">
        <f t="shared" si="0"/>
        <v>205477.25999999978</v>
      </c>
      <c r="P19" s="627"/>
      <c r="Q19" s="619">
        <v>1102357</v>
      </c>
    </row>
    <row r="20" spans="1:122" s="384" customFormat="1" ht="14.25">
      <c r="A20" s="636" t="s">
        <v>224</v>
      </c>
      <c r="B20" s="616">
        <v>51094.54</v>
      </c>
      <c r="C20" s="618">
        <v>0</v>
      </c>
      <c r="D20" s="618">
        <v>22977.08</v>
      </c>
      <c r="E20" s="618">
        <v>-12160.02</v>
      </c>
      <c r="F20" s="618">
        <v>-20091.32</v>
      </c>
      <c r="G20" s="618">
        <v>71423.86</v>
      </c>
      <c r="H20" s="618">
        <v>35456.759999999995</v>
      </c>
      <c r="I20" s="618">
        <v>18906.22</v>
      </c>
      <c r="J20" s="618">
        <v>0</v>
      </c>
      <c r="K20" s="618">
        <v>0</v>
      </c>
      <c r="L20" s="618">
        <v>0</v>
      </c>
      <c r="M20" s="619">
        <v>0</v>
      </c>
      <c r="N20" s="629">
        <v>210841.10000000003</v>
      </c>
      <c r="O20" s="629">
        <f t="shared" si="0"/>
        <v>378448.22</v>
      </c>
      <c r="P20" s="627"/>
      <c r="Q20" s="619">
        <v>1653537</v>
      </c>
    </row>
    <row r="21" spans="1:122" s="384" customFormat="1" ht="12.75">
      <c r="A21" s="636" t="s">
        <v>225</v>
      </c>
      <c r="B21" s="616">
        <v>0</v>
      </c>
      <c r="C21" s="618">
        <v>0</v>
      </c>
      <c r="D21" s="618">
        <v>0</v>
      </c>
      <c r="E21" s="618">
        <v>0</v>
      </c>
      <c r="F21" s="618">
        <v>0</v>
      </c>
      <c r="G21" s="618">
        <v>0</v>
      </c>
      <c r="H21" s="618">
        <v>0</v>
      </c>
      <c r="I21" s="618">
        <v>0</v>
      </c>
      <c r="J21" s="618">
        <v>0</v>
      </c>
      <c r="K21" s="618">
        <v>0</v>
      </c>
      <c r="L21" s="618">
        <v>0</v>
      </c>
      <c r="M21" s="619">
        <v>0</v>
      </c>
      <c r="N21" s="629">
        <v>2328.7200000000003</v>
      </c>
      <c r="O21" s="629">
        <f t="shared" si="0"/>
        <v>2328.7200000000003</v>
      </c>
      <c r="P21" s="627"/>
      <c r="Q21" s="619">
        <v>0</v>
      </c>
    </row>
    <row r="22" spans="1:122" s="384" customFormat="1" ht="12.75">
      <c r="A22" s="637" t="s">
        <v>226</v>
      </c>
      <c r="B22" s="616">
        <v>0</v>
      </c>
      <c r="C22" s="618">
        <v>0</v>
      </c>
      <c r="D22" s="618">
        <v>0</v>
      </c>
      <c r="E22" s="618">
        <v>0</v>
      </c>
      <c r="F22" s="618">
        <v>0</v>
      </c>
      <c r="G22" s="618">
        <v>0</v>
      </c>
      <c r="H22" s="618">
        <v>0</v>
      </c>
      <c r="I22" s="618">
        <v>0</v>
      </c>
      <c r="J22" s="618">
        <v>0</v>
      </c>
      <c r="K22" s="618">
        <v>0</v>
      </c>
      <c r="L22" s="618">
        <v>0</v>
      </c>
      <c r="M22" s="619">
        <v>0</v>
      </c>
      <c r="N22" s="629">
        <v>530.37000000000012</v>
      </c>
      <c r="O22" s="629">
        <f t="shared" si="0"/>
        <v>530.37000000000012</v>
      </c>
      <c r="P22" s="627"/>
      <c r="Q22" s="619">
        <v>50000</v>
      </c>
    </row>
    <row r="23" spans="1:122" s="384" customFormat="1" ht="12.75">
      <c r="A23" s="636" t="s">
        <v>227</v>
      </c>
      <c r="B23" s="616">
        <v>0</v>
      </c>
      <c r="C23" s="618">
        <v>0</v>
      </c>
      <c r="D23" s="618">
        <v>0</v>
      </c>
      <c r="E23" s="618">
        <v>0</v>
      </c>
      <c r="F23" s="618">
        <v>0</v>
      </c>
      <c r="G23" s="618">
        <v>0</v>
      </c>
      <c r="H23" s="618">
        <v>0</v>
      </c>
      <c r="I23" s="618">
        <v>0</v>
      </c>
      <c r="J23" s="618">
        <v>0</v>
      </c>
      <c r="K23" s="618">
        <v>0</v>
      </c>
      <c r="L23" s="618">
        <v>0</v>
      </c>
      <c r="M23" s="619">
        <v>0</v>
      </c>
      <c r="N23" s="629">
        <v>0</v>
      </c>
      <c r="O23" s="629">
        <f t="shared" si="0"/>
        <v>0</v>
      </c>
      <c r="P23" s="627"/>
      <c r="Q23" s="619">
        <v>0</v>
      </c>
    </row>
    <row r="24" spans="1:122" s="384" customFormat="1" ht="12.75">
      <c r="A24" s="407"/>
      <c r="B24" s="458"/>
      <c r="C24" s="575"/>
      <c r="D24" s="575"/>
      <c r="E24" s="575"/>
      <c r="F24" s="575"/>
      <c r="G24" s="575"/>
      <c r="H24" s="575"/>
      <c r="I24" s="575"/>
      <c r="J24" s="575"/>
      <c r="K24" s="575"/>
      <c r="L24" s="575"/>
      <c r="M24" s="403"/>
      <c r="N24" s="629"/>
      <c r="O24" s="629"/>
      <c r="P24" s="627"/>
      <c r="Q24" s="619"/>
    </row>
    <row r="25" spans="1:122" s="384" customFormat="1" ht="14.25">
      <c r="A25" s="639" t="s">
        <v>228</v>
      </c>
      <c r="B25" s="458"/>
      <c r="C25" s="575"/>
      <c r="D25" s="575"/>
      <c r="E25" s="575"/>
      <c r="F25" s="575"/>
      <c r="G25" s="575"/>
      <c r="H25" s="575"/>
      <c r="I25" s="575"/>
      <c r="J25" s="575"/>
      <c r="K25" s="575"/>
      <c r="L25" s="575"/>
      <c r="M25" s="403"/>
      <c r="N25" s="629"/>
      <c r="O25" s="629"/>
      <c r="P25" s="627"/>
      <c r="Q25" s="619"/>
    </row>
    <row r="26" spans="1:122" s="384" customFormat="1" ht="12.75">
      <c r="A26" s="640" t="s">
        <v>229</v>
      </c>
      <c r="B26" s="458"/>
      <c r="C26" s="575"/>
      <c r="D26" s="575"/>
      <c r="E26" s="575"/>
      <c r="F26" s="575"/>
      <c r="G26" s="575"/>
      <c r="H26" s="575"/>
      <c r="I26" s="575"/>
      <c r="J26" s="575"/>
      <c r="K26" s="575"/>
      <c r="L26" s="575"/>
      <c r="M26" s="403"/>
      <c r="N26" s="629"/>
      <c r="O26" s="629"/>
      <c r="P26" s="627"/>
      <c r="Q26" s="619"/>
    </row>
    <row r="27" spans="1:122" s="384" customFormat="1" ht="12.75">
      <c r="A27" s="635" t="s">
        <v>230</v>
      </c>
      <c r="B27" s="616">
        <v>0</v>
      </c>
      <c r="C27" s="618">
        <v>0</v>
      </c>
      <c r="D27" s="618">
        <v>0</v>
      </c>
      <c r="E27" s="618">
        <v>0</v>
      </c>
      <c r="F27" s="618">
        <v>0</v>
      </c>
      <c r="G27" s="618">
        <v>0</v>
      </c>
      <c r="H27" s="618">
        <v>0</v>
      </c>
      <c r="I27" s="618">
        <v>0</v>
      </c>
      <c r="J27" s="618">
        <v>0</v>
      </c>
      <c r="K27" s="618">
        <v>0</v>
      </c>
      <c r="L27" s="618">
        <v>0</v>
      </c>
      <c r="M27" s="619">
        <v>0</v>
      </c>
      <c r="N27" s="629">
        <v>0</v>
      </c>
      <c r="O27" s="629">
        <f t="shared" ref="O27:O31" si="1">SUM(B27:M27)</f>
        <v>0</v>
      </c>
      <c r="P27" s="627"/>
      <c r="Q27" s="619"/>
    </row>
    <row r="28" spans="1:122" s="384" customFormat="1" ht="12.75">
      <c r="A28" s="635" t="s">
        <v>231</v>
      </c>
      <c r="B28" s="616">
        <v>0</v>
      </c>
      <c r="C28" s="618">
        <v>0</v>
      </c>
      <c r="D28" s="618">
        <v>0</v>
      </c>
      <c r="E28" s="618">
        <v>0</v>
      </c>
      <c r="F28" s="618">
        <v>0</v>
      </c>
      <c r="G28" s="618">
        <v>0</v>
      </c>
      <c r="H28" s="618">
        <v>0</v>
      </c>
      <c r="I28" s="618">
        <v>0</v>
      </c>
      <c r="J28" s="618">
        <v>0</v>
      </c>
      <c r="K28" s="618">
        <v>0</v>
      </c>
      <c r="L28" s="618">
        <v>0</v>
      </c>
      <c r="M28" s="619">
        <v>0</v>
      </c>
      <c r="N28" s="629">
        <v>0</v>
      </c>
      <c r="O28" s="629">
        <f t="shared" si="1"/>
        <v>0</v>
      </c>
      <c r="P28" s="627"/>
      <c r="Q28" s="619"/>
    </row>
    <row r="29" spans="1:122" s="384" customFormat="1" ht="12.75">
      <c r="A29" s="635" t="s">
        <v>232</v>
      </c>
      <c r="B29" s="616">
        <v>0</v>
      </c>
      <c r="C29" s="618">
        <v>0</v>
      </c>
      <c r="D29" s="618">
        <v>0</v>
      </c>
      <c r="E29" s="618">
        <v>0</v>
      </c>
      <c r="F29" s="618">
        <v>0</v>
      </c>
      <c r="G29" s="618">
        <v>0</v>
      </c>
      <c r="H29" s="618">
        <v>0</v>
      </c>
      <c r="I29" s="618">
        <v>0</v>
      </c>
      <c r="J29" s="618">
        <v>0</v>
      </c>
      <c r="K29" s="618">
        <v>0</v>
      </c>
      <c r="L29" s="618">
        <v>0</v>
      </c>
      <c r="M29" s="619">
        <v>0</v>
      </c>
      <c r="N29" s="629">
        <v>0</v>
      </c>
      <c r="O29" s="629">
        <f t="shared" si="1"/>
        <v>0</v>
      </c>
      <c r="P29" s="627"/>
      <c r="Q29" s="619"/>
    </row>
    <row r="30" spans="1:122" s="384" customFormat="1" ht="12.75">
      <c r="A30" s="635" t="s">
        <v>233</v>
      </c>
      <c r="B30" s="616">
        <v>0</v>
      </c>
      <c r="C30" s="618">
        <v>0</v>
      </c>
      <c r="D30" s="618">
        <v>0</v>
      </c>
      <c r="E30" s="618">
        <v>0</v>
      </c>
      <c r="F30" s="618">
        <v>0</v>
      </c>
      <c r="G30" s="618">
        <v>0</v>
      </c>
      <c r="H30" s="618">
        <v>0</v>
      </c>
      <c r="I30" s="618">
        <v>0</v>
      </c>
      <c r="J30" s="618">
        <v>0</v>
      </c>
      <c r="K30" s="618">
        <v>0</v>
      </c>
      <c r="L30" s="618">
        <v>0</v>
      </c>
      <c r="M30" s="619">
        <v>0</v>
      </c>
      <c r="N30" s="629">
        <v>0</v>
      </c>
      <c r="O30" s="629">
        <f t="shared" si="1"/>
        <v>0</v>
      </c>
      <c r="P30" s="627"/>
      <c r="Q30" s="619"/>
    </row>
    <row r="31" spans="1:122" s="384" customFormat="1" ht="12.75">
      <c r="A31" s="635" t="s">
        <v>234</v>
      </c>
      <c r="B31" s="620">
        <v>0</v>
      </c>
      <c r="C31" s="621">
        <v>0</v>
      </c>
      <c r="D31" s="621">
        <v>0</v>
      </c>
      <c r="E31" s="621">
        <v>0</v>
      </c>
      <c r="F31" s="621">
        <v>0</v>
      </c>
      <c r="G31" s="621">
        <v>0</v>
      </c>
      <c r="H31" s="621">
        <v>0</v>
      </c>
      <c r="I31" s="621">
        <v>0</v>
      </c>
      <c r="J31" s="621">
        <v>0</v>
      </c>
      <c r="K31" s="621">
        <v>0</v>
      </c>
      <c r="L31" s="621">
        <v>0</v>
      </c>
      <c r="M31" s="622">
        <v>0</v>
      </c>
      <c r="N31" s="630">
        <v>0</v>
      </c>
      <c r="O31" s="630">
        <f t="shared" si="1"/>
        <v>0</v>
      </c>
      <c r="P31" s="627"/>
      <c r="Q31" s="619"/>
    </row>
    <row r="32" spans="1:122" s="389" customFormat="1" ht="15.75">
      <c r="A32" s="641" t="s">
        <v>235</v>
      </c>
      <c r="B32" s="623">
        <f>SUM(B11:B31)</f>
        <v>165957.63</v>
      </c>
      <c r="C32" s="624">
        <f t="shared" ref="C32:O32" si="2">SUM(C11:C31)</f>
        <v>57939.97</v>
      </c>
      <c r="D32" s="624">
        <f t="shared" si="2"/>
        <v>106544.4</v>
      </c>
      <c r="E32" s="624">
        <f t="shared" si="2"/>
        <v>41836.959999999992</v>
      </c>
      <c r="F32" s="624">
        <f t="shared" si="2"/>
        <v>-10653.420000000002</v>
      </c>
      <c r="G32" s="624">
        <f t="shared" si="2"/>
        <v>211542.81</v>
      </c>
      <c r="H32" s="624">
        <f t="shared" si="2"/>
        <v>84693.95</v>
      </c>
      <c r="I32" s="624">
        <f t="shared" si="2"/>
        <v>96510.14</v>
      </c>
      <c r="J32" s="624">
        <f t="shared" si="2"/>
        <v>0</v>
      </c>
      <c r="K32" s="624">
        <f t="shared" si="2"/>
        <v>0</v>
      </c>
      <c r="L32" s="624">
        <f t="shared" si="2"/>
        <v>0</v>
      </c>
      <c r="M32" s="624">
        <f t="shared" si="2"/>
        <v>0</v>
      </c>
      <c r="N32" s="624">
        <v>1203774.98</v>
      </c>
      <c r="O32" s="624">
        <f t="shared" si="2"/>
        <v>1958147.42</v>
      </c>
      <c r="P32" s="436"/>
      <c r="Q32" s="437"/>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CP32" s="384"/>
      <c r="CQ32" s="384"/>
      <c r="CR32" s="384"/>
      <c r="CS32" s="384"/>
      <c r="CT32" s="384"/>
      <c r="CU32" s="384"/>
      <c r="CV32" s="384"/>
      <c r="CW32" s="384"/>
      <c r="CX32" s="384"/>
      <c r="CY32" s="384"/>
      <c r="CZ32" s="384"/>
      <c r="DA32" s="384"/>
      <c r="DB32" s="384"/>
      <c r="DC32" s="384"/>
      <c r="DD32" s="384"/>
      <c r="DE32" s="384"/>
      <c r="DF32" s="384"/>
      <c r="DG32" s="384"/>
      <c r="DH32" s="384"/>
      <c r="DI32" s="384"/>
      <c r="DJ32" s="384"/>
      <c r="DK32" s="384"/>
      <c r="DL32" s="384"/>
      <c r="DM32" s="384"/>
      <c r="DN32" s="384"/>
      <c r="DO32" s="384"/>
      <c r="DP32" s="384"/>
      <c r="DQ32" s="384"/>
      <c r="DR32" s="384"/>
    </row>
    <row r="33" spans="1:17" s="384" customFormat="1" ht="12.75">
      <c r="A33" s="408"/>
      <c r="B33" s="458"/>
      <c r="C33" s="387"/>
      <c r="D33" s="387"/>
      <c r="E33" s="387"/>
      <c r="F33" s="387"/>
      <c r="G33" s="387"/>
      <c r="H33" s="387"/>
      <c r="I33" s="387"/>
      <c r="J33" s="387"/>
      <c r="K33" s="387"/>
      <c r="L33" s="387"/>
      <c r="M33" s="387"/>
      <c r="N33" s="387"/>
      <c r="O33" s="387"/>
      <c r="P33" s="387"/>
      <c r="Q33" s="403"/>
    </row>
    <row r="34" spans="1:17" s="384" customFormat="1" ht="15.75">
      <c r="A34" s="642" t="s">
        <v>236</v>
      </c>
      <c r="B34" s="458"/>
      <c r="C34" s="575"/>
      <c r="D34" s="575"/>
      <c r="E34" s="575"/>
      <c r="F34" s="575"/>
      <c r="G34" s="575"/>
      <c r="H34" s="575"/>
      <c r="I34" s="575"/>
      <c r="J34" s="575"/>
      <c r="K34" s="575"/>
      <c r="L34" s="575"/>
      <c r="M34" s="575"/>
      <c r="N34" s="388"/>
      <c r="O34" s="575"/>
      <c r="P34" s="387"/>
      <c r="Q34" s="404"/>
    </row>
    <row r="35" spans="1:17" s="384" customFormat="1" ht="12.75">
      <c r="A35" s="636" t="s">
        <v>230</v>
      </c>
      <c r="B35" s="615">
        <v>0</v>
      </c>
      <c r="C35" s="611">
        <v>0</v>
      </c>
      <c r="D35" s="611">
        <v>0</v>
      </c>
      <c r="E35" s="611">
        <v>0</v>
      </c>
      <c r="F35" s="611">
        <v>0</v>
      </c>
      <c r="G35" s="611">
        <v>0</v>
      </c>
      <c r="H35" s="611">
        <v>0</v>
      </c>
      <c r="I35" s="611">
        <v>0</v>
      </c>
      <c r="J35" s="611">
        <v>0</v>
      </c>
      <c r="K35" s="611">
        <v>0</v>
      </c>
      <c r="L35" s="611">
        <v>0</v>
      </c>
      <c r="M35" s="617">
        <v>0</v>
      </c>
      <c r="N35" s="615">
        <v>0</v>
      </c>
      <c r="O35" s="617">
        <f>SUM(B35:M35)+N35</f>
        <v>0</v>
      </c>
      <c r="P35" s="387"/>
      <c r="Q35" s="403"/>
    </row>
    <row r="36" spans="1:17" s="384" customFormat="1" ht="12.75">
      <c r="A36" s="635" t="s">
        <v>231</v>
      </c>
      <c r="B36" s="616">
        <v>0</v>
      </c>
      <c r="C36" s="618">
        <v>8382.0300000000007</v>
      </c>
      <c r="D36" s="618">
        <v>163.1</v>
      </c>
      <c r="E36" s="618">
        <v>1831.8200000000002</v>
      </c>
      <c r="F36" s="618">
        <v>3469.83</v>
      </c>
      <c r="G36" s="618">
        <v>9187.86</v>
      </c>
      <c r="H36" s="618">
        <v>5279.32</v>
      </c>
      <c r="I36" s="618">
        <v>269.14</v>
      </c>
      <c r="J36" s="618">
        <v>0</v>
      </c>
      <c r="K36" s="618">
        <v>0</v>
      </c>
      <c r="L36" s="618">
        <v>0</v>
      </c>
      <c r="M36" s="619">
        <v>0</v>
      </c>
      <c r="N36" s="616">
        <v>79345.81</v>
      </c>
      <c r="O36" s="619">
        <f>SUM(B36:M36)+N36</f>
        <v>107928.91</v>
      </c>
      <c r="P36" s="387"/>
      <c r="Q36" s="403"/>
    </row>
    <row r="37" spans="1:17" s="384" customFormat="1" ht="12.75">
      <c r="A37" s="635" t="s">
        <v>232</v>
      </c>
      <c r="B37" s="616">
        <v>27234.080000000002</v>
      </c>
      <c r="C37" s="618">
        <v>30339.049999999996</v>
      </c>
      <c r="D37" s="618">
        <v>32484.85</v>
      </c>
      <c r="E37" s="618">
        <v>41442.11</v>
      </c>
      <c r="F37" s="618">
        <v>29594.639999999999</v>
      </c>
      <c r="G37" s="618">
        <v>25124.799999999996</v>
      </c>
      <c r="H37" s="618">
        <v>17859.189999999999</v>
      </c>
      <c r="I37" s="618">
        <v>38002.550000000003</v>
      </c>
      <c r="J37" s="618">
        <v>0</v>
      </c>
      <c r="K37" s="618">
        <v>0</v>
      </c>
      <c r="L37" s="618">
        <v>0</v>
      </c>
      <c r="M37" s="619">
        <v>0</v>
      </c>
      <c r="N37" s="616">
        <v>423225.05999999982</v>
      </c>
      <c r="O37" s="619">
        <f>SUM(B37:M37)+N37</f>
        <v>665306.32999999984</v>
      </c>
      <c r="Q37" s="405"/>
    </row>
    <row r="38" spans="1:17" s="384" customFormat="1" ht="12.75">
      <c r="A38" s="635" t="s">
        <v>237</v>
      </c>
      <c r="B38" s="616">
        <v>76540.19</v>
      </c>
      <c r="C38" s="618">
        <v>11777</v>
      </c>
      <c r="D38" s="618">
        <v>0</v>
      </c>
      <c r="E38" s="618">
        <v>41133.17</v>
      </c>
      <c r="F38" s="618">
        <v>14499.93</v>
      </c>
      <c r="G38" s="618">
        <v>171375.6</v>
      </c>
      <c r="H38" s="618">
        <v>45774.560000000005</v>
      </c>
      <c r="I38" s="618">
        <v>45621.270000000004</v>
      </c>
      <c r="J38" s="618">
        <v>0</v>
      </c>
      <c r="K38" s="618">
        <v>0</v>
      </c>
      <c r="L38" s="618">
        <v>0</v>
      </c>
      <c r="M38" s="619">
        <v>0</v>
      </c>
      <c r="N38" s="616">
        <v>378002</v>
      </c>
      <c r="O38" s="619">
        <f>SUM(B38:M38)+N38</f>
        <v>784723.72</v>
      </c>
      <c r="Q38" s="405"/>
    </row>
    <row r="39" spans="1:17" s="384" customFormat="1" ht="14.25">
      <c r="A39" s="635" t="s">
        <v>238</v>
      </c>
      <c r="B39" s="620">
        <v>62183.67</v>
      </c>
      <c r="C39" s="621">
        <v>7442.25</v>
      </c>
      <c r="D39" s="621">
        <v>73896.45</v>
      </c>
      <c r="E39" s="621">
        <v>-42570.15</v>
      </c>
      <c r="F39" s="621">
        <v>-58217.82</v>
      </c>
      <c r="G39" s="621">
        <v>5854.47</v>
      </c>
      <c r="H39" s="621">
        <v>15780.800000000001</v>
      </c>
      <c r="I39" s="621">
        <v>12617.13</v>
      </c>
      <c r="J39" s="621">
        <v>0</v>
      </c>
      <c r="K39" s="621">
        <v>0</v>
      </c>
      <c r="L39" s="621">
        <v>0</v>
      </c>
      <c r="M39" s="622">
        <v>0</v>
      </c>
      <c r="N39" s="620">
        <v>323204.55999999994</v>
      </c>
      <c r="O39" s="622">
        <f>SUM(B39:M39)+N39</f>
        <v>400191.35999999993</v>
      </c>
      <c r="Q39" s="405"/>
    </row>
    <row r="40" spans="1:17" s="384" customFormat="1" ht="15.75">
      <c r="A40" s="641" t="s">
        <v>239</v>
      </c>
      <c r="B40" s="625">
        <f>SUM(B35:B39)</f>
        <v>165957.94</v>
      </c>
      <c r="C40" s="626">
        <f t="shared" ref="C40:M40" si="3">SUM(C35:C39)</f>
        <v>57940.329999999994</v>
      </c>
      <c r="D40" s="626">
        <f t="shared" si="3"/>
        <v>106544.4</v>
      </c>
      <c r="E40" s="626">
        <f t="shared" si="3"/>
        <v>41836.950000000004</v>
      </c>
      <c r="F40" s="626">
        <f t="shared" si="3"/>
        <v>-10653.419999999998</v>
      </c>
      <c r="G40" s="626">
        <f t="shared" si="3"/>
        <v>211542.73</v>
      </c>
      <c r="H40" s="626">
        <f t="shared" si="3"/>
        <v>84693.87000000001</v>
      </c>
      <c r="I40" s="626">
        <f t="shared" si="3"/>
        <v>96510.090000000011</v>
      </c>
      <c r="J40" s="626">
        <f t="shared" si="3"/>
        <v>0</v>
      </c>
      <c r="K40" s="626">
        <f t="shared" si="3"/>
        <v>0</v>
      </c>
      <c r="L40" s="626">
        <f t="shared" si="3"/>
        <v>0</v>
      </c>
      <c r="M40" s="626">
        <f t="shared" si="3"/>
        <v>0</v>
      </c>
      <c r="N40" s="624">
        <v>1203777.4299999997</v>
      </c>
      <c r="O40" s="626">
        <f>SUM(O35:O39)</f>
        <v>1958150.3199999998</v>
      </c>
      <c r="P40" s="438"/>
      <c r="Q40" s="439"/>
    </row>
    <row r="41" spans="1:17" s="384" customFormat="1" ht="12.75">
      <c r="A41" s="409"/>
      <c r="B41" s="460"/>
      <c r="C41" s="390"/>
      <c r="D41" s="390"/>
      <c r="E41" s="390"/>
      <c r="F41" s="390"/>
      <c r="G41" s="390"/>
      <c r="H41" s="390"/>
      <c r="I41" s="390"/>
      <c r="J41" s="390"/>
      <c r="K41" s="390"/>
      <c r="L41" s="390"/>
      <c r="M41" s="390"/>
      <c r="N41" s="390"/>
      <c r="O41" s="390"/>
      <c r="P41" s="391"/>
      <c r="Q41" s="406"/>
    </row>
    <row r="42" spans="1:17" s="384" customFormat="1" ht="15.75">
      <c r="A42" s="642" t="s">
        <v>240</v>
      </c>
      <c r="B42" s="459"/>
      <c r="C42" s="388"/>
      <c r="D42" s="388"/>
      <c r="E42" s="388"/>
      <c r="F42" s="388"/>
      <c r="G42" s="388"/>
      <c r="H42" s="388"/>
      <c r="I42" s="388"/>
      <c r="J42" s="388"/>
      <c r="K42" s="388"/>
      <c r="L42" s="388"/>
      <c r="M42" s="388"/>
      <c r="N42" s="388"/>
      <c r="O42" s="388"/>
      <c r="P42" s="387"/>
      <c r="Q42" s="404"/>
    </row>
    <row r="43" spans="1:17" s="384" customFormat="1" ht="14.25">
      <c r="A43" s="635" t="s">
        <v>241</v>
      </c>
      <c r="B43" s="616">
        <v>0</v>
      </c>
      <c r="C43" s="627">
        <v>0</v>
      </c>
      <c r="D43" s="627">
        <v>0</v>
      </c>
      <c r="E43" s="627">
        <v>184.8</v>
      </c>
      <c r="F43" s="627">
        <v>-184.8</v>
      </c>
      <c r="G43" s="627">
        <v>0</v>
      </c>
      <c r="H43" s="627">
        <v>0</v>
      </c>
      <c r="I43" s="627">
        <v>0</v>
      </c>
      <c r="J43" s="627">
        <v>0</v>
      </c>
      <c r="K43" s="627">
        <v>0</v>
      </c>
      <c r="L43" s="627">
        <v>0</v>
      </c>
      <c r="M43" s="627">
        <v>0</v>
      </c>
      <c r="N43" s="628">
        <v>0</v>
      </c>
      <c r="O43" s="628">
        <f>SUM(B43:M43)+N43</f>
        <v>0</v>
      </c>
      <c r="P43" s="387"/>
      <c r="Q43" s="403"/>
    </row>
    <row r="44" spans="1:17" s="384" customFormat="1" ht="12.75">
      <c r="A44" s="636" t="s">
        <v>242</v>
      </c>
      <c r="B44" s="616">
        <v>44261.16</v>
      </c>
      <c r="C44" s="627">
        <v>16033.669999999996</v>
      </c>
      <c r="D44" s="627">
        <v>18681.82</v>
      </c>
      <c r="E44" s="627">
        <v>21278.73</v>
      </c>
      <c r="F44" s="627">
        <v>10276.61</v>
      </c>
      <c r="G44" s="627">
        <v>70006.349999999991</v>
      </c>
      <c r="H44" s="627">
        <v>23021.87</v>
      </c>
      <c r="I44" s="627">
        <v>33348.720000000001</v>
      </c>
      <c r="J44" s="627">
        <v>0</v>
      </c>
      <c r="K44" s="627">
        <v>0</v>
      </c>
      <c r="L44" s="627">
        <v>0</v>
      </c>
      <c r="M44" s="627">
        <v>0</v>
      </c>
      <c r="N44" s="629">
        <v>344660.9699999998</v>
      </c>
      <c r="O44" s="629">
        <f>SUM(B44:M44)+N44</f>
        <v>581569.89999999979</v>
      </c>
      <c r="P44" s="387"/>
      <c r="Q44" s="403"/>
    </row>
    <row r="45" spans="1:17" s="384" customFormat="1" ht="14.25" customHeight="1">
      <c r="A45" s="635" t="s">
        <v>243</v>
      </c>
      <c r="B45" s="616">
        <v>43677.31</v>
      </c>
      <c r="C45" s="627">
        <v>16064.759999999997</v>
      </c>
      <c r="D45" s="627">
        <v>30114.93</v>
      </c>
      <c r="E45" s="627">
        <v>5639.3200000000015</v>
      </c>
      <c r="F45" s="627">
        <v>-4250.1499999999996</v>
      </c>
      <c r="G45" s="627">
        <v>49336.68</v>
      </c>
      <c r="H45" s="627">
        <v>25482.279999999995</v>
      </c>
      <c r="I45" s="627">
        <v>24295.480000000003</v>
      </c>
      <c r="J45" s="627">
        <v>0</v>
      </c>
      <c r="K45" s="627">
        <v>0</v>
      </c>
      <c r="L45" s="627">
        <v>0</v>
      </c>
      <c r="M45" s="627">
        <v>0</v>
      </c>
      <c r="N45" s="629">
        <v>314336.88999999996</v>
      </c>
      <c r="O45" s="629">
        <f>SUM(B45:M45)+N45</f>
        <v>504697.5</v>
      </c>
      <c r="P45" s="387"/>
      <c r="Q45" s="403"/>
    </row>
    <row r="46" spans="1:17" s="384" customFormat="1" ht="14.25">
      <c r="A46" s="635" t="s">
        <v>244</v>
      </c>
      <c r="B46" s="616">
        <v>78019.45</v>
      </c>
      <c r="C46" s="627">
        <v>25841.9</v>
      </c>
      <c r="D46" s="627">
        <v>57747.65</v>
      </c>
      <c r="E46" s="627">
        <v>14734.110000000006</v>
      </c>
      <c r="F46" s="627">
        <v>-16495.080000000002</v>
      </c>
      <c r="G46" s="627">
        <v>92199.78</v>
      </c>
      <c r="H46" s="627">
        <v>36189.799999999996</v>
      </c>
      <c r="I46" s="627">
        <v>38865.94000000001</v>
      </c>
      <c r="J46" s="627">
        <v>0</v>
      </c>
      <c r="K46" s="627">
        <v>0</v>
      </c>
      <c r="L46" s="627">
        <v>0</v>
      </c>
      <c r="M46" s="627">
        <v>0</v>
      </c>
      <c r="N46" s="630">
        <v>544778.64</v>
      </c>
      <c r="O46" s="630">
        <f>SUM(B46:M46)+N46</f>
        <v>871882.19000000006</v>
      </c>
      <c r="Q46" s="405"/>
    </row>
    <row r="47" spans="1:17" s="384" customFormat="1" ht="15.75">
      <c r="A47" s="641" t="s">
        <v>245</v>
      </c>
      <c r="B47" s="623">
        <f t="shared" ref="B47:M47" si="4">SUM(B43:B46)</f>
        <v>165957.91999999998</v>
      </c>
      <c r="C47" s="624">
        <f t="shared" si="4"/>
        <v>57940.329999999994</v>
      </c>
      <c r="D47" s="624">
        <f>SUM(D43:D46)</f>
        <v>106544.4</v>
      </c>
      <c r="E47" s="624">
        <f t="shared" si="4"/>
        <v>41836.960000000006</v>
      </c>
      <c r="F47" s="624">
        <f t="shared" si="4"/>
        <v>-10653.42</v>
      </c>
      <c r="G47" s="624">
        <f t="shared" si="4"/>
        <v>211542.81</v>
      </c>
      <c r="H47" s="624">
        <f t="shared" si="4"/>
        <v>84693.949999999983</v>
      </c>
      <c r="I47" s="624">
        <f t="shared" si="4"/>
        <v>96510.140000000014</v>
      </c>
      <c r="J47" s="624">
        <f t="shared" si="4"/>
        <v>0</v>
      </c>
      <c r="K47" s="624">
        <f t="shared" si="4"/>
        <v>0</v>
      </c>
      <c r="L47" s="624">
        <f t="shared" si="4"/>
        <v>0</v>
      </c>
      <c r="M47" s="624">
        <f t="shared" si="4"/>
        <v>0</v>
      </c>
      <c r="N47" s="624">
        <v>1203776.4999999998</v>
      </c>
      <c r="O47" s="624">
        <f>SUM(O43:O46)</f>
        <v>1958149.5899999999</v>
      </c>
      <c r="P47" s="436">
        <f>SUM(P43:P46)</f>
        <v>0</v>
      </c>
      <c r="Q47" s="439"/>
    </row>
    <row r="48" spans="1:17" s="384" customFormat="1" ht="12.75">
      <c r="B48" s="387"/>
      <c r="C48" s="387"/>
      <c r="D48" s="387"/>
      <c r="E48" s="387"/>
      <c r="F48" s="387"/>
      <c r="G48" s="387"/>
      <c r="H48" s="387"/>
      <c r="I48" s="387"/>
      <c r="J48" s="387"/>
      <c r="K48" s="387"/>
      <c r="L48" s="387"/>
      <c r="M48" s="387"/>
      <c r="O48" s="387"/>
      <c r="P48" s="387"/>
      <c r="Q48" s="387"/>
    </row>
    <row r="49" spans="1:17" s="384" customFormat="1" ht="12.75">
      <c r="A49" s="392" t="s">
        <v>43</v>
      </c>
      <c r="B49" s="393"/>
      <c r="C49" s="393"/>
      <c r="D49" s="393"/>
      <c r="E49" s="393"/>
      <c r="F49" s="393"/>
      <c r="G49" s="393"/>
      <c r="H49" s="393"/>
      <c r="I49" s="393"/>
      <c r="J49" s="393"/>
      <c r="K49" s="393"/>
      <c r="L49" s="393"/>
      <c r="M49" s="393"/>
      <c r="N49" s="392"/>
      <c r="O49" s="393"/>
      <c r="P49" s="393"/>
      <c r="Q49" s="393"/>
    </row>
    <row r="50" spans="1:17" ht="16.5">
      <c r="A50" s="472" t="s">
        <v>246</v>
      </c>
      <c r="D50" s="341"/>
      <c r="E50" s="245"/>
      <c r="F50" s="341"/>
      <c r="N50" s="472"/>
    </row>
    <row r="51" spans="1:17" ht="16.5">
      <c r="A51" s="472" t="s">
        <v>247</v>
      </c>
      <c r="D51" s="341"/>
      <c r="E51" s="245"/>
      <c r="F51" s="341"/>
      <c r="N51" s="472"/>
    </row>
    <row r="52" spans="1:17" ht="16.5">
      <c r="A52" s="472" t="s">
        <v>248</v>
      </c>
      <c r="D52" s="341"/>
      <c r="E52" s="245"/>
      <c r="F52" s="341"/>
      <c r="N52" s="472"/>
    </row>
    <row r="53" spans="1:17" ht="15">
      <c r="A53" s="472" t="s">
        <v>85</v>
      </c>
      <c r="D53" s="341"/>
      <c r="E53" s="245"/>
      <c r="F53" s="341"/>
      <c r="N53" s="283"/>
    </row>
    <row r="54" spans="1:17" ht="16.5">
      <c r="A54" s="283" t="s">
        <v>51</v>
      </c>
      <c r="D54" s="341"/>
      <c r="E54" s="245"/>
      <c r="F54" s="341"/>
      <c r="N54" s="512"/>
    </row>
    <row r="55" spans="1:17">
      <c r="E55" s="346"/>
      <c r="F55" s="341"/>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8 of 12
&amp;A
&amp;D  &amp;T
</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bf079a2-8838-46e4-a25e-754293e27338">
      <UserInfo>
        <DisplayName>Valdivieso, Guillermo</DisplayName>
        <AccountId>212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6A178DBBAEAD4A9FF98983B80ABD98" ma:contentTypeVersion="11" ma:contentTypeDescription="Create a new document." ma:contentTypeScope="" ma:versionID="0c8cc9297f549d1e19723e9215edf5de">
  <xsd:schema xmlns:xsd="http://www.w3.org/2001/XMLSchema" xmlns:xs="http://www.w3.org/2001/XMLSchema" xmlns:p="http://schemas.microsoft.com/office/2006/metadata/properties" xmlns:ns2="23f0c027-30bf-4053-a099-2f7893e59033" xmlns:ns3="9bf079a2-8838-46e4-a25e-754293e27338" targetNamespace="http://schemas.microsoft.com/office/2006/metadata/properties" ma:root="true" ma:fieldsID="d7920d3f9e155f7581e4154e4e238ccf" ns2:_="" ns3:_="">
    <xsd:import namespace="23f0c027-30bf-4053-a099-2f7893e59033"/>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0c027-30bf-4053-a099-2f7893e59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2.xml><?xml version="1.0" encoding="utf-8"?>
<ds:datastoreItem xmlns:ds="http://schemas.openxmlformats.org/officeDocument/2006/customXml" ds:itemID="{5B9CE5A5-034A-44C5-96B1-1FD952A1C468}">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9bf079a2-8838-46e4-a25e-754293e27338"/>
    <ds:schemaRef ds:uri="23f0c027-30bf-4053-a099-2f7893e59033"/>
    <ds:schemaRef ds:uri="http://www.w3.org/XML/1998/namespace"/>
    <ds:schemaRef ds:uri="http://purl.org/dc/elements/1.1/"/>
  </ds:schemaRefs>
</ds:datastoreItem>
</file>

<file path=customXml/itemProps3.xml><?xml version="1.0" encoding="utf-8"?>
<ds:datastoreItem xmlns:ds="http://schemas.openxmlformats.org/officeDocument/2006/customXml" ds:itemID="{7FA49B4A-CBF8-4F9C-B434-19BA2798F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f0c027-30bf-4053-a099-2f7893e59033"/>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Program MW </vt:lpstr>
      <vt:lpstr>Ex ante LI &amp; Eligibility Stats</vt:lpstr>
      <vt:lpstr>Ex post LI &amp; Eligibility Stats</vt:lpstr>
      <vt:lpstr>TA-TI Distribution@</vt:lpstr>
      <vt:lpstr>Auto DR (TI) &amp; Tech Deployment</vt:lpstr>
      <vt:lpstr>DRP Expenditures</vt:lpstr>
      <vt:lpstr>17-18 DRP Carryover Expend</vt:lpstr>
      <vt:lpstr>Fund Shift Log</vt:lpstr>
      <vt:lpstr>Marketing</vt:lpstr>
      <vt:lpstr>Event Summary</vt:lpstr>
      <vt:lpstr>SDGE Costs - AMDRMA Balance</vt:lpstr>
      <vt:lpstr>SDGE Costs -GRC </vt:lpstr>
      <vt:lpstr>SDGE Costs -DPDRMA</vt:lpstr>
      <vt:lpstr>Business Unit Reporting</vt:lpstr>
      <vt:lpstr>'17-18 DRP Carryover Expend'!Print_Area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 AMDRMA Balance'!Print_Area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2019-09-19T19:05:52Z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0x010100DE6A178DBBAEAD4A9FF98983B80ABD98</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ies>
</file>