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ACTIVITIES (Current)\"/>
    </mc:Choice>
  </mc:AlternateContent>
  <xr:revisionPtr revIDLastSave="0" documentId="8_{D6CEC20C-42B6-4A5A-8F7C-1E631E8A32A9}" xr6:coauthVersionLast="36" xr6:coauthVersionMax="36" xr10:uidLastSave="{00000000-0000-0000-0000-000000000000}"/>
  <bookViews>
    <workbookView xWindow="0" yWindow="0" windowWidth="25200" windowHeight="11580" tabRatio="873" xr2:uid="{00000000-000D-0000-FFFF-FFFF00000000}"/>
  </bookViews>
  <sheets>
    <sheet name="Program MW " sheetId="33" r:id="rId1"/>
    <sheet name="Ex ante LI &amp; Eligibility Stats" sheetId="34" r:id="rId2"/>
    <sheet name="Ex post LI &amp; Eligibility Stats" sheetId="35" r:id="rId3"/>
    <sheet name="TA-TI Distribution@" sheetId="36" state="hidden" r:id="rId4"/>
    <sheet name="Auto DR (TI) &amp; Tech Deployment" sheetId="131" r:id="rId5"/>
    <sheet name="DRP Expenditures" sheetId="117" r:id="rId6"/>
    <sheet name="2017 DRP Carryover Expenditures" sheetId="135" r:id="rId7"/>
    <sheet name="Fund Shift Log" sheetId="29" r:id="rId8"/>
    <sheet name="Marketing" sheetId="134"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DAT1" localSheetId="5">#REF!</definedName>
    <definedName name="_DAT1" localSheetId="8">#REF!</definedName>
    <definedName name="_DAT1" localSheetId="10">#REF!</definedName>
    <definedName name="_DAT1" localSheetId="12">#REF!</definedName>
    <definedName name="_DAT1">#REF!</definedName>
    <definedName name="_DAT10" localSheetId="5">#REF!</definedName>
    <definedName name="_DAT10" localSheetId="8">#REF!</definedName>
    <definedName name="_DAT10" localSheetId="12">#REF!</definedName>
    <definedName name="_DAT10">#REF!</definedName>
    <definedName name="_DAT11" localSheetId="5">#REF!</definedName>
    <definedName name="_DAT11" localSheetId="8">#REF!</definedName>
    <definedName name="_DAT11" localSheetId="12">#REF!</definedName>
    <definedName name="_DAT11">#REF!</definedName>
    <definedName name="_DAT12" localSheetId="5">#REF!</definedName>
    <definedName name="_DAT12" localSheetId="12">#REF!</definedName>
    <definedName name="_DAT12">#REF!</definedName>
    <definedName name="_DAT13" localSheetId="5">#REF!</definedName>
    <definedName name="_DAT13" localSheetId="12">#REF!</definedName>
    <definedName name="_DAT13">#REF!</definedName>
    <definedName name="_DAT14" localSheetId="5">#REF!</definedName>
    <definedName name="_DAT14" localSheetId="12">#REF!</definedName>
    <definedName name="_DAT14">#REF!</definedName>
    <definedName name="_DAT15" localSheetId="5">#REF!</definedName>
    <definedName name="_DAT15" localSheetId="12">#REF!</definedName>
    <definedName name="_DAT15">#REF!</definedName>
    <definedName name="_DAT16" localSheetId="5">#REF!</definedName>
    <definedName name="_DAT16" localSheetId="12">#REF!</definedName>
    <definedName name="_DAT16">#REF!</definedName>
    <definedName name="_DAT17" localSheetId="5">#REF!</definedName>
    <definedName name="_DAT17" localSheetId="12">#REF!</definedName>
    <definedName name="_DAT17">#REF!</definedName>
    <definedName name="_DAT2" localSheetId="5">#REF!</definedName>
    <definedName name="_DAT2" localSheetId="12">#REF!</definedName>
    <definedName name="_DAT2">#REF!</definedName>
    <definedName name="_DAT3" localSheetId="5">#REF!</definedName>
    <definedName name="_DAT3" localSheetId="12">#REF!</definedName>
    <definedName name="_DAT3">#REF!</definedName>
    <definedName name="_DAT4" localSheetId="5">#REF!</definedName>
    <definedName name="_DAT4" localSheetId="12">#REF!</definedName>
    <definedName name="_DAT4">#REF!</definedName>
    <definedName name="_DAT5" localSheetId="5">#REF!</definedName>
    <definedName name="_DAT5" localSheetId="12">#REF!</definedName>
    <definedName name="_DAT5">#REF!</definedName>
    <definedName name="_DAT6" localSheetId="5">#REF!</definedName>
    <definedName name="_DAT6" localSheetId="12">#REF!</definedName>
    <definedName name="_DAT6">#REF!</definedName>
    <definedName name="_DAT7" localSheetId="5">#REF!</definedName>
    <definedName name="_DAT7" localSheetId="12">#REF!</definedName>
    <definedName name="_DAT7">#REF!</definedName>
    <definedName name="_DAT8" localSheetId="5">#REF!</definedName>
    <definedName name="_DAT8" localSheetId="12">#REF!</definedName>
    <definedName name="_DAT8">#REF!</definedName>
    <definedName name="_DAT9" localSheetId="5">#REF!</definedName>
    <definedName name="_DAT9" localSheetId="12">#REF!</definedName>
    <definedName name="_DAT9">#REF!</definedName>
    <definedName name="_xlnm._FilterDatabase" localSheetId="9" hidden="1">'Event Summary'!#REF!</definedName>
    <definedName name="Achieve_GRC" localSheetId="5">#REF!</definedName>
    <definedName name="Achieve_GRC" localSheetId="1">#REF!</definedName>
    <definedName name="Achieve_GRC" localSheetId="2">#REF!</definedName>
    <definedName name="Achieve_GRC" localSheetId="0">#REF!</definedName>
    <definedName name="Achieve_GRC" localSheetId="12">#REF!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2">#REF!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2">#REF!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2">#REF!</definedName>
    <definedName name="Collect_Revenue" localSheetId="3">#REF!</definedName>
    <definedName name="Collect_Revenue">#REF!</definedName>
    <definedName name="DATA1" localSheetId="5">#REF!</definedName>
    <definedName name="DATA1" localSheetId="12">#REF!</definedName>
    <definedName name="DATA1">#REF!</definedName>
    <definedName name="DATA10" localSheetId="5">#REF!</definedName>
    <definedName name="DATA10" localSheetId="12">#REF!</definedName>
    <definedName name="DATA10">#REF!</definedName>
    <definedName name="DATA11" localSheetId="5">#REF!</definedName>
    <definedName name="DATA11" localSheetId="12">#REF!</definedName>
    <definedName name="DATA11">#REF!</definedName>
    <definedName name="DATA12" localSheetId="5">#REF!</definedName>
    <definedName name="DATA12" localSheetId="12">#REF!</definedName>
    <definedName name="DATA12">#REF!</definedName>
    <definedName name="DATA13" localSheetId="5">#REF!</definedName>
    <definedName name="DATA13" localSheetId="12">#REF!</definedName>
    <definedName name="DATA13">#REF!</definedName>
    <definedName name="DATA14" localSheetId="5">#REF!</definedName>
    <definedName name="DATA14" localSheetId="12">#REF!</definedName>
    <definedName name="DATA14">#REF!</definedName>
    <definedName name="DATA15" localSheetId="5">#REF!</definedName>
    <definedName name="DATA15" localSheetId="12">#REF!</definedName>
    <definedName name="DATA15">#REF!</definedName>
    <definedName name="DATA16" localSheetId="5">#REF!</definedName>
    <definedName name="DATA16" localSheetId="12">#REF!</definedName>
    <definedName name="DATA16">#REF!</definedName>
    <definedName name="DATA17" localSheetId="5">#REF!</definedName>
    <definedName name="DATA17" localSheetId="12">#REF!</definedName>
    <definedName name="DATA17">#REF!</definedName>
    <definedName name="DATA18" localSheetId="5">#REF!</definedName>
    <definedName name="DATA18" localSheetId="12">#REF!</definedName>
    <definedName name="DATA18">#REF!</definedName>
    <definedName name="DATA19" localSheetId="5">#REF!</definedName>
    <definedName name="DATA19" localSheetId="12">#REF!</definedName>
    <definedName name="DATA19">#REF!</definedName>
    <definedName name="DATA2" localSheetId="5">#REF!</definedName>
    <definedName name="DATA2" localSheetId="12">#REF!</definedName>
    <definedName name="DATA2">#REF!</definedName>
    <definedName name="DATA20" localSheetId="5">#REF!</definedName>
    <definedName name="DATA20" localSheetId="12">#REF!</definedName>
    <definedName name="DATA20">#REF!</definedName>
    <definedName name="DATA3" localSheetId="5">#REF!</definedName>
    <definedName name="DATA3" localSheetId="12">#REF!</definedName>
    <definedName name="DATA3">#REF!</definedName>
    <definedName name="DATA4" localSheetId="5">#REF!</definedName>
    <definedName name="DATA4" localSheetId="12">#REF!</definedName>
    <definedName name="DATA4">#REF!</definedName>
    <definedName name="DATA5" localSheetId="5">#REF!</definedName>
    <definedName name="DATA5" localSheetId="12">#REF!</definedName>
    <definedName name="DATA5">#REF!</definedName>
    <definedName name="data5000">'[1]ACTMA Detail'!$N$2:$N$102</definedName>
    <definedName name="DATA6" localSheetId="5">#REF!</definedName>
    <definedName name="DATA6" localSheetId="8">#REF!</definedName>
    <definedName name="DATA6" localSheetId="12">#REF!</definedName>
    <definedName name="DATA6">#REF!</definedName>
    <definedName name="DATA7" localSheetId="5">#REF!</definedName>
    <definedName name="DATA7" localSheetId="8">#REF!</definedName>
    <definedName name="DATA7" localSheetId="12">#REF!</definedName>
    <definedName name="DATA7">#REF!</definedName>
    <definedName name="DATA8" localSheetId="5">#REF!</definedName>
    <definedName name="DATA8" localSheetId="8">#REF!</definedName>
    <definedName name="DATA8" localSheetId="12">#REF!</definedName>
    <definedName name="DATA8">#REF!</definedName>
    <definedName name="DATA9" localSheetId="5">#REF!</definedName>
    <definedName name="DATA9" localSheetId="12">#REF!</definedName>
    <definedName name="DATA9">#REF!</definedName>
    <definedName name="DayTypeList" localSheetId="5">[2]LOOKUP!$E$2:$E$14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2">#REF!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2">#REF!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2">#REF!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2">#REF!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2">#REF!</definedName>
    <definedName name="Meet_Financial_Targets" localSheetId="3">#REF!</definedName>
    <definedName name="Meet_Financial_Targets">#REF!</definedName>
    <definedName name="nnnnnn">'[1]ACTMA Detail'!$P$2:$P$102</definedName>
    <definedName name="_xlnm.Print_Area" localSheetId="6">'2017 DRP Carryover Expenditures'!$A$1:$N$36</definedName>
    <definedName name="_xlnm.Print_Area" localSheetId="4">'Auto DR (TI) &amp; Tech Deployment'!$A$1:$P$46</definedName>
    <definedName name="_xlnm.Print_Area" localSheetId="5">'DRP Expenditures'!$A$1:$T$55</definedName>
    <definedName name="_xlnm.Print_Area" localSheetId="1">'Ex ante LI &amp; Eligibility Stats'!$A$1:$O$27</definedName>
    <definedName name="_xlnm.Print_Area" localSheetId="2">'Ex post LI &amp; Eligibility Stats'!$A$1:$O$25</definedName>
    <definedName name="_xlnm.Print_Area" localSheetId="7">'Fund Shift Log'!$A$1:$E$19</definedName>
    <definedName name="_xlnm.Print_Area" localSheetId="8">Marketing!$A$1:$Q$49</definedName>
    <definedName name="_xlnm.Print_Area" localSheetId="0">'Program MW '!$A$1:$S$57</definedName>
    <definedName name="_xlnm.Print_Area" localSheetId="10">'SDGE Costs - AMDRMA Balance'!$A$1:$N$54</definedName>
    <definedName name="_xlnm.Print_Area" localSheetId="12">'SDGE Costs -DPDRMA'!$A$2:$N$40</definedName>
    <definedName name="_xlnm.Print_Area" localSheetId="11">'SDGE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8">#REF!</definedName>
    <definedName name="Reliability_Expectations" localSheetId="0">#REF!</definedName>
    <definedName name="Reliability_Expectations" localSheetId="12">#REF!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8">#REF!</definedName>
    <definedName name="Stabilization_Customer_Base" localSheetId="0">#REF!</definedName>
    <definedName name="Stabilization_Customer_Base" localSheetId="12">#REF!</definedName>
    <definedName name="Stabilization_Customer_Base" localSheetId="3">#REF!</definedName>
    <definedName name="Stabilization_Customer_Base">#REF!</definedName>
    <definedName name="TEST0" localSheetId="5">#REF!</definedName>
    <definedName name="TEST0" localSheetId="8">#REF!</definedName>
    <definedName name="TEST0" localSheetId="12">#REF!</definedName>
    <definedName name="TEST0">#REF!</definedName>
    <definedName name="TEST1" localSheetId="5">#REF!</definedName>
    <definedName name="TEST1" localSheetId="12">#REF!</definedName>
    <definedName name="TEST1">#REF!</definedName>
    <definedName name="TEST10" localSheetId="5">#REF!</definedName>
    <definedName name="TEST10" localSheetId="12">#REF!</definedName>
    <definedName name="TEST10">#REF!</definedName>
    <definedName name="TEST11" localSheetId="5">#REF!</definedName>
    <definedName name="TEST11" localSheetId="12">#REF!</definedName>
    <definedName name="TEST11">#REF!</definedName>
    <definedName name="TEST12" localSheetId="5">#REF!</definedName>
    <definedName name="TEST12" localSheetId="12">#REF!</definedName>
    <definedName name="TEST12">#REF!</definedName>
    <definedName name="TEST13" localSheetId="5">#REF!</definedName>
    <definedName name="TEST13" localSheetId="12">#REF!</definedName>
    <definedName name="TEST13">#REF!</definedName>
    <definedName name="TEST14" localSheetId="5">#REF!</definedName>
    <definedName name="TEST14" localSheetId="12">#REF!</definedName>
    <definedName name="TEST14">#REF!</definedName>
    <definedName name="TEST15" localSheetId="5">#REF!</definedName>
    <definedName name="TEST15" localSheetId="12">#REF!</definedName>
    <definedName name="TEST15">#REF!</definedName>
    <definedName name="TEST16" localSheetId="5">#REF!</definedName>
    <definedName name="TEST16" localSheetId="12">#REF!</definedName>
    <definedName name="TEST16">#REF!</definedName>
    <definedName name="TEST17" localSheetId="5">#REF!</definedName>
    <definedName name="TEST17" localSheetId="12">#REF!</definedName>
    <definedName name="TEST17">#REF!</definedName>
    <definedName name="TEST18" localSheetId="5">#REF!</definedName>
    <definedName name="TEST18" localSheetId="12">#REF!</definedName>
    <definedName name="TEST18">#REF!</definedName>
    <definedName name="TEST19" localSheetId="5">#REF!</definedName>
    <definedName name="TEST19" localSheetId="12">#REF!</definedName>
    <definedName name="TEST19">#REF!</definedName>
    <definedName name="TEST2" localSheetId="5">#REF!</definedName>
    <definedName name="TEST2" localSheetId="12">#REF!</definedName>
    <definedName name="TEST2">#REF!</definedName>
    <definedName name="TEST20" localSheetId="5">#REF!</definedName>
    <definedName name="TEST20" localSheetId="12">#REF!</definedName>
    <definedName name="TEST20">#REF!</definedName>
    <definedName name="TEST21" localSheetId="5">#REF!</definedName>
    <definedName name="TEST21" localSheetId="12">#REF!</definedName>
    <definedName name="TEST21">#REF!</definedName>
    <definedName name="TEST22" localSheetId="5">#REF!</definedName>
    <definedName name="TEST22" localSheetId="12">#REF!</definedName>
    <definedName name="TEST22">#REF!</definedName>
    <definedName name="TEST23" localSheetId="5">#REF!</definedName>
    <definedName name="TEST23" localSheetId="12">#REF!</definedName>
    <definedName name="TEST23">#REF!</definedName>
    <definedName name="TEST24" localSheetId="5">#REF!</definedName>
    <definedName name="TEST24" localSheetId="12">#REF!</definedName>
    <definedName name="TEST24">#REF!</definedName>
    <definedName name="TEST25" localSheetId="5">#REF!</definedName>
    <definedName name="TEST25" localSheetId="12">#REF!</definedName>
    <definedName name="TEST25">#REF!</definedName>
    <definedName name="TEST26" localSheetId="5">#REF!</definedName>
    <definedName name="TEST26" localSheetId="12">#REF!</definedName>
    <definedName name="TEST26">#REF!</definedName>
    <definedName name="TEST27" localSheetId="5">#REF!</definedName>
    <definedName name="TEST27" localSheetId="12">#REF!</definedName>
    <definedName name="TEST27">#REF!</definedName>
    <definedName name="TEST28" localSheetId="5">#REF!</definedName>
    <definedName name="TEST28" localSheetId="12">#REF!</definedName>
    <definedName name="TEST28">#REF!</definedName>
    <definedName name="TEST3" localSheetId="5">#REF!</definedName>
    <definedName name="TEST3" localSheetId="12">#REF!</definedName>
    <definedName name="TEST3">#REF!</definedName>
    <definedName name="TEST4" localSheetId="5">#REF!</definedName>
    <definedName name="TEST4" localSheetId="12">#REF!</definedName>
    <definedName name="TEST4">#REF!</definedName>
    <definedName name="TEST5" localSheetId="5">#REF!</definedName>
    <definedName name="TEST5" localSheetId="12">#REF!</definedName>
    <definedName name="TEST5">#REF!</definedName>
    <definedName name="TEST6" localSheetId="5">#REF!</definedName>
    <definedName name="TEST6" localSheetId="12">#REF!</definedName>
    <definedName name="TEST6">#REF!</definedName>
    <definedName name="TEST7" localSheetId="5">#REF!</definedName>
    <definedName name="TEST7" localSheetId="12">#REF!</definedName>
    <definedName name="TEST7">#REF!</definedName>
    <definedName name="TEST8" localSheetId="5">#REF!</definedName>
    <definedName name="TEST8" localSheetId="12">#REF!</definedName>
    <definedName name="TEST8">#REF!</definedName>
    <definedName name="TEST9" localSheetId="5">#REF!</definedName>
    <definedName name="TEST9" localSheetId="12">#REF!</definedName>
    <definedName name="TEST9">#REF!</definedName>
    <definedName name="TESTHKEY" localSheetId="5">#REF!</definedName>
    <definedName name="TESTHKEY" localSheetId="12">#REF!</definedName>
    <definedName name="TESTHKEY">#REF!</definedName>
    <definedName name="TESTKEYS" localSheetId="5">#REF!</definedName>
    <definedName name="TESTKEYS" localSheetId="12">#REF!</definedName>
    <definedName name="TESTKEYS">#REF!</definedName>
    <definedName name="TESTVKEY" localSheetId="5">#REF!</definedName>
    <definedName name="TESTVKEY" localSheetId="12">#REF!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2">#REF!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2">#REF!</definedName>
    <definedName name="Voice_of_Customer" localSheetId="3">#REF!</definedName>
    <definedName name="Voice_of_Customer">#REF!</definedName>
    <definedName name="Z_E5DF83AA_DC53_4EBF_A523_33DA0FE284E8_.wvu.PrintArea" localSheetId="2" hidden="1">'Ex post LI &amp; Eligibility Stats'!$A$2:$O$22</definedName>
    <definedName name="Z_E5DF83AA_DC53_4EBF_A523_33DA0FE284E8_.wvu.PrintArea" localSheetId="0" hidden="1">'Program MW '!$A$1:$Z$50</definedName>
    <definedName name="Z_E5DF83AA_DC53_4EBF_A523_33DA0FE284E8_.wvu.PrintArea" localSheetId="3" hidden="1">'TA-TI Distribution@'!#REF!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33" l="1"/>
  <c r="C19" i="33"/>
  <c r="C16" i="33" l="1"/>
  <c r="C39" i="131"/>
  <c r="D39" i="131"/>
  <c r="E39" i="131"/>
  <c r="F39" i="131"/>
  <c r="G39" i="131"/>
  <c r="H39" i="131"/>
  <c r="I39" i="131"/>
  <c r="J39" i="131"/>
  <c r="K39" i="131"/>
  <c r="L39" i="131"/>
  <c r="M39" i="131"/>
  <c r="B39" i="131"/>
  <c r="E33" i="33"/>
  <c r="B25" i="131"/>
  <c r="B23" i="131"/>
  <c r="D22" i="131"/>
  <c r="C22" i="131"/>
  <c r="C17" i="33"/>
  <c r="B22" i="131"/>
  <c r="B26" i="131"/>
  <c r="B48" i="119"/>
  <c r="B33" i="119"/>
  <c r="B49" i="119"/>
  <c r="B51" i="119"/>
  <c r="N51" i="119"/>
  <c r="L48" i="119"/>
  <c r="L33" i="119"/>
  <c r="L49" i="119"/>
  <c r="M48" i="119"/>
  <c r="Q15" i="134"/>
  <c r="O46" i="134"/>
  <c r="O45" i="134"/>
  <c r="O43" i="134"/>
  <c r="O44" i="134"/>
  <c r="O47" i="134"/>
  <c r="O39" i="134"/>
  <c r="O38" i="134"/>
  <c r="O37" i="134"/>
  <c r="O36" i="134"/>
  <c r="O35" i="134"/>
  <c r="O40" i="134"/>
  <c r="O23" i="134"/>
  <c r="O22" i="134"/>
  <c r="O21" i="134"/>
  <c r="O20" i="134"/>
  <c r="O19" i="134"/>
  <c r="O18" i="134"/>
  <c r="O17" i="134"/>
  <c r="O16" i="134"/>
  <c r="O15" i="134"/>
  <c r="O14" i="134"/>
  <c r="O13" i="134"/>
  <c r="O12" i="134"/>
  <c r="O11" i="134"/>
  <c r="O27" i="134"/>
  <c r="O28" i="134"/>
  <c r="O29" i="134"/>
  <c r="O30" i="134"/>
  <c r="O31" i="134"/>
  <c r="O32" i="134"/>
  <c r="Q46" i="117"/>
  <c r="Q29" i="117"/>
  <c r="Q14" i="117"/>
  <c r="Q16" i="117"/>
  <c r="B20" i="117"/>
  <c r="C20" i="117"/>
  <c r="D20" i="117"/>
  <c r="E20" i="117"/>
  <c r="F20" i="117"/>
  <c r="G20" i="117"/>
  <c r="H20" i="117"/>
  <c r="I20" i="117"/>
  <c r="J20" i="117"/>
  <c r="K20" i="117"/>
  <c r="L20" i="117"/>
  <c r="M20" i="117"/>
  <c r="P20" i="117"/>
  <c r="N50" i="117"/>
  <c r="O47" i="117"/>
  <c r="P47" i="117"/>
  <c r="S47" i="117"/>
  <c r="O34" i="117"/>
  <c r="P34" i="117"/>
  <c r="O33" i="117"/>
  <c r="P33" i="117"/>
  <c r="O35" i="117"/>
  <c r="P35" i="117"/>
  <c r="O36" i="117"/>
  <c r="P36" i="117"/>
  <c r="P37" i="117"/>
  <c r="Q37" i="117"/>
  <c r="S37" i="117"/>
  <c r="S33" i="117"/>
  <c r="O19" i="117"/>
  <c r="P19" i="117"/>
  <c r="O11" i="117"/>
  <c r="P11" i="117"/>
  <c r="F17" i="33"/>
  <c r="D34" i="131"/>
  <c r="G17" i="33"/>
  <c r="E34" i="131"/>
  <c r="F34" i="131"/>
  <c r="F35" i="131"/>
  <c r="F36" i="131"/>
  <c r="F37" i="131"/>
  <c r="F38" i="131"/>
  <c r="F40" i="131"/>
  <c r="I17" i="33"/>
  <c r="G34" i="131"/>
  <c r="J17" i="33"/>
  <c r="H34" i="131"/>
  <c r="J18" i="33"/>
  <c r="H35" i="131"/>
  <c r="J19" i="33"/>
  <c r="H36" i="131"/>
  <c r="J20" i="33"/>
  <c r="H37" i="131"/>
  <c r="J21" i="33"/>
  <c r="H38" i="131"/>
  <c r="H40" i="131"/>
  <c r="I34" i="131"/>
  <c r="L17" i="33"/>
  <c r="J34" i="131"/>
  <c r="M17" i="33"/>
  <c r="K34" i="131"/>
  <c r="L34" i="131"/>
  <c r="O17" i="33"/>
  <c r="M34" i="131"/>
  <c r="O18" i="33"/>
  <c r="M35" i="131"/>
  <c r="O19" i="33"/>
  <c r="M36" i="131"/>
  <c r="O20" i="33"/>
  <c r="M37" i="131"/>
  <c r="O21" i="33"/>
  <c r="M38" i="131"/>
  <c r="F18" i="33"/>
  <c r="D35" i="131"/>
  <c r="G18" i="33"/>
  <c r="E35" i="131"/>
  <c r="I18" i="33"/>
  <c r="G35" i="131"/>
  <c r="I35" i="131"/>
  <c r="L18" i="33"/>
  <c r="J35" i="131"/>
  <c r="L19" i="33"/>
  <c r="J36" i="131"/>
  <c r="L20" i="33"/>
  <c r="J37" i="131"/>
  <c r="L21" i="33"/>
  <c r="J38" i="131"/>
  <c r="M18" i="33"/>
  <c r="K35" i="131"/>
  <c r="L35" i="131"/>
  <c r="F19" i="33"/>
  <c r="D36" i="131"/>
  <c r="G19" i="33"/>
  <c r="E36" i="131"/>
  <c r="I19" i="33"/>
  <c r="G36" i="131"/>
  <c r="I20" i="33"/>
  <c r="G37" i="131"/>
  <c r="I21" i="33"/>
  <c r="G38" i="131"/>
  <c r="I36" i="131"/>
  <c r="M19" i="33"/>
  <c r="K36" i="131"/>
  <c r="L36" i="131"/>
  <c r="L37" i="131"/>
  <c r="L38" i="131"/>
  <c r="L40" i="131"/>
  <c r="F20" i="33"/>
  <c r="D37" i="131"/>
  <c r="F21" i="33"/>
  <c r="D38" i="131"/>
  <c r="G20" i="33"/>
  <c r="E37" i="131"/>
  <c r="I37" i="131"/>
  <c r="I38" i="131"/>
  <c r="I40" i="131"/>
  <c r="M20" i="33"/>
  <c r="K37" i="131"/>
  <c r="G21" i="33"/>
  <c r="E38" i="131"/>
  <c r="M21" i="33"/>
  <c r="K38" i="131"/>
  <c r="C35" i="131"/>
  <c r="C36" i="131"/>
  <c r="C37" i="131"/>
  <c r="C38" i="131"/>
  <c r="C34" i="131"/>
  <c r="C40" i="131"/>
  <c r="B35" i="131"/>
  <c r="B34" i="131"/>
  <c r="B36" i="131"/>
  <c r="B37" i="131"/>
  <c r="B38" i="131"/>
  <c r="B40" i="131"/>
  <c r="D16" i="33"/>
  <c r="E22" i="131"/>
  <c r="F16" i="33"/>
  <c r="F22" i="131"/>
  <c r="F23" i="131"/>
  <c r="F25" i="131"/>
  <c r="F26" i="131"/>
  <c r="G16" i="33"/>
  <c r="G22" i="131"/>
  <c r="H22" i="131"/>
  <c r="I16" i="33"/>
  <c r="I22" i="131"/>
  <c r="I23" i="131"/>
  <c r="I25" i="131"/>
  <c r="I26" i="131"/>
  <c r="J16" i="33"/>
  <c r="J22" i="131"/>
  <c r="K22" i="131"/>
  <c r="K23" i="131"/>
  <c r="K25" i="131"/>
  <c r="K26" i="131"/>
  <c r="L16" i="33"/>
  <c r="L22" i="131"/>
  <c r="L23" i="131"/>
  <c r="L25" i="131"/>
  <c r="L26" i="131"/>
  <c r="M16" i="33"/>
  <c r="M22" i="131"/>
  <c r="M23" i="131"/>
  <c r="M25" i="131"/>
  <c r="M26" i="131"/>
  <c r="D23" i="131"/>
  <c r="E23" i="131"/>
  <c r="G23" i="131"/>
  <c r="H23" i="131"/>
  <c r="J23" i="131"/>
  <c r="D25" i="131"/>
  <c r="E25" i="131"/>
  <c r="E26" i="131"/>
  <c r="G25" i="131"/>
  <c r="H25" i="131"/>
  <c r="J25" i="131"/>
  <c r="C25" i="131"/>
  <c r="C23" i="131"/>
  <c r="S40" i="33"/>
  <c r="S39" i="33"/>
  <c r="P39" i="33"/>
  <c r="M16" i="129"/>
  <c r="M21" i="129"/>
  <c r="M25" i="129"/>
  <c r="M30" i="129"/>
  <c r="M33" i="129"/>
  <c r="B30" i="129"/>
  <c r="C30" i="129"/>
  <c r="D30" i="129"/>
  <c r="E30" i="129"/>
  <c r="F30" i="129"/>
  <c r="G30" i="129"/>
  <c r="H30" i="129"/>
  <c r="I30" i="129"/>
  <c r="J30" i="129"/>
  <c r="K30" i="129"/>
  <c r="L30" i="129"/>
  <c r="N30" i="129"/>
  <c r="O46" i="117"/>
  <c r="P46" i="117"/>
  <c r="S46" i="117"/>
  <c r="O45" i="117"/>
  <c r="P45" i="117"/>
  <c r="S45" i="117"/>
  <c r="O44" i="117"/>
  <c r="O48" i="117"/>
  <c r="P44" i="117"/>
  <c r="S44" i="117"/>
  <c r="O39" i="33"/>
  <c r="L35" i="33"/>
  <c r="M39" i="33"/>
  <c r="M40" i="33"/>
  <c r="K13" i="131"/>
  <c r="N14" i="129"/>
  <c r="K16" i="117"/>
  <c r="I35" i="33"/>
  <c r="I46" i="33"/>
  <c r="I45" i="33"/>
  <c r="I41" i="33"/>
  <c r="J40" i="33"/>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B16" i="129"/>
  <c r="B21" i="129"/>
  <c r="B25" i="129"/>
  <c r="B33" i="129"/>
  <c r="C21" i="129"/>
  <c r="D21" i="129"/>
  <c r="E21" i="129"/>
  <c r="F21" i="129"/>
  <c r="G21" i="129"/>
  <c r="H21" i="129"/>
  <c r="I21" i="129"/>
  <c r="J21" i="129"/>
  <c r="K21" i="129"/>
  <c r="L21" i="129"/>
  <c r="N21" i="129"/>
  <c r="D16" i="129"/>
  <c r="D25" i="129"/>
  <c r="D33" i="129"/>
  <c r="F16" i="129"/>
  <c r="F25" i="129"/>
  <c r="F33" i="129"/>
  <c r="L16" i="129"/>
  <c r="L25" i="129"/>
  <c r="N19" i="129"/>
  <c r="B13" i="29"/>
  <c r="R48" i="117"/>
  <c r="R16" i="117"/>
  <c r="N13" i="129"/>
  <c r="O22" i="33"/>
  <c r="L22" i="33"/>
  <c r="G13" i="131"/>
  <c r="S36" i="117"/>
  <c r="F13" i="131"/>
  <c r="E13" i="131"/>
  <c r="G48" i="117"/>
  <c r="G41" i="117"/>
  <c r="G37" i="117"/>
  <c r="G30" i="117"/>
  <c r="G24" i="117"/>
  <c r="G16" i="117"/>
  <c r="G50" i="117"/>
  <c r="D13" i="131"/>
  <c r="D47" i="134"/>
  <c r="C13" i="131"/>
  <c r="C33" i="119"/>
  <c r="M16" i="117"/>
  <c r="L16" i="117"/>
  <c r="J16" i="117"/>
  <c r="I16" i="117"/>
  <c r="H16" i="117"/>
  <c r="F16" i="117"/>
  <c r="E16" i="117"/>
  <c r="D16" i="117"/>
  <c r="C16" i="117"/>
  <c r="N23" i="135"/>
  <c r="M24" i="135"/>
  <c r="L24" i="135"/>
  <c r="K24" i="135"/>
  <c r="J24" i="135"/>
  <c r="I24" i="135"/>
  <c r="H24" i="135"/>
  <c r="G24" i="135"/>
  <c r="F24" i="135"/>
  <c r="E24" i="135"/>
  <c r="B24" i="135"/>
  <c r="C24" i="135"/>
  <c r="D24" i="135"/>
  <c r="N24" i="135"/>
  <c r="M12" i="135"/>
  <c r="L12" i="135"/>
  <c r="K12" i="135"/>
  <c r="J12" i="135"/>
  <c r="I12" i="135"/>
  <c r="H12" i="135"/>
  <c r="G12" i="135"/>
  <c r="F12" i="135"/>
  <c r="E12" i="135"/>
  <c r="D12" i="135"/>
  <c r="C12" i="135"/>
  <c r="B12" i="135"/>
  <c r="B27" i="135"/>
  <c r="B21" i="135"/>
  <c r="B18" i="135"/>
  <c r="B30" i="135"/>
  <c r="B15" i="135"/>
  <c r="B32" i="135"/>
  <c r="N11" i="135"/>
  <c r="Q48" i="117"/>
  <c r="Q41" i="117"/>
  <c r="Q30" i="117"/>
  <c r="Q24" i="117"/>
  <c r="Q20" i="117"/>
  <c r="Q5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C40" i="134"/>
  <c r="B40" i="134"/>
  <c r="M32" i="134"/>
  <c r="L32" i="134"/>
  <c r="K32" i="134"/>
  <c r="J32" i="134"/>
  <c r="I32" i="134"/>
  <c r="H32" i="134"/>
  <c r="G32" i="134"/>
  <c r="F32" i="134"/>
  <c r="E32" i="134"/>
  <c r="D32" i="134"/>
  <c r="C32" i="134"/>
  <c r="B32" i="134"/>
  <c r="N29" i="135"/>
  <c r="M30" i="135"/>
  <c r="L30" i="135"/>
  <c r="K30" i="135"/>
  <c r="J30" i="135"/>
  <c r="I30" i="135"/>
  <c r="H30" i="135"/>
  <c r="G30" i="135"/>
  <c r="F30" i="135"/>
  <c r="E30" i="135"/>
  <c r="D30" i="135"/>
  <c r="C30" i="135"/>
  <c r="M21" i="135"/>
  <c r="L21" i="135"/>
  <c r="K21" i="135"/>
  <c r="J21" i="135"/>
  <c r="I21" i="135"/>
  <c r="H21" i="135"/>
  <c r="G21" i="135"/>
  <c r="G27" i="135"/>
  <c r="G18" i="135"/>
  <c r="G15" i="135"/>
  <c r="G32" i="135"/>
  <c r="F21" i="135"/>
  <c r="E21" i="135"/>
  <c r="D21" i="135"/>
  <c r="C21" i="135"/>
  <c r="N20" i="135"/>
  <c r="N21" i="135"/>
  <c r="N26" i="135"/>
  <c r="N27" i="135"/>
  <c r="M18" i="135"/>
  <c r="L18" i="135"/>
  <c r="K18" i="135"/>
  <c r="J18" i="135"/>
  <c r="I18" i="135"/>
  <c r="H18" i="135"/>
  <c r="F18" i="135"/>
  <c r="E18" i="135"/>
  <c r="D18" i="135"/>
  <c r="C18" i="135"/>
  <c r="N17" i="135"/>
  <c r="N18" i="135"/>
  <c r="N30" i="135"/>
  <c r="C15" i="135"/>
  <c r="D15" i="135"/>
  <c r="E15" i="135"/>
  <c r="F15" i="135"/>
  <c r="H15" i="135"/>
  <c r="I15" i="135"/>
  <c r="J15" i="135"/>
  <c r="K15" i="135"/>
  <c r="L15" i="135"/>
  <c r="M15" i="135"/>
  <c r="N15" i="135"/>
  <c r="M27" i="135"/>
  <c r="M32" i="135"/>
  <c r="M48" i="117"/>
  <c r="L48" i="117"/>
  <c r="K48" i="117"/>
  <c r="B48" i="117"/>
  <c r="B41" i="117"/>
  <c r="B37" i="117"/>
  <c r="B30" i="117"/>
  <c r="B24" i="117"/>
  <c r="B16" i="117"/>
  <c r="B50" i="117"/>
  <c r="C48" i="117"/>
  <c r="D48" i="117"/>
  <c r="E48" i="117"/>
  <c r="F48" i="117"/>
  <c r="F41" i="117"/>
  <c r="F37" i="117"/>
  <c r="F30" i="117"/>
  <c r="F24" i="117"/>
  <c r="F50" i="117"/>
  <c r="H48" i="117"/>
  <c r="I48" i="117"/>
  <c r="J48" i="117"/>
  <c r="J41" i="117"/>
  <c r="J37" i="117"/>
  <c r="J30" i="117"/>
  <c r="J24" i="117"/>
  <c r="J50" i="117"/>
  <c r="O15" i="117"/>
  <c r="P15" i="117"/>
  <c r="S15" i="117"/>
  <c r="O14" i="117"/>
  <c r="P14" i="117"/>
  <c r="S14" i="117"/>
  <c r="O13" i="117"/>
  <c r="P13" i="117"/>
  <c r="S13" i="117"/>
  <c r="O12" i="117"/>
  <c r="P12" i="117"/>
  <c r="S12" i="117"/>
  <c r="N11" i="35"/>
  <c r="N12" i="35"/>
  <c r="N10" i="35"/>
  <c r="O10" i="35"/>
  <c r="O11" i="35"/>
  <c r="O12" i="35"/>
  <c r="N13" i="35"/>
  <c r="O13" i="35"/>
  <c r="N14" i="35"/>
  <c r="O14" i="35"/>
  <c r="N15" i="35"/>
  <c r="O15" i="35"/>
  <c r="N16" i="35"/>
  <c r="O16" i="35"/>
  <c r="N17" i="35"/>
  <c r="O17" i="35"/>
  <c r="N18" i="35"/>
  <c r="O18" i="35"/>
  <c r="O9" i="35"/>
  <c r="N9" i="35"/>
  <c r="R40" i="33"/>
  <c r="P40" i="33"/>
  <c r="O40" i="33"/>
  <c r="L40" i="33"/>
  <c r="L39" i="33"/>
  <c r="L41" i="33"/>
  <c r="L42" i="33"/>
  <c r="L43" i="33"/>
  <c r="L44" i="33"/>
  <c r="L45" i="33"/>
  <c r="L46" i="33"/>
  <c r="I40" i="33"/>
  <c r="G40" i="33"/>
  <c r="F40" i="33"/>
  <c r="D40" i="33"/>
  <c r="C40" i="33"/>
  <c r="S17" i="33"/>
  <c r="R17" i="33"/>
  <c r="R12" i="33"/>
  <c r="R16" i="33"/>
  <c r="R18" i="33"/>
  <c r="R19" i="33"/>
  <c r="R20" i="33"/>
  <c r="R21" i="33"/>
  <c r="R22" i="33"/>
  <c r="R23" i="33"/>
  <c r="R24" i="33"/>
  <c r="P17" i="33"/>
  <c r="D17" i="33"/>
  <c r="A38" i="33"/>
  <c r="D33" i="131"/>
  <c r="F33" i="131"/>
  <c r="H33" i="131"/>
  <c r="J33" i="131"/>
  <c r="L33" i="131"/>
  <c r="C33" i="131"/>
  <c r="E33" i="131"/>
  <c r="G33" i="131"/>
  <c r="I33" i="131"/>
  <c r="K33" i="131"/>
  <c r="M33" i="131"/>
  <c r="S42" i="33"/>
  <c r="R42" i="33"/>
  <c r="P42" i="33"/>
  <c r="O42" i="33"/>
  <c r="M42" i="33"/>
  <c r="J42" i="33"/>
  <c r="I42" i="33"/>
  <c r="G42" i="33"/>
  <c r="F42" i="33"/>
  <c r="D19" i="33"/>
  <c r="S19" i="33"/>
  <c r="P19" i="33"/>
  <c r="C20" i="33"/>
  <c r="D20" i="33"/>
  <c r="P20" i="33"/>
  <c r="S20" i="33"/>
  <c r="J45" i="33"/>
  <c r="D21" i="131"/>
  <c r="F21" i="131"/>
  <c r="H21" i="131"/>
  <c r="J21" i="131"/>
  <c r="L21" i="131"/>
  <c r="C21" i="131"/>
  <c r="E21" i="131"/>
  <c r="G21" i="131"/>
  <c r="I21" i="131"/>
  <c r="K21" i="131"/>
  <c r="M21" i="131"/>
  <c r="A37" i="33"/>
  <c r="C4" i="134"/>
  <c r="L13" i="131"/>
  <c r="L24" i="117"/>
  <c r="E25" i="129"/>
  <c r="E16" i="129"/>
  <c r="E33" i="129"/>
  <c r="I32" i="33"/>
  <c r="I33" i="33"/>
  <c r="N15" i="129"/>
  <c r="I41" i="117"/>
  <c r="H41" i="117"/>
  <c r="H37" i="117"/>
  <c r="H30" i="117"/>
  <c r="H24" i="117"/>
  <c r="H50" i="117"/>
  <c r="E41" i="117"/>
  <c r="D41" i="117"/>
  <c r="D37" i="117"/>
  <c r="D30" i="117"/>
  <c r="D24" i="117"/>
  <c r="D50" i="117"/>
  <c r="C41" i="117"/>
  <c r="C37" i="117"/>
  <c r="C30" i="117"/>
  <c r="C24" i="117"/>
  <c r="C50" i="117"/>
  <c r="I37" i="117"/>
  <c r="I30" i="117"/>
  <c r="I24" i="117"/>
  <c r="I50" i="117"/>
  <c r="E37" i="117"/>
  <c r="E30" i="117"/>
  <c r="E24" i="117"/>
  <c r="E50" i="117"/>
  <c r="G4" i="117"/>
  <c r="O23" i="117"/>
  <c r="O24" i="117"/>
  <c r="K24" i="117"/>
  <c r="M24" i="117"/>
  <c r="R24" i="117"/>
  <c r="O27" i="117"/>
  <c r="P27" i="117"/>
  <c r="S27" i="117"/>
  <c r="O28" i="117"/>
  <c r="P28" i="117"/>
  <c r="O29" i="117"/>
  <c r="P29" i="117"/>
  <c r="S29" i="117"/>
  <c r="K30" i="117"/>
  <c r="L30" i="117"/>
  <c r="M30" i="117"/>
  <c r="R30" i="117"/>
  <c r="S35" i="117"/>
  <c r="K37" i="117"/>
  <c r="L37" i="117"/>
  <c r="M37" i="117"/>
  <c r="M41" i="117"/>
  <c r="M50" i="117"/>
  <c r="R37" i="117"/>
  <c r="O40" i="117"/>
  <c r="O41" i="117"/>
  <c r="K41" i="117"/>
  <c r="L41" i="117"/>
  <c r="R41" i="117"/>
  <c r="D9" i="33"/>
  <c r="D10" i="33"/>
  <c r="D12" i="33"/>
  <c r="D18" i="33"/>
  <c r="D21" i="33"/>
  <c r="D22" i="33"/>
  <c r="D23" i="33"/>
  <c r="D24" i="33"/>
  <c r="D25" i="33"/>
  <c r="F43" i="33"/>
  <c r="C35" i="33"/>
  <c r="H13" i="131"/>
  <c r="N32" i="129"/>
  <c r="N28" i="129"/>
  <c r="K25" i="129"/>
  <c r="K16" i="129"/>
  <c r="K33" i="129"/>
  <c r="J25" i="129"/>
  <c r="I25" i="129"/>
  <c r="H25" i="129"/>
  <c r="G25" i="129"/>
  <c r="C25" i="129"/>
  <c r="N25" i="129"/>
  <c r="N24" i="129"/>
  <c r="N20" i="129"/>
  <c r="J16" i="129"/>
  <c r="J33" i="129"/>
  <c r="I16" i="129"/>
  <c r="H16" i="129"/>
  <c r="G16" i="129"/>
  <c r="C16" i="129"/>
  <c r="C33" i="129"/>
  <c r="N12" i="129"/>
  <c r="E5" i="129"/>
  <c r="N32" i="120"/>
  <c r="M30" i="120"/>
  <c r="L30" i="120"/>
  <c r="K30" i="120"/>
  <c r="J30" i="120"/>
  <c r="I30" i="120"/>
  <c r="H30" i="120"/>
  <c r="G30" i="120"/>
  <c r="F30" i="120"/>
  <c r="E30" i="120"/>
  <c r="D30" i="120"/>
  <c r="C30" i="120"/>
  <c r="C15" i="120"/>
  <c r="C19" i="120"/>
  <c r="C23" i="120"/>
  <c r="C33" i="120"/>
  <c r="B30" i="120"/>
  <c r="N30" i="120"/>
  <c r="N29" i="120"/>
  <c r="N28" i="120"/>
  <c r="N27" i="120"/>
  <c r="N26" i="120"/>
  <c r="M23" i="120"/>
  <c r="L23" i="120"/>
  <c r="K23" i="120"/>
  <c r="J23" i="120"/>
  <c r="I23" i="120"/>
  <c r="H23" i="120"/>
  <c r="G23" i="120"/>
  <c r="G15" i="120"/>
  <c r="G19" i="120"/>
  <c r="G33" i="120"/>
  <c r="F23" i="120"/>
  <c r="E23" i="120"/>
  <c r="E15" i="120"/>
  <c r="E19" i="120"/>
  <c r="E33" i="120"/>
  <c r="D23" i="120"/>
  <c r="B23" i="120"/>
  <c r="N23" i="120"/>
  <c r="N22" i="120"/>
  <c r="M19" i="120"/>
  <c r="L19" i="120"/>
  <c r="L15" i="120"/>
  <c r="L33" i="120"/>
  <c r="K19" i="120"/>
  <c r="J19" i="120"/>
  <c r="I19" i="120"/>
  <c r="I15" i="120"/>
  <c r="I33" i="120"/>
  <c r="H19" i="120"/>
  <c r="F19" i="120"/>
  <c r="D19" i="120"/>
  <c r="B19" i="120"/>
  <c r="N19" i="120"/>
  <c r="N18" i="120"/>
  <c r="M15" i="120"/>
  <c r="M33" i="120"/>
  <c r="J15" i="120"/>
  <c r="J33" i="120"/>
  <c r="H15" i="120"/>
  <c r="H33" i="120"/>
  <c r="F15" i="120"/>
  <c r="F33" i="120"/>
  <c r="D15" i="120"/>
  <c r="B15" i="120"/>
  <c r="N14" i="120"/>
  <c r="N13" i="120"/>
  <c r="N12" i="120"/>
  <c r="N11" i="120"/>
  <c r="E4" i="120"/>
  <c r="K48" i="119"/>
  <c r="K33" i="119"/>
  <c r="K49" i="119"/>
  <c r="J48" i="119"/>
  <c r="I48" i="119"/>
  <c r="H48" i="119"/>
  <c r="G48" i="119"/>
  <c r="F48" i="119"/>
  <c r="F33" i="119"/>
  <c r="F49" i="119"/>
  <c r="E48" i="119"/>
  <c r="D48" i="119"/>
  <c r="C48" i="119"/>
  <c r="N47" i="119"/>
  <c r="N46" i="119"/>
  <c r="N40" i="119"/>
  <c r="N39" i="119"/>
  <c r="N38" i="119"/>
  <c r="N36" i="119"/>
  <c r="N37" i="119"/>
  <c r="N48" i="119"/>
  <c r="N49" i="119"/>
  <c r="M33" i="119"/>
  <c r="M49" i="119"/>
  <c r="J33" i="119"/>
  <c r="I33" i="119"/>
  <c r="I49" i="119"/>
  <c r="H33" i="119"/>
  <c r="H49" i="119"/>
  <c r="G33" i="119"/>
  <c r="E33" i="119"/>
  <c r="D33" i="119"/>
  <c r="D49" i="119"/>
  <c r="E3" i="119"/>
  <c r="C3" i="29"/>
  <c r="L27" i="135"/>
  <c r="L32" i="135"/>
  <c r="K27" i="135"/>
  <c r="K32" i="135"/>
  <c r="J27" i="135"/>
  <c r="I27" i="135"/>
  <c r="I32" i="135"/>
  <c r="H27" i="135"/>
  <c r="F27" i="135"/>
  <c r="E27" i="135"/>
  <c r="E32" i="135"/>
  <c r="D27" i="135"/>
  <c r="C27" i="135"/>
  <c r="N14" i="135"/>
  <c r="G4" i="135"/>
  <c r="M13" i="131"/>
  <c r="J13" i="131"/>
  <c r="I13" i="131"/>
  <c r="B13" i="131"/>
  <c r="G4" i="131"/>
  <c r="U47" i="36"/>
  <c r="U49" i="36"/>
  <c r="Q47" i="36"/>
  <c r="Q49" i="36"/>
  <c r="M47" i="36"/>
  <c r="M49" i="36"/>
  <c r="I47" i="36"/>
  <c r="I49" i="36"/>
  <c r="F47" i="36"/>
  <c r="F49" i="36"/>
  <c r="B47" i="36"/>
  <c r="B49" i="36"/>
  <c r="V42" i="36"/>
  <c r="R42" i="36"/>
  <c r="N42" i="36"/>
  <c r="Y40" i="36"/>
  <c r="U40" i="36"/>
  <c r="Q40" i="36"/>
  <c r="L40" i="36"/>
  <c r="L33" i="36"/>
  <c r="L42" i="36"/>
  <c r="K40" i="36"/>
  <c r="M40" i="36"/>
  <c r="K33" i="36"/>
  <c r="M33" i="36"/>
  <c r="M42"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I40" i="36"/>
  <c r="X33" i="36"/>
  <c r="X42" i="36"/>
  <c r="W33" i="36"/>
  <c r="W42" i="36"/>
  <c r="T33" i="36"/>
  <c r="T42" i="36"/>
  <c r="S33" i="36"/>
  <c r="U33" i="36"/>
  <c r="U42" i="36"/>
  <c r="S42" i="36"/>
  <c r="P33" i="36"/>
  <c r="P42" i="36"/>
  <c r="O33" i="36"/>
  <c r="Q33" i="36"/>
  <c r="H33" i="36"/>
  <c r="H42" i="36"/>
  <c r="G33" i="36"/>
  <c r="G42" i="36"/>
  <c r="D33" i="36"/>
  <c r="C33" i="36"/>
  <c r="Y32" i="36"/>
  <c r="U32" i="36"/>
  <c r="Q32" i="36"/>
  <c r="M32" i="36"/>
  <c r="I32" i="36"/>
  <c r="E32" i="36"/>
  <c r="Q31" i="36"/>
  <c r="M31" i="36"/>
  <c r="I31" i="36"/>
  <c r="Q30" i="36"/>
  <c r="M30" i="36"/>
  <c r="I30" i="36"/>
  <c r="Q29" i="36"/>
  <c r="M29" i="36"/>
  <c r="I29" i="36"/>
  <c r="I28" i="36"/>
  <c r="I33" i="36"/>
  <c r="I42" i="36"/>
  <c r="Y28" i="36"/>
  <c r="U28" i="36"/>
  <c r="Q28" i="36"/>
  <c r="M28" i="36"/>
  <c r="E28" i="36"/>
  <c r="V20" i="36"/>
  <c r="V22" i="36"/>
  <c r="R20" i="36"/>
  <c r="R22" i="36"/>
  <c r="N20" i="36"/>
  <c r="N22" i="36"/>
  <c r="J20" i="36"/>
  <c r="J22" i="36"/>
  <c r="F20" i="36"/>
  <c r="F22" i="36"/>
  <c r="B20" i="36"/>
  <c r="B22" i="36"/>
  <c r="U14" i="36"/>
  <c r="Q14" i="36"/>
  <c r="M14" i="36"/>
  <c r="X13" i="36"/>
  <c r="W13" i="36"/>
  <c r="U13" i="36"/>
  <c r="T13" i="36"/>
  <c r="S13" i="36"/>
  <c r="Q13" i="36"/>
  <c r="P13" i="36"/>
  <c r="O13" i="36"/>
  <c r="M13" i="36"/>
  <c r="L13" i="36"/>
  <c r="K13" i="36"/>
  <c r="I13" i="36"/>
  <c r="H13" i="36"/>
  <c r="G13" i="36"/>
  <c r="G7" i="36"/>
  <c r="G15" i="36"/>
  <c r="E13" i="36"/>
  <c r="D13" i="36"/>
  <c r="Y11" i="36"/>
  <c r="Y10" i="36"/>
  <c r="Y9" i="36"/>
  <c r="X7" i="36"/>
  <c r="X15" i="36"/>
  <c r="W7" i="36"/>
  <c r="W15" i="36"/>
  <c r="T7" i="36"/>
  <c r="S7" i="36"/>
  <c r="P7" i="36"/>
  <c r="P15" i="36"/>
  <c r="O7" i="36"/>
  <c r="O15" i="36"/>
  <c r="L7" i="36"/>
  <c r="L15" i="36"/>
  <c r="K7" i="36"/>
  <c r="K15" i="36"/>
  <c r="H7" i="36"/>
  <c r="H15" i="36"/>
  <c r="D7" i="36"/>
  <c r="C7" i="36"/>
  <c r="C15" i="36"/>
  <c r="Y6" i="36"/>
  <c r="Y5" i="36"/>
  <c r="Y7" i="36"/>
  <c r="Y13" i="36"/>
  <c r="Y15" i="36"/>
  <c r="U6" i="36"/>
  <c r="Q6" i="36"/>
  <c r="Q5" i="36"/>
  <c r="Q7" i="36"/>
  <c r="Q15" i="36"/>
  <c r="M6" i="36"/>
  <c r="I6" i="36"/>
  <c r="E6" i="36"/>
  <c r="E5" i="36"/>
  <c r="E7" i="36"/>
  <c r="E15" i="36"/>
  <c r="U5" i="36"/>
  <c r="U7" i="36"/>
  <c r="U15" i="36"/>
  <c r="M5" i="36"/>
  <c r="I5" i="36"/>
  <c r="H3" i="35"/>
  <c r="H3" i="34"/>
  <c r="Q47" i="33"/>
  <c r="Q33" i="33"/>
  <c r="N47" i="33"/>
  <c r="K47" i="33"/>
  <c r="K33" i="33"/>
  <c r="H47" i="33"/>
  <c r="E47" i="33"/>
  <c r="E48"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c r="R35" i="33"/>
  <c r="R39" i="33"/>
  <c r="R41" i="33"/>
  <c r="R43" i="33"/>
  <c r="R44" i="33"/>
  <c r="R32" i="33"/>
  <c r="R33" i="33"/>
  <c r="P44" i="33"/>
  <c r="O44" i="33"/>
  <c r="M44" i="33"/>
  <c r="J44" i="33"/>
  <c r="I44" i="33"/>
  <c r="G44" i="33"/>
  <c r="F44" i="33"/>
  <c r="D44" i="33"/>
  <c r="C44" i="33"/>
  <c r="P43" i="33"/>
  <c r="O43" i="33"/>
  <c r="M43" i="33"/>
  <c r="J43" i="33"/>
  <c r="I43" i="33"/>
  <c r="G43" i="33"/>
  <c r="D43" i="33"/>
  <c r="C43" i="33"/>
  <c r="P41" i="33"/>
  <c r="O41" i="33"/>
  <c r="M41" i="33"/>
  <c r="J41" i="33"/>
  <c r="G41" i="33"/>
  <c r="F41" i="33"/>
  <c r="I39" i="33"/>
  <c r="G39" i="33"/>
  <c r="F39" i="33"/>
  <c r="D39" i="33"/>
  <c r="C39" i="33"/>
  <c r="P35" i="33"/>
  <c r="O35" i="33"/>
  <c r="M35" i="33"/>
  <c r="J35" i="33"/>
  <c r="G35" i="33"/>
  <c r="F35" i="33"/>
  <c r="D35" i="33"/>
  <c r="N33" i="33"/>
  <c r="H33" i="33"/>
  <c r="H48" i="33"/>
  <c r="P32" i="33"/>
  <c r="P33" i="33"/>
  <c r="O32" i="33"/>
  <c r="O33" i="33"/>
  <c r="M32" i="33"/>
  <c r="M33" i="33"/>
  <c r="L32" i="33"/>
  <c r="L33" i="33"/>
  <c r="J32" i="33"/>
  <c r="J33" i="33"/>
  <c r="G32" i="33"/>
  <c r="G33" i="33"/>
  <c r="F32" i="33"/>
  <c r="F33" i="33"/>
  <c r="D32" i="33"/>
  <c r="D33" i="33"/>
  <c r="C32" i="33"/>
  <c r="C33" i="33"/>
  <c r="C28" i="33"/>
  <c r="Q24" i="33"/>
  <c r="N24" i="33"/>
  <c r="K24" i="33"/>
  <c r="H24" i="33"/>
  <c r="E24" i="33"/>
  <c r="S23" i="33"/>
  <c r="P23" i="33"/>
  <c r="O23" i="33"/>
  <c r="M23" i="33"/>
  <c r="L23" i="33"/>
  <c r="J23" i="33"/>
  <c r="I23" i="33"/>
  <c r="G23" i="33"/>
  <c r="F23" i="33"/>
  <c r="C23" i="33"/>
  <c r="S22" i="33"/>
  <c r="P22" i="33"/>
  <c r="M22" i="33"/>
  <c r="J22" i="33"/>
  <c r="I22" i="33"/>
  <c r="G22" i="33"/>
  <c r="F22" i="33"/>
  <c r="B24" i="33"/>
  <c r="B10" i="33"/>
  <c r="S21" i="33"/>
  <c r="P21" i="33"/>
  <c r="C21" i="33"/>
  <c r="S18" i="33"/>
  <c r="P18" i="33"/>
  <c r="S16" i="33"/>
  <c r="P16" i="33"/>
  <c r="O16" i="33"/>
  <c r="S12" i="33"/>
  <c r="P12" i="33"/>
  <c r="O12" i="33"/>
  <c r="M12" i="33"/>
  <c r="L12" i="33"/>
  <c r="J12" i="33"/>
  <c r="I12" i="33"/>
  <c r="G12" i="33"/>
  <c r="F12" i="33"/>
  <c r="C12" i="33"/>
  <c r="Q10" i="33"/>
  <c r="N10" i="33"/>
  <c r="K10" i="33"/>
  <c r="H10" i="33"/>
  <c r="E10" i="33"/>
  <c r="S9" i="33"/>
  <c r="S10" i="33"/>
  <c r="R9" i="33"/>
  <c r="R10" i="33"/>
  <c r="P9" i="33"/>
  <c r="P10" i="33"/>
  <c r="O9" i="33"/>
  <c r="O10" i="33"/>
  <c r="M9" i="33"/>
  <c r="M10" i="33"/>
  <c r="L9" i="33"/>
  <c r="L10" i="33"/>
  <c r="J9" i="33"/>
  <c r="J10" i="33"/>
  <c r="I9" i="33"/>
  <c r="I10" i="33"/>
  <c r="G9" i="33"/>
  <c r="G10" i="33"/>
  <c r="F9" i="33"/>
  <c r="F10" i="33"/>
  <c r="C9" i="33"/>
  <c r="C10" i="33"/>
  <c r="C22" i="33"/>
  <c r="F4" i="33"/>
  <c r="G4" i="33"/>
  <c r="G28" i="33"/>
  <c r="D4" i="33"/>
  <c r="D28" i="33"/>
  <c r="K15" i="120"/>
  <c r="K33" i="120"/>
  <c r="T15" i="36"/>
  <c r="K42" i="36"/>
  <c r="D42" i="36"/>
  <c r="I33" i="129"/>
  <c r="D15" i="36"/>
  <c r="J32" i="135"/>
  <c r="M7" i="36"/>
  <c r="M15" i="36"/>
  <c r="Q42" i="36"/>
  <c r="S15" i="36"/>
  <c r="E33" i="36"/>
  <c r="E42" i="36"/>
  <c r="H32" i="135"/>
  <c r="I7" i="36"/>
  <c r="I15" i="36"/>
  <c r="C42" i="36"/>
  <c r="F32" i="135"/>
  <c r="O42" i="36"/>
  <c r="Y33" i="36"/>
  <c r="Y42" i="36"/>
  <c r="C32" i="135"/>
  <c r="D32" i="135"/>
  <c r="G49" i="119"/>
  <c r="J49" i="119"/>
  <c r="D33" i="120"/>
  <c r="G33" i="129"/>
  <c r="H33" i="129"/>
  <c r="L33" i="129"/>
  <c r="N15" i="120"/>
  <c r="C49" i="119"/>
  <c r="E49" i="119"/>
  <c r="P23" i="117"/>
  <c r="P24" i="117"/>
  <c r="S24" i="117"/>
  <c r="K50" i="117"/>
  <c r="O37" i="117"/>
  <c r="R50" i="117"/>
  <c r="L50" i="117"/>
  <c r="S11" i="117"/>
  <c r="P40" i="117"/>
  <c r="S40" i="117"/>
  <c r="O30" i="117"/>
  <c r="P41" i="117"/>
  <c r="S41" i="117"/>
  <c r="N25" i="33"/>
  <c r="B48" i="33"/>
  <c r="K48" i="33"/>
  <c r="S28" i="117"/>
  <c r="P30" i="117"/>
  <c r="S30" i="117"/>
  <c r="N12" i="135"/>
  <c r="N32" i="135"/>
  <c r="O20" i="117"/>
  <c r="O16" i="117"/>
  <c r="O50" i="117"/>
  <c r="N33" i="129"/>
  <c r="B34" i="129"/>
  <c r="N34" i="129"/>
  <c r="P16" i="117"/>
  <c r="S16" i="117"/>
  <c r="P48" i="117"/>
  <c r="N16" i="129"/>
  <c r="B33" i="120"/>
  <c r="N33" i="120"/>
  <c r="S23" i="117"/>
  <c r="H26" i="131"/>
  <c r="N48" i="33"/>
  <c r="B25" i="33"/>
  <c r="D26" i="131"/>
  <c r="C26" i="131"/>
  <c r="G26" i="131"/>
  <c r="J26" i="131"/>
  <c r="P47" i="33"/>
  <c r="P48" i="33"/>
  <c r="E25" i="33"/>
  <c r="Q25" i="33"/>
  <c r="Q48" i="33"/>
  <c r="M24" i="33"/>
  <c r="M25" i="33"/>
  <c r="S24" i="33"/>
  <c r="S25" i="33"/>
  <c r="K25" i="33"/>
  <c r="S47" i="33"/>
  <c r="S48" i="33"/>
  <c r="C47" i="33"/>
  <c r="P24" i="33"/>
  <c r="P25" i="33"/>
  <c r="J47" i="33"/>
  <c r="J48" i="33"/>
  <c r="E40" i="131"/>
  <c r="H25" i="33"/>
  <c r="J24" i="33"/>
  <c r="J25" i="33"/>
  <c r="G47" i="33"/>
  <c r="G48" i="33"/>
  <c r="M47" i="33"/>
  <c r="M48" i="33"/>
  <c r="D47" i="33"/>
  <c r="D48" i="33"/>
  <c r="K40" i="131"/>
  <c r="G24" i="33"/>
  <c r="G25" i="33"/>
  <c r="F28" i="33"/>
  <c r="I4" i="33"/>
  <c r="S48" i="117"/>
  <c r="P50" i="117"/>
  <c r="S50" i="117"/>
  <c r="L4" i="33"/>
  <c r="I28" i="33"/>
  <c r="J4" i="33"/>
  <c r="J28" i="33"/>
  <c r="L28" i="33"/>
  <c r="O4" i="33"/>
  <c r="M4" i="33"/>
  <c r="M28" i="33"/>
  <c r="P4" i="33"/>
  <c r="P28" i="33"/>
  <c r="O28" i="33"/>
  <c r="R4" i="33"/>
  <c r="R28" i="33"/>
  <c r="S4" i="33"/>
  <c r="S28" i="33"/>
  <c r="C24" i="33"/>
  <c r="C25" i="33" s="1"/>
  <c r="C48" i="33"/>
  <c r="R25" i="33"/>
  <c r="L47" i="33"/>
  <c r="I47" i="33"/>
  <c r="R47" i="33"/>
  <c r="L48" i="33"/>
  <c r="F47" i="33"/>
  <c r="F48" i="33"/>
  <c r="O47" i="33"/>
  <c r="O48" i="33"/>
  <c r="I24" i="33"/>
  <c r="I25" i="33"/>
  <c r="O24" i="33"/>
  <c r="O25" i="33"/>
  <c r="L24" i="33"/>
  <c r="L25" i="33"/>
  <c r="R48" i="33"/>
  <c r="F24" i="33"/>
  <c r="F25" i="33"/>
  <c r="I48" i="33"/>
  <c r="M40" i="131"/>
  <c r="J40" i="131"/>
  <c r="G40" i="131"/>
  <c r="D40" i="131"/>
</calcChain>
</file>

<file path=xl/sharedStrings.xml><?xml version="1.0" encoding="utf-8"?>
<sst xmlns="http://schemas.openxmlformats.org/spreadsheetml/2006/main" count="716" uniqueCount="308">
  <si>
    <t xml:space="preserve">SAN DIEGO GAS &amp; ELECTRIC COMPANY REPORT ON INTERRUPTIBLE LOAD AND DEMAND RESPONSE PROGRAMS </t>
  </si>
  <si>
    <t>SUBSCRIPTION STATISTICS - ENROLLED MWs</t>
  </si>
  <si>
    <t>January 2019</t>
  </si>
  <si>
    <t>January</t>
  </si>
  <si>
    <t>February</t>
  </si>
  <si>
    <t>March</t>
  </si>
  <si>
    <t>April</t>
  </si>
  <si>
    <t>May</t>
  </si>
  <si>
    <t>June</t>
  </si>
  <si>
    <t>Programs</t>
  </si>
  <si>
    <t>Service Accounts</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</si>
  <si>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</si>
  <si>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1</t>
    </r>
  </si>
  <si>
    <t xml:space="preserve">Ex Ante Estimated MW </t>
  </si>
  <si>
    <t xml:space="preserve">Ex Post Estimated MW </t>
  </si>
  <si>
    <t xml:space="preserve">Service Accounts </t>
  </si>
  <si>
    <t>Ex Ante Estimated MW</t>
  </si>
  <si>
    <r>
      <t>Ex Ante Estimated MW</t>
    </r>
    <r>
      <rPr>
        <b/>
        <sz val="11"/>
        <rFont val="Arial"/>
        <family val="2"/>
      </rPr>
      <t xml:space="preserve"> </t>
    </r>
  </si>
  <si>
    <t>Eligible Accounts as of Aug 31, 2012</t>
  </si>
  <si>
    <t>Interruptible/Reliability</t>
  </si>
  <si>
    <t>BIP - (20 minute option)</t>
  </si>
  <si>
    <t xml:space="preserve">  Sub-Total Interruptible</t>
  </si>
  <si>
    <t>Demand Response Programs</t>
  </si>
  <si>
    <t>CPP-D (Large and Medium customers)</t>
  </si>
  <si>
    <t xml:space="preserve">Armed Forces Pilot </t>
  </si>
  <si>
    <t>Over Generation Pilot</t>
  </si>
  <si>
    <t>Small Business Energy Management Pilot</t>
  </si>
  <si>
    <t>AC Saver Day-Ahead Residential</t>
  </si>
  <si>
    <t>AC Saver Day-Ahead Commercial</t>
  </si>
  <si>
    <t>AC Saver Day-Of Residential</t>
  </si>
  <si>
    <t>AC Saver Day-Of Commercial</t>
  </si>
  <si>
    <t xml:space="preserve">CBP - Day-Ahead </t>
  </si>
  <si>
    <t xml:space="preserve">CBP - Day-Of </t>
  </si>
  <si>
    <t>TOU-A-P Small Commercial</t>
  </si>
  <si>
    <t>TOU-DR-P Voluntary Residential</t>
  </si>
  <si>
    <t>Sub-Total Demand Response Programs</t>
  </si>
  <si>
    <t>Total All Programs</t>
  </si>
  <si>
    <t>July</t>
  </si>
  <si>
    <t xml:space="preserve">August </t>
  </si>
  <si>
    <t xml:space="preserve">September </t>
  </si>
  <si>
    <t>October</t>
  </si>
  <si>
    <t xml:space="preserve">November </t>
  </si>
  <si>
    <t>December</t>
  </si>
  <si>
    <t xml:space="preserve">Ex Ante Estimated MW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</si>
  <si>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</si>
  <si>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2nd, 2018.</t>
    </r>
  </si>
  <si>
    <t>-  PTR Residential - Effective  12/31/2018 the program ended.</t>
  </si>
  <si>
    <t>-  Effective January 1, 2018 the Summer Saver Program is now called the AC Saver.</t>
  </si>
  <si>
    <t>-  Capacity Bidding reports the number of nominations not enrollments.</t>
  </si>
  <si>
    <t>-  The resource adequacy measurement hours were modified to HE17-HE21 (4:00 p.m. – 9:00 p.m.) for each month of the year beginning in 2019. Therefore, the ex-ante estimates for the months of April-December will be update in May 2019.</t>
  </si>
  <si>
    <t>(End of page)</t>
  </si>
  <si>
    <t>Average Ex Ante Load Impact kW / Customer</t>
  </si>
  <si>
    <t>Eligible Accounts as of January 2018</t>
  </si>
  <si>
    <t>Program</t>
  </si>
  <si>
    <t>Eligibility Criteria (Refer to tariff for specifics)</t>
  </si>
  <si>
    <r>
      <t xml:space="preserve">Applicable to all non-residential time-of-use metered customers who can commit to curtail at least 15% of Monthly Average Peak Demand, with a minimum load reduction of 100 kW and who request service per the BIP Schedule and comply with Special Condition 3. The BIP Schedule is available to bundled, Direct Access, and Community Choice Aggregation (CCA) customers. Qualifying customers are required to complete a Base Interruptible Program Contract with SDG&amp;E in order to participate in BIP Tariff. </t>
    </r>
    <r>
      <rPr>
        <strike/>
        <sz val="10"/>
        <rFont val="Arial"/>
        <family val="2"/>
      </rPr>
      <t/>
    </r>
  </si>
  <si>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Direct Access (DA) or Community Choice Aggregation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</si>
  <si>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Direct Access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</si>
  <si>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</si>
  <si>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Direct Access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</si>
  <si>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air conditioner (AC) units installed at their premise with SDG&amp;E approved technology capable of curtailing the customers’ AC unit. The AC Saver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</si>
  <si>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</si>
  <si>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Direct Access (DA), Transitional Bundled Service (TBS) or Community Choice Aggregation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</si>
  <si>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Direct Access (DA), Transitional Bundled Service (TBS) or Community Choice Aggregation (CCA) customers.</t>
  </si>
  <si>
    <t>-  The Estimated Average Ex-Ante Load Impact kW/Customer = Average kW / Customer, under 1-in-2 weather conditions, of an event that would occur from 1 - 6 pm on the summer months.</t>
  </si>
  <si>
    <t>-  The ex-ante average per customer are based on PY17 SDG&amp;E DR Load Impacts report filed on April 2nd, 2018.</t>
  </si>
  <si>
    <t>-  Ex-Ante winter months are assumed to be November - March (4pm-9pm) and summer months are April - October (1pm-6pm).  (Source: Decision 06-07-031 RA OPINION ON REMAINING PHASE 1 ISSUES).</t>
  </si>
  <si>
    <t>-  PTR Residential - Effective 12/31/2018 the program ended.</t>
  </si>
  <si>
    <t>Average Ex Post Load Impact kW / Customer</t>
  </si>
  <si>
    <t>Eligible Accounts as January 2018</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</si>
  <si>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</si>
  <si>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</si>
  <si>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2nd, 2018.</t>
  </si>
  <si>
    <t>Detailed Breakdown of MWs To Date in TA/Auto DR/TI Programs (A)</t>
  </si>
  <si>
    <t>Price Responsive</t>
  </si>
  <si>
    <t>TA Identified MWs</t>
  </si>
  <si>
    <t>Auto DR Verified MWs</t>
  </si>
  <si>
    <t>TI Verified MWs</t>
  </si>
  <si>
    <t>Total Technology MWs</t>
  </si>
  <si>
    <t>CPP-D</t>
  </si>
  <si>
    <t>CBP</t>
  </si>
  <si>
    <t>Total</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</si>
  <si>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</si>
  <si>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</si>
  <si>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</si>
  <si>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</si>
  <si>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</si>
  <si>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</si>
  <si>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</si>
  <si>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</si>
  <si>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</si>
  <si>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</si>
  <si>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</si>
  <si>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</si>
  <si>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</si>
  <si>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</si>
  <si>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</si>
  <si>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</si>
  <si>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</si>
  <si>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</si>
  <si>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</si>
  <si>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</si>
  <si>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</si>
  <si>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</si>
  <si>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</si>
  <si>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</si>
  <si>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</si>
  <si>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Jan</t>
  </si>
  <si>
    <t>Feb</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</si>
  <si>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</si>
  <si>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</si>
  <si>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</si>
  <si>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</si>
  <si>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</si>
  <si>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</si>
  <si>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</si>
  <si>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PTR Residential</t>
  </si>
  <si>
    <t>-  Technology Deployment (TD) Verified MWs: Represents the average load reduction expected on an event day based on the ex-post results for customers with qualifying technology.</t>
  </si>
  <si>
    <t>-  All accounts in the TI program have completed their 3 year program commitments.</t>
  </si>
  <si>
    <t>Technology Deployment- Commercial MWs</t>
  </si>
  <si>
    <t xml:space="preserve">SAN DIEGO GAS &amp; ELECTRIC REPORT COMPANY ON INTERRUPTIBLE LOAD AND DEMAND RESPONSE PROGRAMS </t>
  </si>
  <si>
    <t>YEAR TO DATE PROGRAM EXPENDITURES</t>
  </si>
  <si>
    <t>Cost Item</t>
  </si>
  <si>
    <t>Year-to Date 2018 Expenditures</t>
  </si>
  <si>
    <t>Year-to Date 2019 Expenditures</t>
  </si>
  <si>
    <t>Program Cycle-to-Date Total Expenditures 2018-19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</si>
  <si>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</si>
  <si>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</si>
  <si>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</si>
  <si>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</si>
  <si>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</si>
  <si>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</si>
  <si>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t>
    </r>
  </si>
  <si>
    <t xml:space="preserve">Capacity Bidding Program (CBP) </t>
  </si>
  <si>
    <r>
      <t>Peak Time Rebate (PTR)</t>
    </r>
    <r>
      <rPr>
        <vertAlign val="superscript"/>
        <sz val="10"/>
        <color rgb="FFFF0000"/>
        <rFont val="Arial"/>
        <family val="2"/>
      </rPr>
      <t xml:space="preserve"> 1,2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</si>
  <si>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</si>
  <si>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</si>
  <si>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</si>
  <si>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</si>
  <si>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</si>
  <si>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</si>
  <si>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</si>
  <si>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</si>
  <si>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</si>
  <si>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</si>
  <si>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</si>
  <si>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</si>
  <si>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</si>
  <si>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</si>
  <si>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</si>
  <si>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 </t>
  </si>
  <si>
    <t xml:space="preserve"> Budget Category 5 Total</t>
  </si>
  <si>
    <t>Category 6:  Marketing, Education, and Outreach</t>
  </si>
  <si>
    <t xml:space="preserve">Local Marketing Education &amp; Outreach (LME&amp;O) </t>
  </si>
  <si>
    <t xml:space="preserve"> Budget Category 6 Total</t>
  </si>
  <si>
    <t>Category 7:  Portfolio Support</t>
  </si>
  <si>
    <t>Regulatory Policy &amp; Program Support (Gen. Admin.)</t>
  </si>
  <si>
    <t>IT Infrastructure &amp; Systems Support</t>
  </si>
  <si>
    <t xml:space="preserve">EM&amp;V </t>
  </si>
  <si>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</si>
  <si>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</si>
  <si>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</si>
  <si>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</si>
  <si>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0"/>
        <color indexed="8"/>
        <rFont val="Arial"/>
        <family val="2"/>
      </rPr>
      <t xml:space="preserve"> PTR Residential - Effective  12/31/2018 the program ended.</t>
    </r>
  </si>
  <si>
    <t>CARRY-OVER EXPENDITURES FROM (2017) PROGRAM CYCLE</t>
  </si>
  <si>
    <t>Total Carry Over Expenditures 2017-2018</t>
  </si>
  <si>
    <t xml:space="preserve">  Capacity Bidding Program </t>
  </si>
  <si>
    <t>Budget Category 1 Total</t>
  </si>
  <si>
    <t xml:space="preserve">  Summer Saver</t>
  </si>
  <si>
    <t>Budget Category 2 Total</t>
  </si>
  <si>
    <t xml:space="preserve">  Small Commercial Technology Deployment (SCTD)</t>
  </si>
  <si>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</si>
  <si>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</si>
  <si>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</si>
  <si>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</si>
  <si>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</si>
  <si>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</si>
  <si>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</si>
  <si>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</si>
  <si>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</si>
  <si>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commited 2017 through 2018.</t>
    </r>
  </si>
  <si>
    <t>FUND SHIFT LOG</t>
  </si>
  <si>
    <t>Program Category</t>
  </si>
  <si>
    <t>Fund Shift</t>
  </si>
  <si>
    <t>Programs Impacted</t>
  </si>
  <si>
    <t>Date</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</si>
  <si>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</si>
  <si>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</si>
  <si>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</si>
  <si>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</si>
  <si>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</si>
  <si>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</si>
  <si>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</si>
  <si>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</si>
  <si>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</si>
  <si>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</si>
  <si>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</si>
  <si>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t>MARKETING, EDUCATION &amp; OUTREACH</t>
  </si>
  <si>
    <t>2019 Expenditures for Marketing, Education and Outreach</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</si>
  <si>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</si>
  <si>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</si>
  <si>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</si>
  <si>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</si>
  <si>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Calibri"/>
        <family val="2"/>
      </rPr>
      <t xml:space="preserve"> </t>
    </r>
  </si>
  <si>
    <t xml:space="preserve">Local IDSM Marketing </t>
  </si>
  <si>
    <t>Base Interruptible Program</t>
  </si>
  <si>
    <t>Back Up Generators (BUGs)</t>
  </si>
  <si>
    <t>Capacity Bidding Program</t>
  </si>
  <si>
    <t>AC Saver Day Ahead</t>
  </si>
  <si>
    <t>AC Saver Day Of</t>
  </si>
  <si>
    <t>Technology Deployment</t>
  </si>
  <si>
    <t xml:space="preserve">Technology Incentives </t>
  </si>
  <si>
    <t xml:space="preserve">Smart Pricing </t>
  </si>
  <si>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</si>
  <si>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</si>
  <si>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</si>
  <si>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Calibri"/>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</si>
  <si>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</si>
  <si>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</si>
  <si>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</si>
  <si>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</si>
  <si>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</si>
  <si>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</si>
  <si>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</si>
  <si>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</si>
  <si>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</si>
  <si>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t xml:space="preserve">II. TOTAL UTILITY MARKETING BY ITEMIZED COST </t>
  </si>
  <si>
    <t>III. UTILITY MARKETING BY CUSTOMER SEGMENT</t>
  </si>
  <si>
    <t>Agricultural</t>
  </si>
  <si>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</si>
  <si>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</si>
  <si>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</si>
  <si>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</si>
  <si>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</si>
  <si>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t>EVENT SUMMARY</t>
  </si>
  <si>
    <t>Jul-Oct 2018</t>
  </si>
  <si>
    <t>Year-to-Date Event Summary</t>
  </si>
  <si>
    <t>Event No.</t>
  </si>
  <si>
    <t>Event Trigger</t>
  </si>
  <si>
    <r>
      <t xml:space="preserve">Load Reduction     kW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</si>
  <si>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</si>
  <si>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</si>
  <si>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r>
      <rPr>
        <vertAlign val="superscript"/>
        <sz val="12"/>
        <color rgb="FFFF0000"/>
        <rFont val="Arial"/>
        <family val="2"/>
      </rPr>
      <t>1</t>
    </r>
    <r>
      <rPr>
        <b/>
        <vertAlign val="superscript"/>
        <sz val="12"/>
        <color rgb="FFFF0000"/>
        <rFont val="Arial"/>
        <family val="2"/>
      </rPr>
      <t xml:space="preserve">  </t>
    </r>
    <r>
      <rPr>
        <sz val="12"/>
        <rFont val="Arial"/>
        <family val="2"/>
      </rPr>
      <t>If the kW</t>
    </r>
    <r>
      <rPr>
        <sz val="12"/>
        <color theme="1"/>
        <rFont val="Arial"/>
        <family val="2"/>
      </rPr>
      <t xml:space="preserve"> Load Re</t>
    </r>
    <r>
      <rPr>
        <sz val="12"/>
        <rFont val="Arial"/>
        <family val="2"/>
      </rPr>
      <t>duction is 0.00, there was no actual load reduction. If the kW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</si>
  <si>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</si>
  <si>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</si>
  <si>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</si>
  <si>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</si>
  <si>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</si>
  <si>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</si>
  <si>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</si>
  <si>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9"/>
        <rFont val="Arial"/>
        <family val="2"/>
      </rPr>
      <t xml:space="preserve"> </t>
    </r>
    <r>
      <rPr>
        <vertAlign val="superscript"/>
        <sz val="9"/>
        <color rgb="FFFF0000"/>
        <rFont val="Arial"/>
        <family val="2"/>
      </rPr>
      <t>1</t>
    </r>
  </si>
  <si>
    <r>
      <t>Peak Time Rebate (PTR)</t>
    </r>
    <r>
      <rPr>
        <vertAlign val="superscript"/>
        <sz val="10"/>
        <color rgb="FFFF0000"/>
        <rFont val="Arial"/>
        <family val="2"/>
      </rPr>
      <t>1</t>
    </r>
  </si>
  <si>
    <t>Demand Response Auction Mechanism (DRAM)</t>
  </si>
  <si>
    <t>Emerging Tech (ET)</t>
  </si>
  <si>
    <t>Technology Deployment (TD)</t>
  </si>
  <si>
    <t>Armed Forces Pilot</t>
  </si>
  <si>
    <t>Over Gen Pilot</t>
  </si>
  <si>
    <t>Small Business Energy Management Pilot (SBEMP)</t>
  </si>
  <si>
    <t>Constrained Local Capacity Program (CLCP)</t>
  </si>
  <si>
    <t xml:space="preserve">Local Marketing Education &amp; Outreach (LMEO) </t>
  </si>
  <si>
    <t>General Admin</t>
  </si>
  <si>
    <t>IT</t>
  </si>
  <si>
    <r>
      <t>SW-COM</t>
    </r>
    <r>
      <rPr>
        <vertAlign val="superscript"/>
        <sz val="9"/>
        <color rgb="FFFF0000"/>
        <rFont val="Arial"/>
        <family val="2"/>
      </rPr>
      <t xml:space="preserve"> </t>
    </r>
  </si>
  <si>
    <r>
      <t xml:space="preserve">SW-IND </t>
    </r>
    <r>
      <rPr>
        <vertAlign val="superscript"/>
        <sz val="10"/>
        <color rgb="FFFF0000"/>
        <rFont val="Arial"/>
        <family val="2"/>
      </rPr>
      <t>2</t>
    </r>
  </si>
  <si>
    <r>
      <t>SW-AG</t>
    </r>
    <r>
      <rPr>
        <vertAlign val="superscript"/>
        <sz val="9"/>
        <color rgb="FFFF0000"/>
        <rFont val="Arial"/>
        <family val="2"/>
      </rPr>
      <t xml:space="preserve"> </t>
    </r>
  </si>
  <si>
    <t xml:space="preserve">Local Marketing Res and Non-Res </t>
  </si>
  <si>
    <t>Behavioral</t>
  </si>
  <si>
    <t xml:space="preserve">  Total Administrative (O&amp;M) </t>
  </si>
  <si>
    <t>Customer Incentives</t>
  </si>
  <si>
    <t>AC Saver Day‐Of</t>
  </si>
  <si>
    <t xml:space="preserve">Base Interruptible Program (BIP) </t>
  </si>
  <si>
    <t>CPPD</t>
  </si>
  <si>
    <t xml:space="preserve">SCTD </t>
  </si>
  <si>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</si>
  <si>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</si>
  <si>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</si>
  <si>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</si>
  <si>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</si>
  <si>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</si>
  <si>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</si>
  <si>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</si>
  <si>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</si>
  <si>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</si>
  <si>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</si>
  <si>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</si>
  <si>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</si>
  <si>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</si>
  <si>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</si>
  <si>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</si>
  <si>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</si>
  <si>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</si>
  <si>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</si>
  <si>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</si>
  <si>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</si>
  <si>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</si>
  <si>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</si>
  <si>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</si>
  <si>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</si>
  <si>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Rule 32 Operations</t>
    </r>
    <r>
      <rPr>
        <vertAlign val="superscript"/>
        <sz val="10"/>
        <color rgb="FFFF0000"/>
        <rFont val="Arial"/>
        <family val="2"/>
      </rPr>
      <t>2</t>
    </r>
  </si>
  <si>
    <t>Rule 32 Meter</t>
  </si>
  <si>
    <r>
      <t>Rule 32 Click-Through</t>
    </r>
    <r>
      <rPr>
        <vertAlign val="superscript"/>
        <sz val="10"/>
        <color rgb="FFFF0000"/>
        <rFont val="Arial"/>
        <family val="2"/>
      </rPr>
      <t>1</t>
    </r>
  </si>
  <si>
    <t>Capital Related Costs</t>
  </si>
  <si>
    <t>Depreciation</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</si>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</sst>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strike/>
      <sz val="10"/>
      <name val="Arial"/>
      <family val="2"/>
    </font>
    <font>
      <b/>
      <sz val="10"/>
      <name val="Calibri"/>
      <family val="2"/>
    </font>
    <font>
      <b/>
      <sz val="12"/>
      <name val="Calibri"/>
      <family val="2"/>
    </font>
    <font>
      <b/>
      <vertAlign val="superscript"/>
      <sz val="10"/>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color theme="1"/>
      <name val="Century Gothic"/>
      <family val="2"/>
    </font>
    <font>
      <sz val="10"/>
      <name val="Century Gothic"/>
      <family val="2"/>
    </font>
    <font>
      <sz val="11"/>
      <name val="Calibri"/>
      <family val="2"/>
    </font>
    <font>
      <sz val="12"/>
      <color indexed="8"/>
      <name val="Arial"/>
      <family val="2"/>
    </font>
    <font>
      <vertAlign val="superscript"/>
      <sz val="9"/>
      <name val="Arial"/>
      <family val="2"/>
    </font>
    <font>
      <b/>
      <vertAlign val="superscript"/>
      <sz val="10"/>
      <color rgb="FFFF0000"/>
      <name val="Calibri"/>
      <family val="2"/>
    </font>
  </fonts>
  <fills count="5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7"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4" fillId="0" borderId="0" applyFont="0" applyFill="0" applyBorder="0" applyAlignment="0" applyProtection="0"/>
    <xf numFmtId="175" fontId="56"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5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59"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73"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73"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701">
    <xf numFmtId="175" fontId="0" fillId="0" borderId="0" xfId="0"/>
    <xf numFmtId="3" fontId="12" fillId="0" borderId="24" xfId="0" applyNumberFormat="1" applyFont="1" applyBorder="1" applyAlignment="1">
      <alignment horizontal="center"/>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3" fontId="12" fillId="0" borderId="42" xfId="0" applyNumberFormat="1" applyFont="1" applyBorder="1" applyAlignment="1" applyProtection="1">
      <alignment wrapText="1"/>
      <protection locked="0"/>
    </xf>
    <xf numFmtId="165" fontId="12" fillId="0" borderId="25" xfId="0" applyNumberFormat="1" applyFont="1" applyBorder="1" applyAlignment="1" applyProtection="1">
      <alignment horizontal="center"/>
      <protection locked="0"/>
    </xf>
    <xf numFmtId="165" fontId="12" fillId="0" borderId="0" xfId="0" applyNumberFormat="1" applyFont="1" applyProtection="1">
      <protection locked="0"/>
    </xf>
    <xf numFmtId="3" fontId="12" fillId="0" borderId="55" xfId="0" applyNumberFormat="1" applyFont="1" applyBorder="1" applyAlignment="1" applyProtection="1">
      <alignment wrapText="1"/>
      <protection locked="0"/>
    </xf>
    <xf numFmtId="165" fontId="12" fillId="0" borderId="32" xfId="0" applyNumberFormat="1" applyFont="1" applyBorder="1" applyAlignment="1" applyProtection="1">
      <alignment horizontal="center"/>
      <protection locked="0"/>
    </xf>
    <xf numFmtId="165" fontId="12" fillId="0" borderId="0" xfId="0" applyNumberFormat="1" applyFont="1" applyAlignment="1" applyProtection="1">
      <alignment horizontal="center"/>
      <protection locked="0"/>
    </xf>
    <xf numFmtId="175" fontId="12" fillId="0" borderId="0" xfId="0" applyFont="1" applyProtection="1">
      <protection locked="0"/>
    </xf>
    <xf numFmtId="175" fontId="13" fillId="0" borderId="0" xfId="0" applyFont="1" applyAlignment="1" applyProtection="1">
      <alignment horizontal="center" wrapText="1"/>
      <protection locked="0"/>
    </xf>
    <xf numFmtId="3" fontId="12" fillId="0" borderId="0" xfId="0" applyNumberFormat="1" applyFont="1" applyProtection="1">
      <protection locked="0"/>
    </xf>
    <xf numFmtId="175" fontId="13" fillId="0" borderId="0" xfId="0" applyFont="1" applyAlignment="1" applyProtection="1">
      <alignment wrapText="1"/>
      <protection locked="0"/>
    </xf>
    <xf numFmtId="3" fontId="44" fillId="0" borderId="17" xfId="0" applyNumberFormat="1" applyFont="1" applyBorder="1" applyAlignment="1">
      <alignment horizontal="center"/>
    </xf>
    <xf numFmtId="6" fontId="12" fillId="0" borderId="0" xfId="66" applyNumberFormat="1"/>
    <xf numFmtId="6" fontId="12" fillId="0" borderId="13" xfId="66" applyNumberFormat="1" applyBorder="1"/>
    <xf numFmtId="6" fontId="12" fillId="0" borderId="13" xfId="66" applyNumberFormat="1" applyBorder="1" applyAlignment="1">
      <alignment horizontal="right"/>
    </xf>
    <xf numFmtId="6" fontId="12" fillId="0" borderId="18" xfId="66" applyNumberFormat="1" applyBorder="1"/>
    <xf numFmtId="6" fontId="12" fillId="0" borderId="11" xfId="66" applyNumberFormat="1" applyBorder="1"/>
    <xf numFmtId="175" fontId="12" fillId="0" borderId="0" xfId="66"/>
    <xf numFmtId="175" fontId="14" fillId="0" borderId="0" xfId="67"/>
    <xf numFmtId="175" fontId="33" fillId="0" borderId="11" xfId="67" applyFont="1" applyBorder="1" applyAlignment="1">
      <alignment horizontal="center"/>
    </xf>
    <xf numFmtId="175" fontId="33" fillId="0" borderId="0" xfId="67" applyFont="1" applyAlignment="1">
      <alignment horizontal="center"/>
    </xf>
    <xf numFmtId="175" fontId="13" fillId="0" borderId="44" xfId="66" applyFont="1" applyBorder="1"/>
    <xf numFmtId="175" fontId="13" fillId="0" borderId="48" xfId="66" applyFont="1" applyBorder="1" applyAlignment="1">
      <alignment wrapText="1"/>
    </xf>
    <xf numFmtId="175" fontId="42" fillId="0" borderId="0" xfId="66" applyFont="1"/>
    <xf numFmtId="175" fontId="13" fillId="44" borderId="35" xfId="66" applyFont="1" applyFill="1" applyBorder="1" applyAlignment="1">
      <alignment horizontal="center"/>
    </xf>
    <xf numFmtId="175" fontId="13" fillId="0" borderId="36" xfId="66" applyFont="1" applyBorder="1" applyAlignment="1">
      <alignment horizontal="center"/>
    </xf>
    <xf numFmtId="175" fontId="13" fillId="0" borderId="51" xfId="66" applyFont="1" applyBorder="1" applyAlignment="1">
      <alignment horizontal="center" wrapText="1"/>
    </xf>
    <xf numFmtId="175" fontId="43" fillId="0" borderId="46" xfId="66" applyFont="1" applyBorder="1" applyAlignment="1">
      <alignment horizontal="center"/>
    </xf>
    <xf numFmtId="175" fontId="12" fillId="0" borderId="47" xfId="66" applyBorder="1"/>
    <xf numFmtId="175" fontId="13" fillId="0" borderId="46" xfId="66" applyFont="1" applyBorder="1" applyAlignment="1">
      <alignment horizontal="center"/>
    </xf>
    <xf numFmtId="175" fontId="12" fillId="0" borderId="46" xfId="66" applyBorder="1"/>
    <xf numFmtId="164" fontId="12" fillId="0" borderId="0" xfId="66" applyNumberFormat="1"/>
    <xf numFmtId="164" fontId="12" fillId="0" borderId="47" xfId="66" applyNumberFormat="1" applyBorder="1"/>
    <xf numFmtId="164" fontId="12" fillId="0" borderId="18" xfId="66" applyNumberFormat="1" applyBorder="1"/>
    <xf numFmtId="164" fontId="12" fillId="0" borderId="45" xfId="66" applyNumberFormat="1" applyBorder="1"/>
    <xf numFmtId="175" fontId="13" fillId="0" borderId="46" xfId="66" applyFont="1" applyBorder="1"/>
    <xf numFmtId="164" fontId="12" fillId="0" borderId="0" xfId="66" applyNumberFormat="1" applyAlignment="1">
      <alignment horizontal="right"/>
    </xf>
    <xf numFmtId="175" fontId="13" fillId="0" borderId="46" xfId="66" applyFont="1" applyBorder="1" applyAlignment="1">
      <alignment horizontal="left" indent="1"/>
    </xf>
    <xf numFmtId="164" fontId="12" fillId="0" borderId="27" xfId="66" applyNumberFormat="1" applyBorder="1"/>
    <xf numFmtId="175" fontId="13" fillId="0" borderId="46" xfId="66" applyFont="1" applyBorder="1" applyAlignment="1">
      <alignment horizontal="center" wrapText="1"/>
    </xf>
    <xf numFmtId="175" fontId="13" fillId="0" borderId="44" xfId="66" applyFont="1" applyBorder="1" applyAlignment="1">
      <alignment horizontal="left" indent="1"/>
    </xf>
    <xf numFmtId="175" fontId="13" fillId="0" borderId="52" xfId="66" applyFont="1" applyBorder="1" applyAlignment="1">
      <alignment horizontal="left" indent="1"/>
    </xf>
    <xf numFmtId="164" fontId="12" fillId="0" borderId="53" xfId="66" applyNumberFormat="1" applyBorder="1"/>
    <xf numFmtId="175" fontId="13" fillId="0" borderId="11" xfId="66" applyFont="1" applyBorder="1"/>
    <xf numFmtId="164" fontId="12" fillId="44" borderId="18" xfId="66" applyNumberFormat="1" applyFill="1" applyBorder="1"/>
    <xf numFmtId="164" fontId="12" fillId="44" borderId="45" xfId="66" applyNumberFormat="1" applyFill="1" applyBorder="1" applyAlignment="1">
      <alignment horizontal="right"/>
    </xf>
    <xf numFmtId="164" fontId="12" fillId="44" borderId="0" xfId="66" applyNumberFormat="1" applyFill="1"/>
    <xf numFmtId="164" fontId="13" fillId="0" borderId="49" xfId="66" applyNumberFormat="1" applyFont="1" applyBorder="1"/>
    <xf numFmtId="164" fontId="13" fillId="0" borderId="50" xfId="66" applyNumberFormat="1" applyFont="1" applyBorder="1"/>
    <xf numFmtId="175" fontId="13" fillId="0" borderId="37" xfId="66" applyFont="1" applyBorder="1" applyAlignment="1">
      <alignment wrapText="1"/>
    </xf>
    <xf numFmtId="164" fontId="13" fillId="0" borderId="37" xfId="66" applyNumberFormat="1" applyFont="1" applyBorder="1"/>
    <xf numFmtId="175" fontId="13" fillId="0" borderId="0" xfId="0" applyFont="1"/>
    <xf numFmtId="175" fontId="0" fillId="0" borderId="15" xfId="0" applyBorder="1"/>
    <xf numFmtId="175" fontId="13" fillId="0" borderId="34" xfId="0" applyFont="1" applyBorder="1"/>
    <xf numFmtId="175" fontId="12" fillId="0" borderId="0" xfId="0" applyFont="1"/>
    <xf numFmtId="175" fontId="12" fillId="0" borderId="13" xfId="0" applyFont="1" applyBorder="1"/>
    <xf numFmtId="175" fontId="33" fillId="0" borderId="0" xfId="0" applyFont="1" applyProtection="1">
      <protection locked="0"/>
    </xf>
    <xf numFmtId="175" fontId="14" fillId="0" borderId="0" xfId="0" applyFont="1" applyProtection="1">
      <protection locked="0"/>
    </xf>
    <xf numFmtId="165" fontId="14" fillId="0" borderId="0" xfId="0" applyNumberFormat="1" applyFont="1" applyProtection="1">
      <protection locked="0"/>
    </xf>
    <xf numFmtId="175" fontId="45" fillId="0" borderId="0" xfId="0" applyFont="1" applyProtection="1">
      <protection locked="0"/>
    </xf>
    <xf numFmtId="172" fontId="33" fillId="0" borderId="0" xfId="0" applyNumberFormat="1" applyFont="1" applyAlignment="1" applyProtection="1">
      <alignment horizontal="right"/>
      <protection locked="0"/>
    </xf>
    <xf numFmtId="172" fontId="33" fillId="0" borderId="0" xfId="0" applyNumberFormat="1" applyFont="1" applyAlignment="1" applyProtection="1">
      <alignment horizontal="center"/>
      <protection locked="0"/>
    </xf>
    <xf numFmtId="38" fontId="46" fillId="0" borderId="0" xfId="0" applyNumberFormat="1" applyFont="1" applyProtection="1">
      <protection locked="0"/>
    </xf>
    <xf numFmtId="165" fontId="46" fillId="0" borderId="0" xfId="0" applyNumberFormat="1" applyFont="1" applyProtection="1">
      <protection locked="0"/>
    </xf>
    <xf numFmtId="175" fontId="46" fillId="0" borderId="0" xfId="0" applyFont="1" applyProtection="1">
      <protection locked="0"/>
    </xf>
    <xf numFmtId="175" fontId="14" fillId="0" borderId="0" xfId="0" applyFont="1" applyAlignment="1" applyProtection="1">
      <alignment horizontal="left" indent="1"/>
      <protection locked="0"/>
    </xf>
    <xf numFmtId="175" fontId="14" fillId="0" borderId="0" xfId="0" applyFont="1"/>
    <xf numFmtId="175" fontId="33" fillId="0" borderId="11" xfId="0" applyFont="1" applyBorder="1" applyAlignment="1">
      <alignment horizontal="center" wrapText="1"/>
    </xf>
    <xf numFmtId="175" fontId="14" fillId="0" borderId="11" xfId="0" applyFont="1" applyBorder="1"/>
    <xf numFmtId="172" fontId="14" fillId="0" borderId="11" xfId="0" applyNumberFormat="1" applyFont="1" applyBorder="1"/>
    <xf numFmtId="172" fontId="14" fillId="0" borderId="11" xfId="46" applyNumberFormat="1" applyFont="1" applyBorder="1" applyAlignment="1">
      <alignment horizontal="right"/>
    </xf>
    <xf numFmtId="166" fontId="14" fillId="0" borderId="11" xfId="46" applyNumberFormat="1" applyFont="1" applyBorder="1" applyAlignment="1">
      <alignment horizontal="right"/>
    </xf>
    <xf numFmtId="172" fontId="33" fillId="0" borderId="11" xfId="46" applyNumberFormat="1" applyFont="1" applyBorder="1" applyAlignment="1">
      <alignment horizontal="right" wrapText="1"/>
    </xf>
    <xf numFmtId="166" fontId="33" fillId="0" borderId="11" xfId="0" applyNumberFormat="1" applyFont="1" applyBorder="1"/>
    <xf numFmtId="166" fontId="14" fillId="0" borderId="11" xfId="46" applyNumberFormat="1" applyFont="1" applyBorder="1" applyAlignment="1">
      <alignment horizontal="right" wrapText="1"/>
    </xf>
    <xf numFmtId="166" fontId="14" fillId="0" borderId="11" xfId="0" applyNumberFormat="1" applyFont="1" applyBorder="1"/>
    <xf numFmtId="175" fontId="33" fillId="0" borderId="20" xfId="0" applyFont="1" applyBorder="1"/>
    <xf numFmtId="166" fontId="33" fillId="0" borderId="20" xfId="0" applyNumberFormat="1" applyFont="1" applyBorder="1"/>
    <xf numFmtId="175" fontId="33" fillId="0" borderId="20" xfId="0" applyFont="1" applyBorder="1" applyAlignment="1">
      <alignment horizontal="center"/>
    </xf>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166" fontId="33" fillId="0" borderId="20" xfId="0" applyNumberFormat="1" applyFont="1" applyBorder="1" applyAlignment="1">
      <alignment horizontal="center"/>
    </xf>
    <xf numFmtId="166" fontId="14" fillId="0" borderId="27" xfId="0" applyNumberFormat="1" applyFont="1" applyBorder="1"/>
    <xf numFmtId="166" fontId="33" fillId="0" borderId="27" xfId="0" applyNumberFormat="1" applyFont="1" applyBorder="1"/>
    <xf numFmtId="166" fontId="14" fillId="0" borderId="18" xfId="46" applyNumberFormat="1" applyFont="1" applyBorder="1" applyAlignment="1">
      <alignment horizontal="right"/>
    </xf>
    <xf numFmtId="166" fontId="14" fillId="0" borderId="18" xfId="0" applyNumberFormat="1" applyFont="1" applyBorder="1"/>
    <xf numFmtId="166" fontId="14" fillId="0" borderId="19" xfId="0" applyNumberFormat="1" applyFont="1" applyBorder="1"/>
    <xf numFmtId="172" fontId="33" fillId="0" borderId="11" xfId="0" applyNumberFormat="1" applyFont="1" applyBorder="1"/>
    <xf numFmtId="166" fontId="33" fillId="0" borderId="11" xfId="46" applyNumberFormat="1" applyFont="1" applyBorder="1" applyAlignment="1">
      <alignment horizontal="right"/>
    </xf>
    <xf numFmtId="172" fontId="33" fillId="0" borderId="20" xfId="0" applyNumberFormat="1" applyFont="1" applyBorder="1" applyAlignment="1">
      <alignment horizontal="right"/>
    </xf>
    <xf numFmtId="172" fontId="33" fillId="0" borderId="20" xfId="0" applyNumberFormat="1" applyFont="1" applyBorder="1" applyAlignment="1">
      <alignment horizontal="center"/>
    </xf>
    <xf numFmtId="166" fontId="14" fillId="0" borderId="11" xfId="0" quotePrefix="1" applyNumberFormat="1" applyFont="1" applyBorder="1" applyAlignment="1">
      <alignment horizontal="center"/>
    </xf>
    <xf numFmtId="166" fontId="14" fillId="0" borderId="11" xfId="46" applyNumberFormat="1" applyFont="1" applyBorder="1" applyAlignment="1">
      <alignment horizontal="center"/>
    </xf>
    <xf numFmtId="166" fontId="33" fillId="0" borderId="20" xfId="0" applyNumberFormat="1" applyFont="1" applyBorder="1" applyAlignment="1">
      <alignment horizontal="right"/>
    </xf>
    <xf numFmtId="175" fontId="33" fillId="0" borderId="27" xfId="0" applyFont="1" applyBorder="1"/>
    <xf numFmtId="175" fontId="33" fillId="0" borderId="0" xfId="0" applyFont="1"/>
    <xf numFmtId="38" fontId="14" fillId="0" borderId="0" xfId="0" applyNumberFormat="1" applyFont="1"/>
    <xf numFmtId="165" fontId="14" fillId="0" borderId="0" xfId="0" applyNumberFormat="1" applyFont="1"/>
    <xf numFmtId="175" fontId="12" fillId="0" borderId="13" xfId="0" applyFont="1" applyBorder="1" applyProtection="1">
      <protection locked="0"/>
    </xf>
    <xf numFmtId="9" fontId="12" fillId="0" borderId="0" xfId="145" applyFont="1" applyProtection="1">
      <protection locked="0"/>
    </xf>
    <xf numFmtId="175" fontId="13" fillId="0" borderId="14" xfId="0" applyFont="1" applyBorder="1" applyAlignment="1" applyProtection="1">
      <alignment horizontal="center"/>
      <protection locked="0"/>
    </xf>
    <xf numFmtId="175" fontId="12" fillId="0" borderId="16" xfId="0" applyFont="1" applyBorder="1" applyProtection="1">
      <protection locked="0"/>
    </xf>
    <xf numFmtId="175" fontId="13" fillId="0" borderId="11" xfId="0" applyFont="1" applyBorder="1" applyAlignment="1" applyProtection="1">
      <alignment horizontal="center"/>
      <protection locked="0"/>
    </xf>
    <xf numFmtId="175" fontId="13" fillId="0" borderId="34" xfId="0" applyFont="1" applyBorder="1" applyAlignment="1" applyProtection="1">
      <alignment horizontal="center"/>
      <protection locked="0"/>
    </xf>
    <xf numFmtId="166" fontId="12" fillId="0" borderId="0" xfId="0" applyNumberFormat="1" applyFont="1" applyAlignment="1">
      <alignment horizontal="center"/>
    </xf>
    <xf numFmtId="173" fontId="12" fillId="0" borderId="0" xfId="0"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75" fontId="33" fillId="0" borderId="16" xfId="0" applyFont="1" applyBorder="1" applyAlignment="1" applyProtection="1">
      <alignment horizontal="center"/>
      <protection locked="0"/>
    </xf>
    <xf numFmtId="175" fontId="14" fillId="0" borderId="11" xfId="0" applyFont="1" applyBorder="1" applyProtection="1">
      <protection locked="0"/>
    </xf>
    <xf numFmtId="175" fontId="33" fillId="0" borderId="20" xfId="0" applyFont="1" applyBorder="1" applyProtection="1">
      <protection locked="0"/>
    </xf>
    <xf numFmtId="175" fontId="33" fillId="0" borderId="20" xfId="0" applyFont="1" applyBorder="1" applyAlignment="1" applyProtection="1">
      <alignment horizontal="center"/>
      <protection locked="0"/>
    </xf>
    <xf numFmtId="175" fontId="33" fillId="0" borderId="22" xfId="0" applyFont="1" applyBorder="1" applyProtection="1">
      <protection locked="0"/>
    </xf>
    <xf numFmtId="175" fontId="14" fillId="0" borderId="11" xfId="0" applyFont="1" applyBorder="1" applyAlignment="1" applyProtection="1">
      <alignment wrapText="1" shrinkToFit="1"/>
      <protection locked="0"/>
    </xf>
    <xf numFmtId="175" fontId="33" fillId="0" borderId="11" xfId="0" applyFont="1" applyBorder="1" applyProtection="1">
      <protection locked="0"/>
    </xf>
    <xf numFmtId="175" fontId="14" fillId="0" borderId="16" xfId="0" applyFont="1" applyBorder="1" applyProtection="1">
      <protection locked="0"/>
    </xf>
    <xf numFmtId="38" fontId="52" fillId="0" borderId="17" xfId="0" applyNumberFormat="1" applyFont="1" applyBorder="1" applyAlignment="1">
      <alignment horizontal="center"/>
    </xf>
    <xf numFmtId="172" fontId="14" fillId="0" borderId="11" xfId="0" quotePrefix="1" applyNumberFormat="1" applyFont="1" applyBorder="1" applyAlignment="1">
      <alignment horizontal="center"/>
    </xf>
    <xf numFmtId="172" fontId="14" fillId="0" borderId="11" xfId="0" quotePrefix="1" applyNumberFormat="1" applyFont="1" applyBorder="1" applyAlignment="1">
      <alignment horizontal="right"/>
    </xf>
    <xf numFmtId="172" fontId="33" fillId="0" borderId="20" xfId="0" quotePrefix="1" applyNumberFormat="1" applyFont="1" applyBorder="1" applyAlignment="1">
      <alignment horizontal="center"/>
    </xf>
    <xf numFmtId="172" fontId="33" fillId="0" borderId="20" xfId="0" applyNumberFormat="1" applyFont="1" applyBorder="1"/>
    <xf numFmtId="38" fontId="14" fillId="0" borderId="11" xfId="0" applyNumberFormat="1" applyFont="1" applyBorder="1"/>
    <xf numFmtId="165" fontId="33" fillId="0" borderId="11" xfId="0" applyNumberFormat="1" applyFont="1" applyBorder="1"/>
    <xf numFmtId="172" fontId="33" fillId="0" borderId="11" xfId="46" applyNumberFormat="1" applyFont="1" applyBorder="1" applyAlignment="1">
      <alignment horizontal="right"/>
    </xf>
    <xf numFmtId="38" fontId="14" fillId="0" borderId="27" xfId="0" applyNumberFormat="1" applyFont="1" applyBorder="1"/>
    <xf numFmtId="165" fontId="33" fillId="0" borderId="27" xfId="0" applyNumberFormat="1" applyFont="1" applyBorder="1"/>
    <xf numFmtId="175" fontId="14" fillId="0" borderId="20" xfId="0" applyFont="1" applyBorder="1"/>
    <xf numFmtId="170" fontId="14" fillId="0" borderId="18" xfId="46" applyNumberFormat="1" applyFont="1" applyBorder="1" applyAlignment="1">
      <alignment horizontal="right"/>
    </xf>
    <xf numFmtId="169" fontId="33" fillId="0" borderId="18" xfId="46" applyNumberFormat="1" applyFont="1" applyBorder="1" applyAlignment="1">
      <alignment horizontal="right"/>
    </xf>
    <xf numFmtId="170" fontId="14" fillId="0" borderId="11" xfId="46" applyNumberFormat="1" applyFont="1" applyBorder="1" applyAlignment="1">
      <alignment horizontal="right"/>
    </xf>
    <xf numFmtId="169" fontId="33" fillId="0" borderId="11" xfId="46" applyNumberFormat="1" applyFont="1" applyBorder="1" applyAlignment="1">
      <alignment horizontal="right"/>
    </xf>
    <xf numFmtId="166" fontId="33" fillId="0" borderId="11" xfId="46" applyNumberFormat="1" applyFont="1" applyBorder="1" applyAlignment="1">
      <alignment horizontal="right" wrapText="1"/>
    </xf>
    <xf numFmtId="166" fontId="14" fillId="0" borderId="11" xfId="0" quotePrefix="1" applyNumberFormat="1" applyFont="1" applyBorder="1" applyAlignment="1">
      <alignment horizontal="right"/>
    </xf>
    <xf numFmtId="166" fontId="33" fillId="0" borderId="20" xfId="0" quotePrefix="1" applyNumberFormat="1" applyFont="1" applyBorder="1" applyAlignment="1">
      <alignment horizontal="center"/>
    </xf>
    <xf numFmtId="166" fontId="14" fillId="0" borderId="20" xfId="0" applyNumberFormat="1" applyFont="1" applyBorder="1"/>
    <xf numFmtId="166" fontId="33" fillId="0" borderId="18" xfId="46" applyNumberFormat="1" applyFont="1" applyBorder="1" applyAlignment="1">
      <alignment horizontal="right"/>
    </xf>
    <xf numFmtId="175" fontId="14" fillId="0" borderId="18" xfId="0" applyFont="1" applyBorder="1"/>
    <xf numFmtId="175" fontId="58" fillId="0" borderId="0" xfId="0" applyFont="1"/>
    <xf numFmtId="3" fontId="44" fillId="0" borderId="17" xfId="0" applyNumberFormat="1" applyFont="1" applyBorder="1" applyAlignment="1" applyProtection="1">
      <alignment horizontal="center"/>
      <protection locked="0"/>
    </xf>
    <xf numFmtId="3" fontId="12" fillId="0" borderId="24" xfId="0" applyNumberFormat="1" applyFont="1" applyBorder="1" applyAlignment="1" applyProtection="1">
      <alignment horizontal="center"/>
      <protection locked="0"/>
    </xf>
    <xf numFmtId="3" fontId="44" fillId="0" borderId="20" xfId="0" applyNumberFormat="1" applyFont="1" applyBorder="1" applyAlignment="1" applyProtection="1">
      <alignment horizontal="center"/>
      <protection locked="0"/>
    </xf>
    <xf numFmtId="38" fontId="52" fillId="0" borderId="11" xfId="146" applyNumberFormat="1" applyFont="1" applyBorder="1" applyAlignment="1" applyProtection="1">
      <alignment horizontal="center"/>
      <protection locked="0"/>
    </xf>
    <xf numFmtId="175" fontId="33" fillId="0" borderId="11" xfId="0" applyFont="1" applyBorder="1" applyAlignment="1" applyProtection="1">
      <alignment horizontal="center" wrapText="1"/>
      <protection locked="0"/>
    </xf>
    <xf numFmtId="175" fontId="13" fillId="0" borderId="0" xfId="66" applyFont="1" applyProtection="1">
      <protection locked="0"/>
    </xf>
    <xf numFmtId="175" fontId="12" fillId="0" borderId="0" xfId="66" applyProtection="1">
      <protection locked="0"/>
    </xf>
    <xf numFmtId="175" fontId="13" fillId="0" borderId="35" xfId="66" applyFont="1" applyBorder="1" applyProtection="1">
      <protection locked="0"/>
    </xf>
    <xf numFmtId="175" fontId="12" fillId="0" borderId="36" xfId="66" applyBorder="1" applyProtection="1">
      <protection locked="0"/>
    </xf>
    <xf numFmtId="175" fontId="12" fillId="0" borderId="37" xfId="66" applyBorder="1" applyProtection="1">
      <protection locked="0"/>
    </xf>
    <xf numFmtId="175" fontId="12" fillId="0" borderId="38" xfId="66" applyBorder="1" applyProtection="1">
      <protection locked="0"/>
    </xf>
    <xf numFmtId="175" fontId="13" fillId="0" borderId="39" xfId="66" applyFont="1" applyBorder="1" applyProtection="1">
      <protection locked="0"/>
    </xf>
    <xf numFmtId="175" fontId="12" fillId="0" borderId="14" xfId="66" applyBorder="1" applyProtection="1">
      <protection locked="0"/>
    </xf>
    <xf numFmtId="175" fontId="12" fillId="0" borderId="18" xfId="66" applyBorder="1" applyProtection="1">
      <protection locked="0"/>
    </xf>
    <xf numFmtId="175" fontId="12" fillId="0" borderId="19" xfId="66" applyBorder="1" applyProtection="1">
      <protection locked="0"/>
    </xf>
    <xf numFmtId="175" fontId="13" fillId="0" borderId="40" xfId="66" applyFont="1" applyBorder="1" applyAlignment="1" applyProtection="1">
      <alignment horizontal="center"/>
      <protection locked="0"/>
    </xf>
    <xf numFmtId="175" fontId="13" fillId="0" borderId="11" xfId="66" applyFont="1" applyBorder="1" applyAlignment="1" applyProtection="1">
      <alignment horizontal="center" wrapText="1"/>
      <protection locked="0"/>
    </xf>
    <xf numFmtId="175" fontId="13" fillId="0" borderId="14" xfId="66" applyFont="1" applyBorder="1" applyAlignment="1" applyProtection="1">
      <alignment horizontal="center"/>
      <protection locked="0"/>
    </xf>
    <xf numFmtId="6" fontId="12" fillId="0" borderId="0" xfId="66" applyNumberFormat="1" applyProtection="1">
      <protection locked="0"/>
    </xf>
    <xf numFmtId="175" fontId="13" fillId="0" borderId="13" xfId="66" applyFont="1" applyBorder="1" applyAlignment="1" applyProtection="1">
      <alignment horizontal="center" wrapText="1"/>
      <protection locked="0"/>
    </xf>
    <xf numFmtId="175" fontId="12" fillId="0" borderId="13" xfId="66" applyBorder="1" applyProtection="1">
      <protection locked="0"/>
    </xf>
    <xf numFmtId="6" fontId="12" fillId="0" borderId="18" xfId="66" applyNumberFormat="1" applyBorder="1" applyProtection="1">
      <protection locked="0"/>
    </xf>
    <xf numFmtId="164" fontId="12" fillId="0" borderId="43" xfId="66" applyNumberFormat="1" applyBorder="1" applyProtection="1">
      <protection locked="0"/>
    </xf>
    <xf numFmtId="175" fontId="12" fillId="0" borderId="43" xfId="66" applyBorder="1" applyProtection="1">
      <protection locked="0"/>
    </xf>
    <xf numFmtId="6" fontId="12" fillId="0" borderId="0" xfId="66" applyNumberFormat="1" applyAlignment="1" applyProtection="1">
      <alignment horizontal="right"/>
      <protection locked="0"/>
    </xf>
    <xf numFmtId="168" fontId="12" fillId="0" borderId="0" xfId="50" applyNumberFormat="1" applyProtection="1">
      <protection locked="0"/>
    </xf>
    <xf numFmtId="168" fontId="12" fillId="0" borderId="0" xfId="66" applyNumberFormat="1" applyProtection="1">
      <protection locked="0"/>
    </xf>
    <xf numFmtId="175" fontId="14" fillId="0" borderId="0" xfId="67" applyProtection="1">
      <protection locked="0"/>
    </xf>
    <xf numFmtId="175" fontId="14" fillId="0" borderId="11" xfId="67" applyBorder="1" applyProtection="1">
      <protection locked="0"/>
    </xf>
    <xf numFmtId="175" fontId="33" fillId="0" borderId="11" xfId="67" applyFont="1" applyBorder="1" applyProtection="1">
      <protection locked="0"/>
    </xf>
    <xf numFmtId="175" fontId="51" fillId="0" borderId="0" xfId="0" applyFont="1" applyProtection="1">
      <protection locked="0"/>
    </xf>
    <xf numFmtId="175" fontId="13" fillId="0" borderId="0" xfId="0" applyFont="1" applyProtection="1">
      <protection locked="0"/>
    </xf>
    <xf numFmtId="175" fontId="13" fillId="0" borderId="14" xfId="66" quotePrefix="1" applyFont="1" applyBorder="1" applyAlignment="1" applyProtection="1">
      <alignment horizontal="center"/>
      <protection locked="0"/>
    </xf>
    <xf numFmtId="175" fontId="62" fillId="0" borderId="0" xfId="0" applyFont="1" applyAlignment="1">
      <alignment horizontal="left" vertical="center" indent="4"/>
    </xf>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7" borderId="0" xfId="0" applyFill="1"/>
    <xf numFmtId="17" fontId="13" fillId="47" borderId="0" xfId="0" quotePrefix="1" applyNumberFormat="1" applyFont="1" applyFill="1" applyAlignment="1" applyProtection="1">
      <alignment horizontal="center"/>
      <protection locked="0"/>
    </xf>
    <xf numFmtId="175" fontId="12" fillId="47" borderId="0" xfId="0" applyFont="1" applyFill="1" applyProtection="1">
      <protection locked="0"/>
    </xf>
    <xf numFmtId="175" fontId="50" fillId="0" borderId="0" xfId="0" applyFont="1" applyAlignment="1">
      <alignment horizontal="center"/>
    </xf>
    <xf numFmtId="38" fontId="12" fillId="0" borderId="24" xfId="0" applyNumberFormat="1" applyFont="1" applyBorder="1" applyAlignment="1">
      <alignment horizontal="center"/>
    </xf>
    <xf numFmtId="38" fontId="12" fillId="0" borderId="24" xfId="0" applyNumberFormat="1" applyFont="1" applyBorder="1" applyAlignment="1" applyProtection="1">
      <alignment horizontal="center"/>
      <protection locked="0"/>
    </xf>
    <xf numFmtId="175" fontId="12" fillId="0" borderId="17" xfId="0" applyFont="1" applyBorder="1" applyProtection="1">
      <protection locked="0"/>
    </xf>
    <xf numFmtId="3" fontId="12" fillId="0" borderId="29" xfId="0" applyNumberFormat="1" applyFont="1" applyBorder="1" applyAlignment="1">
      <alignment horizontal="center"/>
    </xf>
    <xf numFmtId="3" fontId="52" fillId="0" borderId="22" xfId="0" applyNumberFormat="1" applyFont="1" applyBorder="1" applyAlignment="1">
      <alignment horizontal="center"/>
    </xf>
    <xf numFmtId="3" fontId="52" fillId="0" borderId="17" xfId="0" applyNumberFormat="1" applyFont="1" applyBorder="1" applyAlignment="1">
      <alignment horizontal="center"/>
    </xf>
    <xf numFmtId="175" fontId="12" fillId="47" borderId="0" xfId="66" applyFill="1"/>
    <xf numFmtId="175" fontId="13" fillId="47" borderId="0" xfId="0" applyFont="1" applyFill="1" applyAlignment="1" applyProtection="1">
      <alignment horizontal="center"/>
      <protection locked="0"/>
    </xf>
    <xf numFmtId="175" fontId="13" fillId="0" borderId="11" xfId="0" applyFont="1" applyBorder="1" applyAlignment="1" applyProtection="1">
      <alignment horizontal="left"/>
      <protection locked="0"/>
    </xf>
    <xf numFmtId="175" fontId="12" fillId="0" borderId="17" xfId="0" applyFont="1" applyBorder="1"/>
    <xf numFmtId="17" fontId="14" fillId="0" borderId="0" xfId="0" applyNumberFormat="1" applyFont="1" applyAlignment="1" applyProtection="1">
      <alignment horizontal="center"/>
      <protection locked="0"/>
    </xf>
    <xf numFmtId="175" fontId="33" fillId="48" borderId="20" xfId="0" applyFont="1" applyFill="1" applyBorder="1" applyAlignment="1" applyProtection="1">
      <alignment horizontal="center" vertical="center"/>
      <protection locked="0"/>
    </xf>
    <xf numFmtId="175" fontId="33" fillId="48" borderId="11" xfId="0" applyFont="1" applyFill="1" applyBorder="1" applyAlignment="1" applyProtection="1">
      <alignment horizontal="center" vertical="center"/>
      <protection locked="0"/>
    </xf>
    <xf numFmtId="175" fontId="33" fillId="0" borderId="20" xfId="0" applyFont="1" applyBorder="1" applyAlignment="1" applyProtection="1">
      <alignment horizontal="right"/>
      <protection locked="0"/>
    </xf>
    <xf numFmtId="175" fontId="14" fillId="0" borderId="11" xfId="0" applyFont="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xf numFmtId="3" fontId="13" fillId="0" borderId="26" xfId="0" applyNumberFormat="1" applyFont="1" applyBorder="1" applyAlignment="1">
      <alignment horizontal="center" wrapText="1"/>
    </xf>
    <xf numFmtId="174" fontId="12" fillId="0" borderId="24" xfId="0" applyNumberFormat="1" applyFont="1" applyBorder="1"/>
    <xf numFmtId="3" fontId="13" fillId="0" borderId="27" xfId="0" applyNumberFormat="1" applyFont="1" applyBorder="1" applyAlignment="1">
      <alignment horizontal="center" wrapText="1"/>
    </xf>
    <xf numFmtId="175" fontId="13" fillId="0" borderId="57" xfId="0" applyFont="1" applyBorder="1" applyAlignment="1">
      <alignment horizontal="center"/>
    </xf>
    <xf numFmtId="4" fontId="12" fillId="0" borderId="32" xfId="0" applyNumberFormat="1" applyFont="1" applyBorder="1" applyAlignment="1">
      <alignment horizontal="right"/>
    </xf>
    <xf numFmtId="4" fontId="12" fillId="0" borderId="29" xfId="0" applyNumberFormat="1" applyFont="1" applyBorder="1" applyAlignment="1">
      <alignment horizontal="right"/>
    </xf>
    <xf numFmtId="175" fontId="13" fillId="0" borderId="17" xfId="0" applyFont="1" applyBorder="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lignment horizontal="center" wrapText="1"/>
    </xf>
    <xf numFmtId="175" fontId="13" fillId="0" borderId="18" xfId="0" applyFont="1" applyBorder="1" applyAlignment="1">
      <alignment horizontal="center"/>
    </xf>
    <xf numFmtId="175" fontId="13" fillId="0" borderId="20" xfId="0" applyFont="1" applyBorder="1" applyAlignment="1">
      <alignment horizontal="center" wrapText="1"/>
    </xf>
    <xf numFmtId="175" fontId="13" fillId="0" borderId="19" xfId="0" applyFont="1" applyBorder="1" applyAlignment="1">
      <alignment horizontal="center"/>
    </xf>
    <xf numFmtId="175" fontId="13" fillId="0" borderId="19" xfId="0" applyFont="1" applyBorder="1" applyAlignment="1" applyProtection="1">
      <alignment horizontal="center"/>
      <protection locked="0"/>
    </xf>
    <xf numFmtId="175" fontId="13" fillId="0" borderId="23" xfId="0" applyFont="1" applyBorder="1" applyProtection="1">
      <protection locked="0"/>
    </xf>
    <xf numFmtId="3" fontId="13" fillId="0" borderId="20" xfId="0" applyNumberFormat="1" applyFont="1" applyBorder="1" applyAlignment="1">
      <alignment horizontal="center" wrapText="1"/>
    </xf>
    <xf numFmtId="2" fontId="13" fillId="0" borderId="18" xfId="0" applyNumberFormat="1" applyFont="1" applyBorder="1" applyAlignment="1">
      <alignment horizontal="center" wrapText="1"/>
    </xf>
    <xf numFmtId="175" fontId="13" fillId="0" borderId="26" xfId="0" applyFont="1" applyBorder="1" applyAlignment="1">
      <alignment horizontal="center"/>
    </xf>
    <xf numFmtId="3" fontId="13" fillId="0" borderId="18" xfId="0" applyNumberFormat="1" applyFont="1" applyBorder="1" applyAlignment="1">
      <alignment horizontal="center" wrapText="1"/>
    </xf>
    <xf numFmtId="3" fontId="13" fillId="0" borderId="20" xfId="0" applyNumberFormat="1" applyFont="1" applyBorder="1" applyAlignment="1" applyProtection="1">
      <alignment horizontal="center" wrapText="1"/>
      <protection locked="0"/>
    </xf>
    <xf numFmtId="175" fontId="13" fillId="0" borderId="56" xfId="0" applyFont="1" applyBorder="1" applyAlignment="1">
      <alignment horizontal="center"/>
    </xf>
    <xf numFmtId="175" fontId="13" fillId="0" borderId="28" xfId="0" applyFont="1" applyBorder="1" applyProtection="1">
      <protection locked="0"/>
    </xf>
    <xf numFmtId="175" fontId="13" fillId="0" borderId="11" xfId="0" applyFont="1" applyBorder="1" applyAlignment="1">
      <alignment horizontal="center" wrapText="1"/>
    </xf>
    <xf numFmtId="175" fontId="13" fillId="0" borderId="19" xfId="0" applyFont="1" applyBorder="1" applyAlignment="1">
      <alignment horizontal="center" wrapText="1"/>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47" borderId="18" xfId="0" applyFont="1" applyFill="1" applyBorder="1" applyAlignment="1" applyProtection="1">
      <alignment horizontal="center" wrapText="1"/>
      <protection locked="0"/>
    </xf>
    <xf numFmtId="175" fontId="14" fillId="47" borderId="0" xfId="67" applyFill="1" applyProtection="1">
      <protection locked="0"/>
    </xf>
    <xf numFmtId="175" fontId="12" fillId="47" borderId="0" xfId="66" applyFill="1" applyProtection="1">
      <protection locked="0"/>
    </xf>
    <xf numFmtId="17" fontId="13" fillId="47" borderId="0" xfId="0" applyNumberFormat="1" applyFont="1" applyFill="1" applyAlignment="1" applyProtection="1">
      <alignment horizontal="center"/>
      <protection locked="0"/>
    </xf>
    <xf numFmtId="175" fontId="14" fillId="47" borderId="0" xfId="0" applyFont="1" applyFill="1" applyProtection="1">
      <protection locked="0"/>
    </xf>
    <xf numFmtId="164" fontId="12" fillId="0" borderId="58" xfId="66" applyNumberFormat="1" applyBorder="1" applyProtection="1">
      <protection locked="0"/>
    </xf>
    <xf numFmtId="175" fontId="50" fillId="47" borderId="0" xfId="0" applyFont="1" applyFill="1" applyAlignment="1">
      <alignment horizontal="center"/>
    </xf>
    <xf numFmtId="3" fontId="12" fillId="47" borderId="0" xfId="0" applyNumberFormat="1" applyFont="1" applyFill="1" applyAlignment="1">
      <alignment horizontal="center" wrapText="1"/>
    </xf>
    <xf numFmtId="175" fontId="13" fillId="0" borderId="58" xfId="66" applyFont="1" applyBorder="1" applyProtection="1">
      <protection locked="0"/>
    </xf>
    <xf numFmtId="175" fontId="13" fillId="47" borderId="0" xfId="0" applyFont="1" applyFill="1" applyProtection="1">
      <protection locked="0"/>
    </xf>
    <xf numFmtId="6" fontId="12" fillId="0" borderId="19" xfId="66" applyNumberFormat="1" applyBorder="1"/>
    <xf numFmtId="175" fontId="0" fillId="0" borderId="0" xfId="0" quotePrefix="1"/>
    <xf numFmtId="175" fontId="12" fillId="47" borderId="17" xfId="0" applyFont="1" applyFill="1" applyBorder="1"/>
    <xf numFmtId="3" fontId="52" fillId="47" borderId="17" xfId="0" applyNumberFormat="1" applyFont="1" applyFill="1" applyBorder="1" applyAlignment="1">
      <alignment horizontal="center"/>
    </xf>
    <xf numFmtId="175" fontId="13" fillId="0" borderId="44" xfId="66" quotePrefix="1" applyFont="1" applyBorder="1" applyAlignment="1">
      <alignment horizontal="left" wrapText="1" indent="1"/>
    </xf>
    <xf numFmtId="175" fontId="14" fillId="0" borderId="0" xfId="0" quotePrefix="1" applyFont="1" applyProtection="1">
      <protection locked="0"/>
    </xf>
    <xf numFmtId="175" fontId="64" fillId="0" borderId="0" xfId="0" applyFont="1" applyAlignment="1" applyProtection="1">
      <alignment horizontal="center"/>
      <protection locked="0"/>
    </xf>
    <xf numFmtId="168" fontId="49" fillId="0" borderId="0" xfId="52" applyNumberFormat="1" applyFont="1"/>
    <xf numFmtId="175" fontId="65" fillId="43" borderId="0" xfId="66" applyFont="1" applyFill="1"/>
    <xf numFmtId="44" fontId="65" fillId="43" borderId="0" xfId="50" applyFont="1" applyFill="1"/>
    <xf numFmtId="175" fontId="65" fillId="47" borderId="0" xfId="66" applyFont="1" applyFill="1"/>
    <xf numFmtId="17" fontId="64" fillId="47" borderId="0" xfId="0" applyNumberFormat="1" applyFont="1" applyFill="1" applyAlignment="1" applyProtection="1">
      <alignment horizontal="center"/>
      <protection locked="0"/>
    </xf>
    <xf numFmtId="175" fontId="64" fillId="44" borderId="35" xfId="66" applyFont="1" applyFill="1" applyBorder="1"/>
    <xf numFmtId="175" fontId="65" fillId="43" borderId="37" xfId="66" applyFont="1" applyFill="1" applyBorder="1"/>
    <xf numFmtId="44" fontId="65" fillId="43" borderId="37" xfId="50" applyFont="1" applyFill="1" applyBorder="1"/>
    <xf numFmtId="175" fontId="64" fillId="44" borderId="44" xfId="66" applyFont="1" applyFill="1" applyBorder="1" applyAlignment="1">
      <alignment horizontal="center"/>
    </xf>
    <xf numFmtId="175" fontId="64" fillId="43" borderId="18" xfId="66" applyFont="1" applyFill="1" applyBorder="1" applyAlignment="1">
      <alignment horizontal="center"/>
    </xf>
    <xf numFmtId="44" fontId="64" fillId="43" borderId="18" xfId="50" applyFont="1" applyFill="1" applyBorder="1" applyAlignment="1">
      <alignment horizontal="center"/>
    </xf>
    <xf numFmtId="175" fontId="64" fillId="44" borderId="46" xfId="66" applyFont="1" applyFill="1" applyBorder="1" applyAlignment="1">
      <alignment horizontal="center"/>
    </xf>
    <xf numFmtId="175" fontId="64" fillId="43" borderId="0" xfId="66" applyFont="1" applyFill="1" applyAlignment="1">
      <alignment horizontal="center"/>
    </xf>
    <xf numFmtId="44" fontId="64" fillId="43" borderId="0" xfId="50" applyFont="1" applyFill="1" applyAlignment="1">
      <alignment horizontal="center"/>
    </xf>
    <xf numFmtId="175" fontId="64" fillId="0" borderId="46" xfId="66" applyFont="1" applyBorder="1" applyAlignment="1">
      <alignment horizontal="center"/>
    </xf>
    <xf numFmtId="164" fontId="65" fillId="0" borderId="0" xfId="66" applyNumberFormat="1" applyFont="1"/>
    <xf numFmtId="175" fontId="65" fillId="0" borderId="0" xfId="66" applyFont="1"/>
    <xf numFmtId="164" fontId="64" fillId="43" borderId="18" xfId="66" applyNumberFormat="1" applyFont="1" applyFill="1" applyBorder="1"/>
    <xf numFmtId="175" fontId="64" fillId="0" borderId="44" xfId="66" applyFont="1" applyBorder="1" applyAlignment="1">
      <alignment wrapText="1"/>
    </xf>
    <xf numFmtId="175" fontId="64" fillId="0" borderId="20" xfId="66" applyFont="1" applyBorder="1"/>
    <xf numFmtId="44" fontId="64" fillId="43" borderId="18" xfId="50" applyFont="1" applyFill="1" applyBorder="1"/>
    <xf numFmtId="175" fontId="64" fillId="0" borderId="59" xfId="66" applyFont="1" applyBorder="1" applyAlignment="1">
      <alignment wrapText="1"/>
    </xf>
    <xf numFmtId="164" fontId="64" fillId="43" borderId="58" xfId="66" applyNumberFormat="1" applyFont="1" applyFill="1" applyBorder="1"/>
    <xf numFmtId="164" fontId="64" fillId="43" borderId="43" xfId="66" applyNumberFormat="1" applyFont="1" applyFill="1" applyBorder="1"/>
    <xf numFmtId="43" fontId="12" fillId="0" borderId="24" xfId="0" applyNumberFormat="1" applyFont="1" applyBorder="1" applyAlignment="1">
      <alignment horizontal="right"/>
    </xf>
    <xf numFmtId="175" fontId="12" fillId="47" borderId="13" xfId="0" applyFont="1" applyFill="1" applyBorder="1"/>
    <xf numFmtId="164" fontId="12" fillId="0" borderId="54" xfId="66" applyNumberFormat="1" applyBorder="1" applyProtection="1">
      <protection locked="0"/>
    </xf>
    <xf numFmtId="175" fontId="12" fillId="47" borderId="11" xfId="66" applyFill="1" applyBorder="1" applyAlignment="1">
      <alignment horizontal="left" indent="1"/>
    </xf>
    <xf numFmtId="175" fontId="13" fillId="47" borderId="0" xfId="0" quotePrefix="1" applyFont="1" applyFill="1" applyAlignment="1" applyProtection="1">
      <alignment horizontal="center"/>
      <protection locked="0"/>
    </xf>
    <xf numFmtId="6" fontId="12" fillId="0" borderId="34" xfId="66" applyNumberFormat="1" applyBorder="1"/>
    <xf numFmtId="43" fontId="12" fillId="0" borderId="24" xfId="0" applyNumberFormat="1" applyFont="1" applyBorder="1" applyAlignment="1">
      <alignment horizontal="center"/>
    </xf>
    <xf numFmtId="6" fontId="33" fillId="0" borderId="11" xfId="67" applyNumberFormat="1" applyFont="1" applyBorder="1" applyAlignment="1" applyProtection="1">
      <alignment horizontal="center"/>
      <protection locked="0"/>
    </xf>
    <xf numFmtId="4" fontId="12" fillId="0" borderId="24" xfId="0" applyNumberFormat="1" applyFont="1" applyBorder="1" applyAlignment="1">
      <alignment horizontal="right"/>
    </xf>
    <xf numFmtId="4" fontId="12" fillId="0" borderId="25" xfId="0" applyNumberFormat="1" applyFont="1" applyBorder="1" applyAlignment="1">
      <alignment horizontal="right"/>
    </xf>
    <xf numFmtId="2" fontId="12" fillId="0" borderId="24" xfId="0" applyNumberFormat="1" applyFont="1" applyBorder="1" applyAlignment="1">
      <alignment horizontal="right"/>
    </xf>
    <xf numFmtId="2" fontId="12" fillId="0" borderId="29" xfId="0" applyNumberFormat="1" applyFont="1" applyBorder="1" applyAlignment="1">
      <alignment horizontal="right"/>
    </xf>
    <xf numFmtId="165" fontId="12" fillId="0" borderId="32" xfId="0" applyNumberFormat="1" applyFont="1" applyBorder="1" applyAlignment="1">
      <alignment horizontal="right"/>
    </xf>
    <xf numFmtId="165" fontId="12" fillId="0" borderId="25" xfId="0" applyNumberFormat="1" applyFont="1" applyBorder="1" applyAlignment="1">
      <alignment horizontal="right"/>
    </xf>
    <xf numFmtId="175" fontId="68" fillId="0" borderId="0" xfId="0" applyFont="1" applyAlignment="1">
      <alignment vertical="center"/>
    </xf>
    <xf numFmtId="175" fontId="13" fillId="0" borderId="0" xfId="0" applyFont="1" applyAlignment="1">
      <alignment vertical="center"/>
    </xf>
    <xf numFmtId="164" fontId="12" fillId="0" borderId="0" xfId="66" applyNumberFormat="1" applyAlignment="1">
      <alignment horizontal="center"/>
    </xf>
    <xf numFmtId="164" fontId="12" fillId="0" borderId="18" xfId="66" applyNumberFormat="1" applyBorder="1" applyAlignment="1">
      <alignment horizontal="center"/>
    </xf>
    <xf numFmtId="164" fontId="12" fillId="0" borderId="27" xfId="66" applyNumberFormat="1" applyBorder="1" applyAlignment="1">
      <alignment horizontal="center"/>
    </xf>
    <xf numFmtId="164" fontId="12" fillId="44" borderId="18" xfId="66" applyNumberFormat="1" applyFill="1" applyBorder="1" applyAlignment="1">
      <alignment horizontal="center"/>
    </xf>
    <xf numFmtId="164" fontId="13" fillId="0" borderId="49" xfId="66" applyNumberFormat="1" applyFont="1" applyBorder="1" applyAlignment="1">
      <alignment horizontal="center"/>
    </xf>
    <xf numFmtId="164" fontId="13" fillId="0" borderId="37" xfId="66" applyNumberFormat="1" applyFont="1" applyBorder="1" applyAlignment="1">
      <alignment horizontal="center"/>
    </xf>
    <xf numFmtId="164" fontId="12" fillId="0" borderId="0" xfId="66" applyNumberFormat="1" applyAlignment="1" applyProtection="1">
      <alignment horizontal="center"/>
      <protection locked="0"/>
    </xf>
    <xf numFmtId="175" fontId="12" fillId="0" borderId="0" xfId="66" applyAlignment="1">
      <alignment horizontal="center"/>
    </xf>
    <xf numFmtId="164" fontId="12" fillId="0" borderId="14" xfId="66" applyNumberFormat="1" applyBorder="1" applyAlignment="1" applyProtection="1">
      <alignment horizontal="center"/>
      <protection locked="0"/>
    </xf>
    <xf numFmtId="164" fontId="12" fillId="44" borderId="19" xfId="66" applyNumberFormat="1" applyFill="1" applyBorder="1" applyAlignment="1">
      <alignment horizontal="center"/>
    </xf>
    <xf numFmtId="2" fontId="12" fillId="0" borderId="24" xfId="0" applyNumberFormat="1" applyFont="1" applyBorder="1"/>
    <xf numFmtId="43" fontId="12" fillId="0" borderId="25" xfId="0" applyNumberFormat="1" applyFont="1" applyBorder="1" applyAlignment="1">
      <alignment horizontal="right"/>
    </xf>
    <xf numFmtId="43" fontId="12" fillId="0" borderId="24" xfId="0" applyNumberFormat="1" applyFont="1" applyBorder="1"/>
    <xf numFmtId="2" fontId="12" fillId="0" borderId="25" xfId="0" applyNumberFormat="1" applyFont="1" applyBorder="1" applyAlignment="1">
      <alignment horizontal="right"/>
    </xf>
    <xf numFmtId="2" fontId="12" fillId="0" borderId="32" xfId="0" applyNumberFormat="1" applyFont="1" applyBorder="1" applyAlignment="1">
      <alignment horizontal="right"/>
    </xf>
    <xf numFmtId="2" fontId="12" fillId="0" borderId="29" xfId="0" applyNumberFormat="1" applyFont="1" applyBorder="1"/>
    <xf numFmtId="175" fontId="13" fillId="47" borderId="0" xfId="66" applyFont="1" applyFill="1" applyAlignment="1" applyProtection="1">
      <alignment horizontal="center"/>
      <protection locked="0"/>
    </xf>
    <xf numFmtId="171" fontId="13"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14" fillId="47" borderId="0" xfId="0" quotePrefix="1" applyFont="1" applyFill="1" applyProtection="1">
      <protection locked="0"/>
    </xf>
    <xf numFmtId="175" fontId="70" fillId="0" borderId="0" xfId="0" applyFont="1" applyProtection="1">
      <protection locked="0"/>
    </xf>
    <xf numFmtId="175" fontId="71" fillId="0" borderId="0" xfId="0" applyFont="1" applyAlignment="1" applyProtection="1">
      <alignment horizontal="left"/>
      <protection locked="0"/>
    </xf>
    <xf numFmtId="175" fontId="71" fillId="0" borderId="0" xfId="0" applyFont="1" applyAlignment="1">
      <alignment horizontal="left" vertical="top"/>
    </xf>
    <xf numFmtId="4" fontId="12" fillId="0" borderId="0" xfId="66" applyNumberFormat="1" applyProtection="1">
      <protection locked="0"/>
    </xf>
    <xf numFmtId="175" fontId="64" fillId="0" borderId="0" xfId="66" applyFont="1" applyAlignment="1">
      <alignment wrapText="1"/>
    </xf>
    <xf numFmtId="164" fontId="64" fillId="43" borderId="0" xfId="66" applyNumberFormat="1" applyFont="1" applyFill="1"/>
    <xf numFmtId="164" fontId="64" fillId="0" borderId="0" xfId="66" applyNumberFormat="1" applyFont="1" applyAlignment="1">
      <alignment horizontal="right"/>
    </xf>
    <xf numFmtId="165" fontId="12" fillId="0" borderId="24" xfId="0" applyNumberFormat="1" applyFont="1" applyBorder="1" applyAlignment="1">
      <alignment horizontal="right"/>
    </xf>
    <xf numFmtId="165" fontId="12" fillId="0" borderId="30" xfId="0" applyNumberFormat="1" applyFont="1" applyBorder="1" applyAlignment="1">
      <alignment horizontal="right"/>
    </xf>
    <xf numFmtId="39" fontId="13" fillId="0" borderId="11" xfId="0" applyNumberFormat="1" applyFont="1" applyBorder="1" applyAlignment="1">
      <alignment horizontal="center"/>
    </xf>
    <xf numFmtId="6" fontId="12" fillId="0" borderId="0" xfId="66" applyNumberFormat="1" applyAlignment="1" applyProtection="1">
      <alignment horizontal="center"/>
      <protection locked="0"/>
    </xf>
    <xf numFmtId="6" fontId="12" fillId="0" borderId="0" xfId="66" applyNumberFormat="1" applyAlignment="1">
      <alignment horizontal="center"/>
    </xf>
    <xf numFmtId="175" fontId="65" fillId="43" borderId="60" xfId="66" applyFont="1" applyFill="1" applyBorder="1"/>
    <xf numFmtId="175" fontId="64" fillId="43" borderId="40" xfId="66" applyFont="1" applyFill="1" applyBorder="1" applyAlignment="1">
      <alignment horizontal="center" wrapText="1"/>
    </xf>
    <xf numFmtId="175" fontId="64" fillId="43" borderId="61" xfId="66" applyFont="1" applyFill="1" applyBorder="1" applyAlignment="1">
      <alignment horizontal="center" wrapText="1"/>
    </xf>
    <xf numFmtId="175" fontId="64" fillId="0" borderId="61" xfId="66" applyFont="1" applyBorder="1" applyAlignment="1">
      <alignment horizontal="center" wrapText="1"/>
    </xf>
    <xf numFmtId="164" fontId="65" fillId="0" borderId="61" xfId="66" applyNumberFormat="1" applyFont="1" applyBorder="1"/>
    <xf numFmtId="164" fontId="64" fillId="0" borderId="62" xfId="66"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6" fontId="12" fillId="0" borderId="11" xfId="66" applyNumberFormat="1" applyBorder="1" applyAlignment="1">
      <alignment horizontal="center"/>
    </xf>
    <xf numFmtId="6" fontId="12" fillId="0" borderId="17" xfId="66" applyNumberFormat="1" applyBorder="1" applyAlignment="1">
      <alignment horizontal="center"/>
    </xf>
    <xf numFmtId="175" fontId="12" fillId="0" borderId="0" xfId="66" applyAlignment="1" applyProtection="1">
      <alignment horizontal="center"/>
      <protection locked="0"/>
    </xf>
    <xf numFmtId="165" fontId="12" fillId="0" borderId="24" xfId="0" applyNumberFormat="1" applyFont="1" applyBorder="1"/>
    <xf numFmtId="165" fontId="12" fillId="0" borderId="25" xfId="0" applyNumberFormat="1" applyFont="1" applyBorder="1"/>
    <xf numFmtId="165" fontId="12" fillId="0" borderId="30" xfId="0" applyNumberFormat="1" applyFont="1" applyBorder="1"/>
    <xf numFmtId="165" fontId="12" fillId="0" borderId="32" xfId="0" applyNumberFormat="1" applyFont="1" applyBorder="1"/>
    <xf numFmtId="40" fontId="12" fillId="0" borderId="24" xfId="0" applyNumberFormat="1" applyFont="1" applyBorder="1"/>
    <xf numFmtId="40" fontId="12" fillId="0" borderId="25" xfId="0" applyNumberFormat="1" applyFont="1" applyBorder="1"/>
    <xf numFmtId="175" fontId="13" fillId="0" borderId="14" xfId="66" applyFont="1" applyBorder="1" applyAlignment="1" applyProtection="1">
      <alignment horizontal="right"/>
      <protection locked="0"/>
    </xf>
    <xf numFmtId="175" fontId="13" fillId="0" borderId="14" xfId="66" quotePrefix="1" applyFont="1" applyBorder="1" applyAlignment="1" applyProtection="1">
      <alignment horizontal="right"/>
      <protection locked="0"/>
    </xf>
    <xf numFmtId="6" fontId="12" fillId="0" borderId="17" xfId="66" applyNumberFormat="1" applyBorder="1" applyAlignment="1" applyProtection="1">
      <alignment horizontal="center"/>
      <protection locked="0"/>
    </xf>
    <xf numFmtId="6" fontId="12" fillId="0" borderId="0" xfId="66" applyNumberFormat="1" applyAlignment="1">
      <alignment horizontal="right"/>
    </xf>
    <xf numFmtId="6" fontId="12" fillId="0" borderId="18" xfId="66" applyNumberFormat="1" applyBorder="1" applyAlignment="1">
      <alignment horizontal="right"/>
    </xf>
    <xf numFmtId="6" fontId="49" fillId="0" borderId="0" xfId="520" applyNumberFormat="1" applyFont="1"/>
    <xf numFmtId="175" fontId="68" fillId="47" borderId="0" xfId="66" applyFont="1" applyFill="1" applyProtection="1">
      <protection locked="0"/>
    </xf>
    <xf numFmtId="0" fontId="49" fillId="0" borderId="0" xfId="520" applyFont="1"/>
    <xf numFmtId="0" fontId="12" fillId="0" borderId="0" xfId="522"/>
    <xf numFmtId="0" fontId="64" fillId="0" borderId="0" xfId="522" applyFont="1" applyAlignment="1" applyProtection="1">
      <alignment horizontal="center"/>
      <protection locked="0"/>
    </xf>
    <xf numFmtId="0" fontId="49" fillId="47" borderId="0" xfId="520" applyFont="1" applyFill="1"/>
    <xf numFmtId="17" fontId="64" fillId="47" borderId="0" xfId="522" quotePrefix="1" applyNumberFormat="1" applyFont="1" applyFill="1" applyAlignment="1" applyProtection="1">
      <alignment horizontal="center"/>
      <protection locked="0"/>
    </xf>
    <xf numFmtId="168" fontId="49" fillId="0" borderId="0" xfId="520" applyNumberFormat="1" applyFont="1"/>
    <xf numFmtId="4" fontId="12" fillId="0" borderId="30" xfId="0" applyNumberFormat="1" applyFont="1" applyBorder="1" applyAlignment="1">
      <alignment horizontal="right"/>
    </xf>
    <xf numFmtId="44" fontId="65" fillId="47" borderId="0" xfId="50" applyFont="1" applyFill="1"/>
    <xf numFmtId="175" fontId="33" fillId="0" borderId="0" xfId="67" applyFont="1"/>
    <xf numFmtId="3" fontId="52" fillId="47" borderId="21" xfId="0" applyNumberFormat="1" applyFont="1" applyFill="1" applyBorder="1" applyAlignment="1">
      <alignment horizontal="center"/>
    </xf>
    <xf numFmtId="175" fontId="13" fillId="47" borderId="0" xfId="0" applyFont="1" applyFill="1" applyAlignment="1" applyProtection="1">
      <alignment wrapText="1"/>
      <protection locked="0"/>
    </xf>
    <xf numFmtId="175" fontId="12" fillId="47" borderId="17" xfId="0" applyFont="1" applyFill="1" applyBorder="1" applyProtection="1">
      <protection locked="0"/>
    </xf>
    <xf numFmtId="175" fontId="12" fillId="47" borderId="13" xfId="0" applyFont="1" applyFill="1" applyBorder="1" applyProtection="1">
      <protection locked="0"/>
    </xf>
    <xf numFmtId="175" fontId="12" fillId="0" borderId="11" xfId="0" applyFont="1" applyBorder="1" applyAlignment="1">
      <alignment vertical="center"/>
    </xf>
    <xf numFmtId="2" fontId="12" fillId="0" borderId="11" xfId="0" applyNumberFormat="1" applyFont="1" applyBorder="1" applyAlignment="1">
      <alignment horizontal="right" vertical="center"/>
    </xf>
    <xf numFmtId="2" fontId="12" fillId="0" borderId="11" xfId="0" applyNumberFormat="1" applyFont="1" applyBorder="1" applyAlignment="1">
      <alignment vertical="center"/>
    </xf>
    <xf numFmtId="2" fontId="12" fillId="0" borderId="11" xfId="0" applyNumberFormat="1" applyFont="1" applyBorder="1" applyAlignment="1" applyProtection="1">
      <alignment vertical="center"/>
      <protection locked="0"/>
    </xf>
    <xf numFmtId="2" fontId="12" fillId="0" borderId="11" xfId="0" applyNumberFormat="1" applyFont="1" applyBorder="1" applyAlignment="1" applyProtection="1">
      <alignment horizontal="right" vertical="center"/>
      <protection locked="0"/>
    </xf>
    <xf numFmtId="2" fontId="12" fillId="47" borderId="11" xfId="0" applyNumberFormat="1" applyFont="1" applyFill="1" applyBorder="1" applyAlignment="1">
      <alignment horizontal="right" vertical="center"/>
    </xf>
    <xf numFmtId="175" fontId="0" fillId="0" borderId="11" xfId="0" applyBorder="1" applyAlignment="1">
      <alignment vertical="center"/>
    </xf>
    <xf numFmtId="2" fontId="14" fillId="47" borderId="11" xfId="0" applyNumberFormat="1" applyFont="1" applyFill="1" applyBorder="1" applyAlignment="1">
      <alignment horizontal="right" vertical="center"/>
    </xf>
    <xf numFmtId="2" fontId="14" fillId="47" borderId="11" xfId="0" applyNumberFormat="1" applyFont="1" applyFill="1" applyBorder="1" applyAlignment="1" applyProtection="1">
      <alignment horizontal="right" vertical="center"/>
      <protection locked="0"/>
    </xf>
    <xf numFmtId="2" fontId="14" fillId="47" borderId="11" xfId="0" applyNumberFormat="1" applyFont="1" applyFill="1" applyBorder="1" applyAlignment="1">
      <alignment vertical="center"/>
    </xf>
    <xf numFmtId="2" fontId="14" fillId="47" borderId="11" xfId="0" applyNumberFormat="1" applyFont="1" applyFill="1" applyBorder="1" applyAlignment="1" applyProtection="1">
      <alignment vertical="center"/>
      <protection locked="0"/>
    </xf>
    <xf numFmtId="2" fontId="55" fillId="0" borderId="11" xfId="0" applyNumberFormat="1" applyFont="1" applyBorder="1" applyAlignment="1">
      <alignment horizontal="right" vertical="center"/>
    </xf>
    <xf numFmtId="3" fontId="12" fillId="47" borderId="11" xfId="0" applyNumberFormat="1" applyFont="1" applyFill="1" applyBorder="1" applyAlignment="1">
      <alignment horizontal="center" vertical="center" wrapText="1"/>
    </xf>
    <xf numFmtId="2" fontId="55" fillId="47" borderId="11" xfId="0" applyNumberFormat="1" applyFont="1" applyFill="1" applyBorder="1" applyAlignment="1">
      <alignment horizontal="right" vertical="center"/>
    </xf>
    <xf numFmtId="2" fontId="55" fillId="0" borderId="11" xfId="0" applyNumberFormat="1" applyFont="1" applyBorder="1" applyAlignment="1" applyProtection="1">
      <alignment horizontal="right" vertical="center"/>
      <protection locked="0"/>
    </xf>
    <xf numFmtId="2" fontId="55" fillId="0" borderId="13" xfId="0" applyNumberFormat="1" applyFont="1" applyBorder="1" applyAlignment="1">
      <alignment horizontal="right" vertical="center"/>
    </xf>
    <xf numFmtId="2" fontId="55" fillId="0" borderId="13" xfId="0" applyNumberFormat="1" applyFont="1" applyBorder="1" applyAlignment="1" applyProtection="1">
      <alignment horizontal="right" vertical="center"/>
      <protection locked="0"/>
    </xf>
    <xf numFmtId="2" fontId="55" fillId="47" borderId="13" xfId="0" applyNumberFormat="1" applyFont="1" applyFill="1" applyBorder="1" applyAlignment="1">
      <alignment horizontal="right" vertical="center"/>
    </xf>
    <xf numFmtId="175" fontId="13" fillId="0" borderId="34" xfId="0" applyFont="1" applyBorder="1" applyAlignment="1">
      <alignment horizontal="center"/>
    </xf>
    <xf numFmtId="3" fontId="12" fillId="0" borderId="11" xfId="0" applyNumberFormat="1" applyFont="1" applyBorder="1" applyAlignment="1">
      <alignment horizontal="left" vertical="center" wrapText="1"/>
    </xf>
    <xf numFmtId="3" fontId="12" fillId="0" borderId="11" xfId="0" applyNumberFormat="1" applyFont="1" applyBorder="1" applyAlignment="1">
      <alignment horizontal="center" vertical="center" wrapText="1"/>
    </xf>
    <xf numFmtId="2" fontId="12" fillId="47" borderId="11" xfId="0" applyNumberFormat="1" applyFont="1" applyFill="1" applyBorder="1" applyAlignment="1" applyProtection="1">
      <alignment horizontal="right" vertical="center"/>
      <protection locked="0"/>
    </xf>
    <xf numFmtId="175" fontId="33" fillId="0" borderId="11" xfId="0" applyFont="1" applyBorder="1" applyAlignment="1" applyProtection="1">
      <alignment horizontal="left"/>
      <protection locked="0"/>
    </xf>
    <xf numFmtId="175" fontId="33" fillId="47" borderId="11" xfId="0" applyFont="1" applyFill="1" applyBorder="1" applyAlignment="1" applyProtection="1">
      <alignment horizontal="left"/>
      <protection locked="0"/>
    </xf>
    <xf numFmtId="6" fontId="12" fillId="0" borderId="19" xfId="66" applyNumberFormat="1" applyBorder="1" applyAlignment="1">
      <alignment horizontal="center"/>
    </xf>
    <xf numFmtId="6" fontId="13" fillId="0" borderId="20" xfId="66" applyNumberFormat="1" applyFont="1" applyBorder="1" applyAlignment="1">
      <alignment horizontal="center"/>
    </xf>
    <xf numFmtId="6" fontId="13" fillId="0" borderId="11" xfId="66" applyNumberFormat="1" applyFont="1" applyBorder="1" applyAlignment="1">
      <alignment horizontal="center"/>
    </xf>
    <xf numFmtId="6" fontId="13" fillId="0" borderId="33" xfId="66" applyNumberFormat="1" applyFont="1" applyBorder="1" applyAlignment="1">
      <alignment horizontal="center"/>
    </xf>
    <xf numFmtId="6" fontId="13" fillId="0" borderId="23" xfId="66" applyNumberFormat="1" applyFont="1" applyBorder="1" applyAlignment="1">
      <alignment horizontal="center"/>
    </xf>
    <xf numFmtId="6" fontId="13" fillId="0" borderId="19" xfId="66" applyNumberFormat="1" applyFont="1" applyBorder="1" applyAlignment="1">
      <alignment horizontal="center"/>
    </xf>
    <xf numFmtId="44" fontId="65" fillId="0" borderId="0" xfId="50" applyFont="1"/>
    <xf numFmtId="0" fontId="74" fillId="0" borderId="0" xfId="520" applyFont="1"/>
    <xf numFmtId="0" fontId="74" fillId="0" borderId="27" xfId="520" applyFont="1" applyBorder="1" applyAlignment="1">
      <alignment horizontal="center" vertical="center"/>
    </xf>
    <xf numFmtId="0" fontId="77" fillId="0" borderId="14" xfId="520" applyFont="1" applyBorder="1" applyAlignment="1">
      <alignment horizontal="center"/>
    </xf>
    <xf numFmtId="0" fontId="77" fillId="0" borderId="16" xfId="520" applyFont="1" applyBorder="1" applyAlignment="1">
      <alignment horizontal="center"/>
    </xf>
    <xf numFmtId="0" fontId="77"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4" fillId="0" borderId="27" xfId="520" applyFont="1" applyBorder="1"/>
    <xf numFmtId="0" fontId="74" fillId="45" borderId="0" xfId="520" applyFont="1" applyFill="1"/>
    <xf numFmtId="0" fontId="80" fillId="0" borderId="0" xfId="520" applyFont="1"/>
    <xf numFmtId="6" fontId="77" fillId="0" borderId="0" xfId="520" applyNumberFormat="1" applyFont="1"/>
    <xf numFmtId="0" fontId="12" fillId="0" borderId="0" xfId="66" applyNumberFormat="1" applyAlignment="1">
      <alignment horizontal="left"/>
    </xf>
    <xf numFmtId="164" fontId="13" fillId="0" borderId="0" xfId="66" applyNumberFormat="1" applyFont="1"/>
    <xf numFmtId="6" fontId="12" fillId="0" borderId="23" xfId="66" applyNumberFormat="1" applyBorder="1" applyAlignment="1">
      <alignment horizontal="right"/>
    </xf>
    <xf numFmtId="175" fontId="12" fillId="0" borderId="11" xfId="66" applyBorder="1" applyProtection="1">
      <protection locked="0"/>
    </xf>
    <xf numFmtId="175" fontId="13" fillId="0" borderId="11" xfId="66" applyFont="1" applyBorder="1" applyAlignment="1">
      <alignment wrapText="1"/>
    </xf>
    <xf numFmtId="3" fontId="12" fillId="47" borderId="11" xfId="0" applyNumberFormat="1" applyFont="1" applyFill="1" applyBorder="1" applyAlignment="1">
      <alignment horizontal="left" vertical="center" wrapText="1"/>
    </xf>
    <xf numFmtId="165" fontId="14" fillId="47" borderId="0" xfId="0" applyNumberFormat="1" applyFont="1" applyFill="1" applyProtection="1">
      <protection locked="0"/>
    </xf>
    <xf numFmtId="6" fontId="12" fillId="47" borderId="0" xfId="66" applyNumberFormat="1" applyFill="1" applyProtection="1">
      <protection locked="0"/>
    </xf>
    <xf numFmtId="175" fontId="75" fillId="47" borderId="0" xfId="66" applyFont="1" applyFill="1" applyAlignment="1" applyProtection="1">
      <alignment vertical="top"/>
      <protection locked="0"/>
    </xf>
    <xf numFmtId="6" fontId="74" fillId="0" borderId="42" xfId="520" applyNumberFormat="1" applyFont="1" applyBorder="1"/>
    <xf numFmtId="6" fontId="74" fillId="0" borderId="16" xfId="520" applyNumberFormat="1" applyFont="1" applyBorder="1"/>
    <xf numFmtId="0" fontId="74" fillId="0" borderId="42" xfId="520" applyFont="1" applyBorder="1"/>
    <xf numFmtId="0" fontId="74" fillId="0" borderId="55" xfId="520" applyFont="1" applyBorder="1"/>
    <xf numFmtId="0" fontId="78" fillId="0" borderId="17" xfId="520" applyFont="1" applyBorder="1"/>
    <xf numFmtId="0" fontId="77" fillId="0" borderId="21" xfId="520" applyFont="1" applyBorder="1" applyAlignment="1">
      <alignment wrapText="1"/>
    </xf>
    <xf numFmtId="0" fontId="74" fillId="0" borderId="17" xfId="520" applyFont="1" applyBorder="1" applyAlignment="1">
      <alignment horizontal="left" indent="2"/>
    </xf>
    <xf numFmtId="0" fontId="74" fillId="0" borderId="17" xfId="520" applyFont="1" applyBorder="1" applyAlignment="1">
      <alignment horizontal="left" wrapText="1" indent="2"/>
    </xf>
    <xf numFmtId="0" fontId="77" fillId="0" borderId="17" xfId="520" applyFont="1" applyBorder="1"/>
    <xf numFmtId="0" fontId="77" fillId="0" borderId="17" xfId="520" applyFont="1" applyBorder="1" applyAlignment="1">
      <alignment wrapText="1"/>
    </xf>
    <xf numFmtId="0" fontId="74" fillId="0" borderId="17" xfId="520" applyFont="1" applyBorder="1"/>
    <xf numFmtId="0" fontId="78" fillId="0" borderId="21" xfId="520" applyFont="1" applyBorder="1"/>
    <xf numFmtId="0" fontId="77" fillId="0" borderId="22" xfId="520" applyFont="1" applyBorder="1"/>
    <xf numFmtId="175" fontId="60" fillId="47" borderId="0" xfId="0" applyFont="1" applyFill="1" applyAlignment="1">
      <alignment vertical="center"/>
    </xf>
    <xf numFmtId="175" fontId="12" fillId="0" borderId="63" xfId="66" applyBorder="1" applyProtection="1">
      <protection locked="0"/>
    </xf>
    <xf numFmtId="175" fontId="12" fillId="0" borderId="64" xfId="66" applyBorder="1" applyProtection="1">
      <protection locked="0"/>
    </xf>
    <xf numFmtId="175" fontId="13" fillId="0" borderId="45" xfId="66" applyFont="1" applyBorder="1" applyAlignment="1" applyProtection="1">
      <alignment horizontal="center" wrapText="1"/>
      <protection locked="0"/>
    </xf>
    <xf numFmtId="175" fontId="12" fillId="0" borderId="47" xfId="66" applyBorder="1" applyProtection="1">
      <protection locked="0"/>
    </xf>
    <xf numFmtId="167" fontId="12" fillId="0" borderId="47" xfId="66" applyNumberFormat="1" applyBorder="1" applyAlignment="1">
      <alignment horizontal="right"/>
    </xf>
    <xf numFmtId="167" fontId="12" fillId="0" borderId="45" xfId="66" applyNumberFormat="1" applyBorder="1" applyAlignment="1">
      <alignment horizontal="right"/>
    </xf>
    <xf numFmtId="167" fontId="12" fillId="0" borderId="45" xfId="66" applyNumberFormat="1" applyBorder="1"/>
    <xf numFmtId="167" fontId="12" fillId="0" borderId="47" xfId="66" applyNumberFormat="1" applyBorder="1"/>
    <xf numFmtId="175" fontId="12" fillId="47" borderId="41" xfId="0" applyFont="1" applyFill="1" applyBorder="1"/>
    <xf numFmtId="167" fontId="12" fillId="0" borderId="65" xfId="66" applyNumberFormat="1" applyBorder="1"/>
    <xf numFmtId="6" fontId="12" fillId="0" borderId="66" xfId="66" applyNumberFormat="1" applyBorder="1" applyProtection="1">
      <protection locked="0"/>
    </xf>
    <xf numFmtId="175" fontId="12" fillId="0" borderId="67" xfId="66" applyBorder="1" applyProtection="1">
      <protection locked="0"/>
    </xf>
    <xf numFmtId="175" fontId="14" fillId="0" borderId="20" xfId="0" applyFont="1" applyBorder="1" applyAlignment="1" applyProtection="1">
      <alignment horizontal="left"/>
      <protection locked="0"/>
    </xf>
    <xf numFmtId="175" fontId="33" fillId="0" borderId="15" xfId="0" applyFont="1" applyBorder="1" applyAlignment="1" applyProtection="1">
      <alignment horizontal="center" wrapText="1"/>
      <protection locked="0"/>
    </xf>
    <xf numFmtId="166" fontId="14" fillId="0" borderId="11" xfId="46" applyNumberFormat="1" applyFont="1" applyBorder="1" applyAlignment="1" applyProtection="1">
      <alignment horizontal="right"/>
      <protection locked="0"/>
    </xf>
    <xf numFmtId="175" fontId="13" fillId="0" borderId="68" xfId="66" applyFont="1" applyBorder="1" applyProtection="1">
      <protection locked="0"/>
    </xf>
    <xf numFmtId="175" fontId="13" fillId="0" borderId="34" xfId="66" applyFont="1" applyBorder="1" applyProtection="1">
      <protection locked="0"/>
    </xf>
    <xf numFmtId="175" fontId="15" fillId="0" borderId="17" xfId="66" applyFont="1" applyBorder="1" applyAlignment="1">
      <alignment wrapText="1"/>
    </xf>
    <xf numFmtId="175" fontId="12" fillId="0" borderId="17" xfId="66" applyBorder="1" applyAlignment="1">
      <alignment horizontal="left" indent="1"/>
    </xf>
    <xf numFmtId="175" fontId="12" fillId="47" borderId="17" xfId="66" applyFill="1" applyBorder="1" applyAlignment="1">
      <alignment horizontal="left" indent="1"/>
    </xf>
    <xf numFmtId="175" fontId="13" fillId="0" borderId="20" xfId="66" applyFont="1" applyBorder="1"/>
    <xf numFmtId="175" fontId="13" fillId="0" borderId="17" xfId="66" applyFont="1" applyBorder="1"/>
    <xf numFmtId="175" fontId="12" fillId="0" borderId="17" xfId="66" quotePrefix="1" applyBorder="1" applyAlignment="1">
      <alignment horizontal="left" indent="1"/>
    </xf>
    <xf numFmtId="175" fontId="13" fillId="0" borderId="20" xfId="66" applyFont="1" applyBorder="1" applyAlignment="1">
      <alignment wrapText="1"/>
    </xf>
    <xf numFmtId="175" fontId="13" fillId="0" borderId="22" xfId="66" applyFont="1" applyBorder="1" applyAlignment="1" applyProtection="1">
      <alignment wrapText="1"/>
      <protection locked="0"/>
    </xf>
    <xf numFmtId="0" fontId="78" fillId="49" borderId="20" xfId="520" applyFont="1" applyFill="1" applyBorder="1"/>
    <xf numFmtId="6" fontId="74" fillId="49" borderId="18" xfId="520" applyNumberFormat="1" applyFont="1" applyFill="1" applyBorder="1"/>
    <xf numFmtId="6" fontId="74" fillId="49" borderId="19" xfId="520" applyNumberFormat="1" applyFont="1" applyFill="1" applyBorder="1"/>
    <xf numFmtId="0" fontId="74" fillId="49" borderId="18" xfId="520" applyFont="1" applyFill="1" applyBorder="1"/>
    <xf numFmtId="0" fontId="74" fillId="49" borderId="19" xfId="520" applyFont="1" applyFill="1" applyBorder="1"/>
    <xf numFmtId="0" fontId="78" fillId="49" borderId="18" xfId="520" applyFont="1" applyFill="1" applyBorder="1"/>
    <xf numFmtId="0" fontId="78" fillId="49" borderId="19" xfId="520" applyFont="1" applyFill="1" applyBorder="1"/>
    <xf numFmtId="175" fontId="12" fillId="0" borderId="11" xfId="66" applyBorder="1" applyAlignment="1" applyProtection="1">
      <alignment horizontal="center"/>
      <protection locked="0"/>
    </xf>
    <xf numFmtId="175" fontId="64" fillId="0" borderId="39" xfId="66" applyFont="1" applyBorder="1" applyAlignment="1">
      <alignment horizontal="left" wrapText="1" indent="1"/>
    </xf>
    <xf numFmtId="164" fontId="64" fillId="43" borderId="71" xfId="66" applyNumberFormat="1" applyFont="1" applyFill="1" applyBorder="1"/>
    <xf numFmtId="164" fontId="64" fillId="43" borderId="69" xfId="66" applyNumberFormat="1" applyFont="1" applyFill="1" applyBorder="1"/>
    <xf numFmtId="164" fontId="65" fillId="0" borderId="17" xfId="66" applyNumberFormat="1" applyFont="1" applyBorder="1"/>
    <xf numFmtId="175" fontId="64" fillId="47" borderId="41" xfId="66" applyFont="1" applyFill="1" applyBorder="1" applyAlignment="1">
      <alignment horizontal="center"/>
    </xf>
    <xf numFmtId="175" fontId="65" fillId="0" borderId="41" xfId="66" applyFont="1" applyBorder="1"/>
    <xf numFmtId="175" fontId="65" fillId="47" borderId="41" xfId="66" applyFont="1" applyFill="1" applyBorder="1"/>
    <xf numFmtId="164" fontId="64" fillId="43" borderId="14" xfId="66" applyNumberFormat="1" applyFont="1" applyFill="1" applyBorder="1"/>
    <xf numFmtId="164" fontId="64" fillId="0" borderId="61" xfId="66" applyNumberFormat="1" applyFont="1" applyBorder="1"/>
    <xf numFmtId="175" fontId="13" fillId="47" borderId="11" xfId="66" applyFont="1" applyFill="1" applyBorder="1" applyAlignment="1" applyProtection="1">
      <alignment horizontal="center" wrapText="1"/>
      <protection locked="0"/>
    </xf>
    <xf numFmtId="175" fontId="12" fillId="47" borderId="13" xfId="66" applyFill="1" applyBorder="1" applyProtection="1">
      <protection locked="0"/>
    </xf>
    <xf numFmtId="6" fontId="12" fillId="47" borderId="13" xfId="66" applyNumberFormat="1" applyFill="1" applyBorder="1" applyAlignment="1">
      <alignment horizontal="right"/>
    </xf>
    <xf numFmtId="6" fontId="12" fillId="47" borderId="11" xfId="66" applyNumberFormat="1" applyFill="1" applyBorder="1"/>
    <xf numFmtId="6" fontId="12" fillId="47" borderId="13" xfId="66" applyNumberFormat="1" applyFill="1" applyBorder="1"/>
    <xf numFmtId="6" fontId="12" fillId="47" borderId="33" xfId="66" applyNumberFormat="1" applyFill="1" applyBorder="1" applyAlignment="1">
      <alignment horizontal="right"/>
    </xf>
    <xf numFmtId="6" fontId="74" fillId="0" borderId="17" xfId="520" applyNumberFormat="1" applyFont="1" applyBorder="1"/>
    <xf numFmtId="6" fontId="74" fillId="49" borderId="20" xfId="520" applyNumberFormat="1" applyFont="1" applyFill="1" applyBorder="1"/>
    <xf numFmtId="6" fontId="74" fillId="0" borderId="21" xfId="520" applyNumberFormat="1" applyFont="1" applyBorder="1"/>
    <xf numFmtId="0" fontId="74" fillId="0" borderId="22" xfId="520" applyFont="1" applyBorder="1"/>
    <xf numFmtId="175" fontId="14" fillId="47" borderId="0" xfId="0" quotePrefix="1" applyFont="1" applyFill="1" applyAlignment="1" applyProtection="1">
      <alignment vertical="top"/>
      <protection locked="0"/>
    </xf>
    <xf numFmtId="175" fontId="13" fillId="0" borderId="0" xfId="66" applyFont="1" applyAlignment="1" applyProtection="1">
      <alignment horizontal="center"/>
      <protection locked="0"/>
    </xf>
    <xf numFmtId="175" fontId="13" fillId="0" borderId="0" xfId="66" quotePrefix="1" applyFont="1" applyAlignment="1" applyProtection="1">
      <alignment horizontal="center"/>
      <protection locked="0"/>
    </xf>
    <xf numFmtId="6" fontId="12" fillId="0" borderId="34" xfId="66" applyNumberFormat="1" applyBorder="1" applyAlignment="1">
      <alignment horizontal="center"/>
    </xf>
    <xf numFmtId="175" fontId="12" fillId="0" borderId="11" xfId="66" applyBorder="1"/>
    <xf numFmtId="175" fontId="12" fillId="0" borderId="20" xfId="66" applyBorder="1"/>
    <xf numFmtId="175" fontId="13" fillId="0" borderId="34" xfId="66" applyFont="1" applyBorder="1" applyAlignment="1" applyProtection="1">
      <alignment horizontal="center"/>
      <protection locked="0"/>
    </xf>
    <xf numFmtId="175" fontId="13" fillId="0" borderId="34" xfId="66" quotePrefix="1" applyFont="1" applyBorder="1" applyAlignment="1" applyProtection="1">
      <alignment horizontal="center"/>
      <protection locked="0"/>
    </xf>
    <xf numFmtId="175" fontId="12" fillId="47" borderId="11" xfId="66" applyFill="1" applyBorder="1"/>
    <xf numFmtId="175" fontId="66" fillId="47" borderId="0" xfId="0" applyFont="1" applyFill="1" applyAlignment="1">
      <alignment vertical="center"/>
    </xf>
    <xf numFmtId="6" fontId="74" fillId="0" borderId="15" xfId="520" applyNumberFormat="1" applyFont="1" applyBorder="1"/>
    <xf numFmtId="6" fontId="74" fillId="0" borderId="13" xfId="520" applyNumberFormat="1" applyFont="1" applyBorder="1"/>
    <xf numFmtId="6" fontId="74" fillId="0" borderId="34" xfId="520" applyNumberFormat="1" applyFont="1" applyBorder="1"/>
    <xf numFmtId="175" fontId="60" fillId="0" borderId="0" xfId="66" applyFont="1" applyProtection="1">
      <protection locked="0"/>
    </xf>
    <xf numFmtId="175" fontId="12" fillId="0" borderId="17" xfId="66" applyBorder="1"/>
    <xf numFmtId="175" fontId="12" fillId="47" borderId="17" xfId="0" applyFont="1" applyFill="1" applyBorder="1" applyAlignment="1">
      <alignment horizontal="left"/>
    </xf>
    <xf numFmtId="175" fontId="65" fillId="43" borderId="63" xfId="66" applyFont="1" applyFill="1" applyBorder="1"/>
    <xf numFmtId="175" fontId="64" fillId="43" borderId="64" xfId="66" applyFont="1" applyFill="1" applyBorder="1" applyAlignment="1">
      <alignment horizontal="center"/>
    </xf>
    <xf numFmtId="175" fontId="64" fillId="43" borderId="72" xfId="66" applyFont="1" applyFill="1" applyBorder="1" applyAlignment="1">
      <alignment horizontal="center"/>
    </xf>
    <xf numFmtId="175" fontId="64" fillId="0" borderId="59" xfId="66" applyFont="1" applyBorder="1"/>
    <xf numFmtId="175" fontId="13" fillId="0" borderId="11" xfId="66" applyFont="1" applyBorder="1" applyAlignment="1" applyProtection="1">
      <alignment horizontal="left"/>
      <protection locked="0"/>
    </xf>
    <xf numFmtId="175" fontId="13" fillId="0" borderId="61" xfId="66" applyFont="1" applyBorder="1" applyAlignment="1">
      <alignment horizontal="center"/>
    </xf>
    <xf numFmtId="175" fontId="13" fillId="0" borderId="61" xfId="66" applyFont="1" applyBorder="1" applyAlignment="1">
      <alignment horizontal="left"/>
    </xf>
    <xf numFmtId="175" fontId="13" fillId="0" borderId="40" xfId="66" applyFont="1" applyBorder="1"/>
    <xf numFmtId="175" fontId="12" fillId="0" borderId="61" xfId="66" applyBorder="1"/>
    <xf numFmtId="175" fontId="13" fillId="0" borderId="61" xfId="66" applyFont="1" applyBorder="1"/>
    <xf numFmtId="175" fontId="13" fillId="0" borderId="40" xfId="66" applyFont="1" applyBorder="1" applyAlignment="1">
      <alignment horizontal="left" wrapText="1" indent="1"/>
    </xf>
    <xf numFmtId="175" fontId="13" fillId="0" borderId="61" xfId="66" applyFont="1" applyBorder="1" applyAlignment="1">
      <alignment horizontal="left" indent="1"/>
    </xf>
    <xf numFmtId="175" fontId="13" fillId="0" borderId="61" xfId="66" applyFont="1" applyBorder="1" applyAlignment="1">
      <alignment horizontal="center" wrapText="1"/>
    </xf>
    <xf numFmtId="175" fontId="13" fillId="0" borderId="40" xfId="66" applyFont="1" applyBorder="1" applyAlignment="1">
      <alignment horizontal="left" indent="1"/>
    </xf>
    <xf numFmtId="175" fontId="13" fillId="0" borderId="70" xfId="66" applyFont="1" applyBorder="1" applyAlignment="1">
      <alignment horizontal="left" indent="1"/>
    </xf>
    <xf numFmtId="175" fontId="13" fillId="0" borderId="74" xfId="66" applyFont="1" applyBorder="1" applyAlignment="1">
      <alignment wrapText="1"/>
    </xf>
    <xf numFmtId="175" fontId="13" fillId="0" borderId="75" xfId="66" applyFont="1" applyBorder="1" applyAlignment="1">
      <alignment horizontal="center" wrapText="1"/>
    </xf>
    <xf numFmtId="175" fontId="12" fillId="0" borderId="72" xfId="66" applyBorder="1"/>
    <xf numFmtId="164" fontId="12" fillId="0" borderId="72" xfId="66" applyNumberFormat="1" applyBorder="1"/>
    <xf numFmtId="164" fontId="12" fillId="0" borderId="64" xfId="66" applyNumberFormat="1" applyBorder="1"/>
    <xf numFmtId="164" fontId="12" fillId="0" borderId="76" xfId="66" applyNumberFormat="1" applyBorder="1"/>
    <xf numFmtId="164" fontId="12" fillId="44" borderId="64" xfId="66" applyNumberFormat="1" applyFill="1" applyBorder="1" applyAlignment="1">
      <alignment horizontal="right"/>
    </xf>
    <xf numFmtId="164" fontId="13" fillId="0" borderId="77" xfId="66" applyNumberFormat="1" applyFont="1" applyBorder="1"/>
    <xf numFmtId="175" fontId="13" fillId="0" borderId="78" xfId="66" applyFont="1" applyBorder="1" applyAlignment="1">
      <alignment horizontal="center"/>
    </xf>
    <xf numFmtId="175" fontId="13" fillId="0" borderId="75" xfId="66" applyFont="1" applyBorder="1" applyAlignment="1">
      <alignment horizontal="center"/>
    </xf>
    <xf numFmtId="164" fontId="12" fillId="0" borderId="41" xfId="66" applyNumberFormat="1" applyBorder="1"/>
    <xf numFmtId="164" fontId="12" fillId="0" borderId="72" xfId="66" applyNumberFormat="1" applyBorder="1" applyAlignment="1">
      <alignment horizontal="center"/>
    </xf>
    <xf numFmtId="164" fontId="12" fillId="0" borderId="79" xfId="66" applyNumberFormat="1" applyBorder="1"/>
    <xf numFmtId="164" fontId="12" fillId="0" borderId="64" xfId="66" applyNumberFormat="1" applyBorder="1" applyAlignment="1">
      <alignment horizontal="center"/>
    </xf>
    <xf numFmtId="164" fontId="12" fillId="0" borderId="72" xfId="66" applyNumberFormat="1" applyBorder="1" applyAlignment="1" applyProtection="1">
      <alignment horizontal="center"/>
      <protection locked="0"/>
    </xf>
    <xf numFmtId="164" fontId="12" fillId="0" borderId="80" xfId="66" applyNumberFormat="1" applyBorder="1" applyAlignment="1" applyProtection="1">
      <alignment horizontal="center"/>
      <protection locked="0"/>
    </xf>
    <xf numFmtId="164" fontId="12" fillId="0" borderId="73" xfId="66" applyNumberFormat="1" applyBorder="1"/>
    <xf numFmtId="164" fontId="12" fillId="0" borderId="76" xfId="66" applyNumberFormat="1" applyBorder="1" applyAlignment="1">
      <alignment horizontal="center"/>
    </xf>
    <xf numFmtId="164" fontId="12" fillId="44" borderId="79" xfId="66" applyNumberFormat="1" applyFill="1" applyBorder="1"/>
    <xf numFmtId="164" fontId="12" fillId="44" borderId="64" xfId="66" applyNumberFormat="1" applyFill="1" applyBorder="1" applyAlignment="1">
      <alignment horizontal="center"/>
    </xf>
    <xf numFmtId="164" fontId="13" fillId="0" borderId="81" xfId="66" applyNumberFormat="1" applyFont="1" applyBorder="1"/>
    <xf numFmtId="164" fontId="13" fillId="0" borderId="77" xfId="66" applyNumberFormat="1" applyFont="1" applyBorder="1" applyAlignment="1">
      <alignment horizontal="center"/>
    </xf>
    <xf numFmtId="175" fontId="61" fillId="0" borderId="0" xfId="66" applyFont="1" applyProtection="1">
      <protection locked="0"/>
    </xf>
    <xf numFmtId="0" fontId="74" fillId="47" borderId="17" xfId="520" applyFont="1" applyFill="1" applyBorder="1" applyAlignment="1">
      <alignment horizontal="left" wrapText="1" indent="2"/>
    </xf>
    <xf numFmtId="43" fontId="12" fillId="50" borderId="27" xfId="46" quotePrefix="1" applyFill="1" applyBorder="1" applyAlignment="1">
      <alignment horizontal="left"/>
    </xf>
    <xf numFmtId="43" fontId="12" fillId="50" borderId="55" xfId="46" quotePrefix="1" applyFill="1" applyBorder="1" applyAlignment="1">
      <alignment horizontal="left"/>
    </xf>
    <xf numFmtId="43" fontId="12" fillId="50" borderId="0" xfId="46" quotePrefix="1" applyFill="1" applyAlignment="1">
      <alignment horizontal="left"/>
    </xf>
    <xf numFmtId="43" fontId="12" fillId="50" borderId="42" xfId="46" quotePrefix="1" applyFill="1" applyBorder="1" applyAlignment="1">
      <alignment horizontal="left"/>
    </xf>
    <xf numFmtId="43" fontId="12" fillId="50" borderId="14" xfId="46" quotePrefix="1" applyFill="1" applyBorder="1" applyAlignment="1">
      <alignment horizontal="left"/>
    </xf>
    <xf numFmtId="43" fontId="12" fillId="50" borderId="16" xfId="46" quotePrefix="1" applyFill="1" applyBorder="1" applyAlignment="1">
      <alignment horizontal="left"/>
    </xf>
    <xf numFmtId="43" fontId="12" fillId="50" borderId="0" xfId="46" quotePrefix="1" applyFill="1" applyAlignment="1">
      <alignment horizontal="center"/>
    </xf>
    <xf numFmtId="43" fontId="12" fillId="50" borderId="0" xfId="46" quotePrefix="1" applyFill="1" applyAlignment="1">
      <alignment horizontal="right"/>
    </xf>
    <xf numFmtId="43" fontId="12" fillId="50" borderId="0" xfId="46" quotePrefix="1" applyFill="1"/>
    <xf numFmtId="43" fontId="12" fillId="50" borderId="42" xfId="46" quotePrefix="1" applyFill="1" applyBorder="1"/>
    <xf numFmtId="3" fontId="13" fillId="47" borderId="18" xfId="0" applyNumberFormat="1" applyFont="1" applyFill="1" applyBorder="1" applyAlignment="1">
      <alignment horizontal="center" wrapText="1"/>
    </xf>
    <xf numFmtId="175" fontId="13" fillId="47" borderId="26" xfId="0" applyFont="1" applyFill="1" applyBorder="1" applyAlignment="1">
      <alignment horizontal="center"/>
    </xf>
    <xf numFmtId="175" fontId="85" fillId="0" borderId="0" xfId="0" applyFont="1" applyAlignment="1" applyProtection="1">
      <alignment vertical="center"/>
      <protection locked="0"/>
    </xf>
    <xf numFmtId="175" fontId="86" fillId="0" borderId="0" xfId="0" applyFont="1" applyAlignment="1" applyProtection="1">
      <alignment vertical="center"/>
      <protection locked="0"/>
    </xf>
    <xf numFmtId="175" fontId="33" fillId="47" borderId="0" xfId="0" applyFont="1" applyFill="1" applyProtection="1">
      <protection locked="0"/>
    </xf>
    <xf numFmtId="164" fontId="64" fillId="47" borderId="43" xfId="66" applyNumberFormat="1" applyFont="1" applyFill="1" applyBorder="1"/>
    <xf numFmtId="9" fontId="14" fillId="0" borderId="0" xfId="145" applyFont="1" applyProtection="1">
      <protection locked="0"/>
    </xf>
    <xf numFmtId="43" fontId="12" fillId="0" borderId="0" xfId="46" applyProtection="1">
      <protection locked="0"/>
    </xf>
    <xf numFmtId="2" fontId="14" fillId="0" borderId="0" xfId="0" applyNumberFormat="1" applyFont="1" applyProtection="1">
      <protection locked="0"/>
    </xf>
    <xf numFmtId="175" fontId="13" fillId="47" borderId="0" xfId="782" applyFont="1" applyFill="1" applyAlignment="1">
      <alignment vertical="center"/>
    </xf>
    <xf numFmtId="175" fontId="12" fillId="0" borderId="0" xfId="782"/>
    <xf numFmtId="0" fontId="14" fillId="0" borderId="11" xfId="67" applyNumberFormat="1" applyBorder="1" applyAlignment="1">
      <alignment horizontal="center" vertical="center" wrapText="1"/>
    </xf>
    <xf numFmtId="6" fontId="14" fillId="0" borderId="11" xfId="67" applyNumberFormat="1" applyBorder="1" applyAlignment="1">
      <alignment horizontal="center" vertical="center" wrapText="1"/>
    </xf>
    <xf numFmtId="175" fontId="14" fillId="0" borderId="11" xfId="67" applyBorder="1" applyAlignment="1">
      <alignment horizontal="left" vertical="center" wrapText="1"/>
    </xf>
    <xf numFmtId="14" fontId="14" fillId="0" borderId="11" xfId="67" applyNumberFormat="1" applyBorder="1" applyAlignment="1">
      <alignment horizontal="center" vertical="center" wrapText="1"/>
    </xf>
    <xf numFmtId="175" fontId="33" fillId="0" borderId="0" xfId="67" applyFont="1" applyAlignment="1">
      <alignment horizontal="center" vertical="center"/>
    </xf>
    <xf numFmtId="0" fontId="14" fillId="0" borderId="11" xfId="67" applyNumberFormat="1" applyBorder="1" applyAlignment="1" applyProtection="1">
      <alignment horizontal="center" vertical="center"/>
      <protection locked="0"/>
    </xf>
    <xf numFmtId="6" fontId="14" fillId="0" borderId="11" xfId="67" applyNumberFormat="1" applyBorder="1" applyAlignment="1" applyProtection="1">
      <alignment horizontal="center" vertical="center"/>
      <protection locked="0"/>
    </xf>
    <xf numFmtId="175" fontId="14" fillId="0" borderId="0" xfId="67" applyAlignment="1" applyProtection="1">
      <alignment vertical="center"/>
      <protection locked="0"/>
    </xf>
    <xf numFmtId="175" fontId="14" fillId="0" borderId="11" xfId="67" applyBorder="1" applyAlignment="1">
      <alignment horizontal="center" vertical="center" wrapText="1"/>
    </xf>
    <xf numFmtId="175" fontId="14" fillId="0" borderId="11" xfId="67" applyBorder="1" applyAlignment="1" applyProtection="1">
      <alignment horizontal="center" vertical="center" wrapText="1"/>
      <protection locked="0"/>
    </xf>
    <xf numFmtId="175" fontId="12" fillId="0" borderId="11" xfId="66" applyBorder="1" applyAlignment="1" applyProtection="1">
      <alignment vertical="center" wrapText="1"/>
      <protection locked="0"/>
    </xf>
    <xf numFmtId="6" fontId="74" fillId="0" borderId="22" xfId="520" applyNumberFormat="1" applyFont="1" applyBorder="1"/>
    <xf numFmtId="175" fontId="12" fillId="0" borderId="0" xfId="66" applyAlignment="1" applyProtection="1">
      <alignment vertical="center" wrapText="1"/>
      <protection locked="0"/>
    </xf>
    <xf numFmtId="175" fontId="88" fillId="0" borderId="0" xfId="0" applyFont="1"/>
    <xf numFmtId="175" fontId="89" fillId="0" borderId="0" xfId="0" applyFont="1"/>
    <xf numFmtId="172" fontId="88" fillId="0" borderId="0" xfId="0" applyNumberFormat="1" applyFont="1"/>
    <xf numFmtId="175" fontId="89" fillId="0" borderId="0" xfId="0" applyFont="1" applyAlignment="1">
      <alignment horizontal="right"/>
    </xf>
    <xf numFmtId="175" fontId="90" fillId="0" borderId="0" xfId="0" applyFont="1" applyAlignment="1">
      <alignment horizontal="left" vertical="center" indent="1"/>
    </xf>
    <xf numFmtId="171" fontId="13" fillId="47" borderId="0" xfId="0" quotePrefix="1" applyNumberFormat="1" applyFont="1" applyFill="1" applyAlignment="1" applyProtection="1">
      <alignment horizontal="center"/>
      <protection locked="0"/>
    </xf>
    <xf numFmtId="175" fontId="13" fillId="47" borderId="0" xfId="0" applyFont="1" applyFill="1" applyAlignment="1">
      <alignment vertical="center"/>
    </xf>
    <xf numFmtId="6" fontId="12" fillId="47" borderId="0" xfId="66" applyNumberFormat="1" applyFill="1" applyAlignment="1" applyProtection="1">
      <alignment horizontal="right"/>
      <protection locked="0"/>
    </xf>
    <xf numFmtId="168" fontId="12" fillId="47" borderId="0" xfId="50" applyNumberFormat="1" applyFill="1" applyProtection="1">
      <protection locked="0"/>
    </xf>
    <xf numFmtId="176" fontId="12" fillId="0" borderId="11" xfId="0" applyNumberFormat="1" applyFont="1" applyBorder="1" applyAlignment="1">
      <alignment horizontal="center"/>
    </xf>
    <xf numFmtId="176" fontId="12" fillId="0" borderId="0" xfId="782" applyNumberFormat="1"/>
    <xf numFmtId="175" fontId="14" fillId="0" borderId="0" xfId="0" applyFont="1" applyAlignment="1">
      <alignment horizontal="center"/>
    </xf>
    <xf numFmtId="172" fontId="12" fillId="0" borderId="0" xfId="0" applyNumberFormat="1" applyFont="1"/>
    <xf numFmtId="175" fontId="38" fillId="0" borderId="0" xfId="0" applyFont="1"/>
    <xf numFmtId="3" fontId="38" fillId="0" borderId="0" xfId="0" applyNumberFormat="1" applyFont="1"/>
    <xf numFmtId="175" fontId="14" fillId="47" borderId="0" xfId="0" applyFont="1" applyFill="1" applyAlignment="1">
      <alignment horizontal="center"/>
    </xf>
    <xf numFmtId="172" fontId="12" fillId="0" borderId="0" xfId="0" applyNumberFormat="1" applyFont="1" applyAlignment="1">
      <alignment horizontal="right"/>
    </xf>
    <xf numFmtId="172" fontId="12" fillId="0" borderId="0" xfId="0" applyNumberFormat="1" applyFont="1" applyAlignment="1" applyProtection="1">
      <alignment horizontal="right"/>
      <protection locked="0"/>
    </xf>
    <xf numFmtId="0" fontId="12" fillId="0" borderId="0" xfId="66" applyNumberFormat="1"/>
    <xf numFmtId="164" fontId="12" fillId="0" borderId="0" xfId="66" applyNumberFormat="1" applyBorder="1"/>
    <xf numFmtId="175" fontId="12" fillId="47" borderId="0" xfId="66" applyFont="1" applyFill="1" applyAlignment="1" applyProtection="1">
      <alignment horizontal="center"/>
      <protection locked="0"/>
    </xf>
    <xf numFmtId="175" fontId="12" fillId="47" borderId="0" xfId="66" applyFont="1" applyFill="1" applyProtection="1">
      <protection locked="0"/>
    </xf>
    <xf numFmtId="175" fontId="13" fillId="47" borderId="11" xfId="66" applyFont="1" applyFill="1" applyBorder="1" applyAlignment="1" applyProtection="1">
      <alignment horizontal="center"/>
    </xf>
    <xf numFmtId="171" fontId="13" fillId="47" borderId="11" xfId="66" applyNumberFormat="1" applyFont="1" applyFill="1" applyBorder="1" applyAlignment="1" applyProtection="1">
      <alignment horizontal="center"/>
    </xf>
    <xf numFmtId="175" fontId="13" fillId="47" borderId="11" xfId="66" applyFont="1" applyFill="1" applyBorder="1" applyAlignment="1" applyProtection="1">
      <alignment horizontal="center" wrapText="1"/>
    </xf>
    <xf numFmtId="175" fontId="12" fillId="47" borderId="11" xfId="66" applyFont="1" applyFill="1" applyBorder="1" applyAlignment="1" applyProtection="1">
      <alignment horizontal="left"/>
      <protection locked="0"/>
    </xf>
    <xf numFmtId="1" fontId="12" fillId="47" borderId="11" xfId="66" quotePrefix="1" applyNumberFormat="1" applyFont="1" applyFill="1" applyBorder="1" applyAlignment="1" applyProtection="1">
      <alignment horizontal="center"/>
      <protection locked="0"/>
    </xf>
    <xf numFmtId="14" fontId="12" fillId="47" borderId="11" xfId="66" applyNumberFormat="1" applyFont="1" applyFill="1" applyBorder="1" applyAlignment="1" applyProtection="1">
      <alignment horizontal="center"/>
      <protection locked="0"/>
    </xf>
    <xf numFmtId="175" fontId="12" fillId="47" borderId="11" xfId="66" applyFont="1" applyFill="1" applyBorder="1" applyAlignment="1" applyProtection="1">
      <alignment horizontal="center"/>
      <protection locked="0"/>
    </xf>
    <xf numFmtId="176" fontId="12" fillId="47" borderId="11" xfId="381" applyNumberFormat="1" applyFont="1" applyFill="1" applyBorder="1" applyAlignment="1" applyProtection="1">
      <alignment horizontal="center"/>
      <protection locked="0"/>
    </xf>
    <xf numFmtId="175" fontId="12" fillId="47" borderId="11" xfId="66" quotePrefix="1" applyFont="1" applyFill="1" applyBorder="1" applyAlignment="1" applyProtection="1">
      <alignment horizontal="center"/>
      <protection locked="0"/>
    </xf>
    <xf numFmtId="1" fontId="12" fillId="47" borderId="11" xfId="66" applyNumberFormat="1" applyFont="1" applyFill="1" applyBorder="1" applyAlignment="1" applyProtection="1">
      <alignment horizontal="center"/>
      <protection locked="0"/>
    </xf>
    <xf numFmtId="0" fontId="12" fillId="0" borderId="0" xfId="520" applyFont="1" applyFill="1" applyBorder="1" applyAlignment="1" applyProtection="1">
      <alignment horizontal="left"/>
      <protection locked="0"/>
    </xf>
    <xf numFmtId="175" fontId="13" fillId="47" borderId="0" xfId="66" quotePrefix="1" applyFont="1" applyFill="1" applyBorder="1" applyAlignment="1" applyProtection="1">
      <alignment horizontal="center"/>
      <protection locked="0"/>
    </xf>
    <xf numFmtId="14" fontId="89" fillId="0" borderId="0" xfId="0" applyNumberFormat="1" applyFont="1"/>
    <xf numFmtId="175" fontId="12" fillId="47" borderId="0" xfId="66" applyFont="1" applyFill="1" applyBorder="1" applyAlignment="1" applyProtection="1">
      <alignment horizontal="center"/>
      <protection locked="0"/>
    </xf>
    <xf numFmtId="176" fontId="12" fillId="47" borderId="0" xfId="381" applyNumberFormat="1" applyFont="1" applyFill="1" applyBorder="1" applyAlignment="1" applyProtection="1">
      <alignment horizontal="center"/>
      <protection locked="0"/>
    </xf>
    <xf numFmtId="175" fontId="12" fillId="47" borderId="0" xfId="66" quotePrefix="1" applyFont="1" applyFill="1" applyBorder="1" applyAlignment="1" applyProtection="1">
      <alignment horizontal="center"/>
      <protection locked="0"/>
    </xf>
    <xf numFmtId="1" fontId="12"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3" fillId="47" borderId="0" xfId="66" applyFont="1" applyFill="1" applyBorder="1" applyAlignment="1" applyProtection="1">
      <alignment horizontal="center"/>
      <protection locked="0"/>
    </xf>
    <xf numFmtId="171" fontId="12" fillId="47" borderId="0" xfId="66" applyNumberFormat="1" applyFont="1" applyFill="1" applyBorder="1" applyAlignment="1" applyProtection="1">
      <alignment horizontal="center"/>
      <protection locked="0"/>
    </xf>
    <xf numFmtId="176" fontId="12" fillId="47" borderId="0" xfId="268" applyNumberFormat="1" applyFont="1" applyFill="1" applyBorder="1" applyAlignment="1" applyProtection="1">
      <alignment horizontal="center"/>
      <protection locked="0"/>
    </xf>
    <xf numFmtId="175" fontId="53" fillId="47" borderId="0" xfId="66" quotePrefix="1" applyFont="1" applyFill="1" applyBorder="1" applyAlignment="1" applyProtection="1">
      <alignment horizontal="left"/>
      <protection locked="0"/>
    </xf>
    <xf numFmtId="171" fontId="12" fillId="47" borderId="0" xfId="66" applyNumberFormat="1" applyFont="1" applyFill="1" applyAlignment="1" applyProtection="1">
      <alignment horizontal="center"/>
      <protection locked="0"/>
    </xf>
    <xf numFmtId="176" fontId="12" fillId="47" borderId="0" xfId="66" applyNumberFormat="1" applyFont="1" applyFill="1" applyAlignment="1" applyProtection="1">
      <alignment horizontal="center"/>
      <protection locked="0"/>
    </xf>
    <xf numFmtId="175" fontId="88" fillId="0" borderId="0" xfId="0" applyFont="1" applyBorder="1"/>
    <xf numFmtId="14" fontId="88" fillId="0" borderId="0" xfId="0" applyNumberFormat="1" applyFont="1" applyBorder="1" applyAlignment="1">
      <alignment horizontal="right"/>
    </xf>
    <xf numFmtId="176" fontId="88" fillId="0" borderId="0" xfId="0" applyNumberFormat="1" applyFont="1" applyBorder="1" applyAlignment="1">
      <alignment horizontal="right"/>
    </xf>
    <xf numFmtId="177" fontId="12" fillId="0" borderId="11" xfId="66" applyNumberFormat="1" applyBorder="1"/>
    <xf numFmtId="175" fontId="12" fillId="0" borderId="0" xfId="66" applyBorder="1"/>
    <xf numFmtId="175" fontId="13" fillId="44" borderId="60" xfId="66" applyFont="1" applyFill="1" applyBorder="1" applyAlignment="1">
      <alignment horizontal="center"/>
    </xf>
    <xf numFmtId="175" fontId="13" fillId="0" borderId="71" xfId="66" applyFont="1" applyBorder="1"/>
    <xf numFmtId="175" fontId="13" fillId="0" borderId="60" xfId="0" applyFont="1" applyBorder="1" applyAlignment="1">
      <alignment wrapText="1"/>
    </xf>
    <xf numFmtId="175" fontId="13" fillId="0" borderId="71" xfId="66" applyFont="1" applyBorder="1" applyAlignment="1">
      <alignment horizontal="left"/>
    </xf>
    <xf numFmtId="6" fontId="74" fillId="51" borderId="0" xfId="520" applyNumberFormat="1" applyFont="1" applyFill="1"/>
    <xf numFmtId="6" fontId="74" fillId="47" borderId="42" xfId="520" applyNumberFormat="1" applyFont="1" applyFill="1" applyBorder="1"/>
    <xf numFmtId="175" fontId="13" fillId="0" borderId="36" xfId="66" applyFont="1" applyBorder="1" applyProtection="1">
      <protection locked="0"/>
    </xf>
    <xf numFmtId="175" fontId="13" fillId="0" borderId="20" xfId="66" applyFont="1" applyBorder="1" applyAlignment="1" applyProtection="1">
      <alignment horizontal="center"/>
      <protection locked="0"/>
    </xf>
    <xf numFmtId="6" fontId="12" fillId="0" borderId="0" xfId="66" applyNumberFormat="1" applyBorder="1" applyAlignment="1">
      <alignment horizontal="right"/>
    </xf>
    <xf numFmtId="175" fontId="13" fillId="0" borderId="0" xfId="66" applyFont="1" applyBorder="1" applyProtection="1">
      <protection locked="0"/>
    </xf>
    <xf numFmtId="175" fontId="13" fillId="0" borderId="82" xfId="66" applyFont="1" applyBorder="1" applyAlignment="1" applyProtection="1">
      <alignment horizontal="center" wrapText="1"/>
      <protection locked="0"/>
    </xf>
    <xf numFmtId="6" fontId="12" fillId="0" borderId="61" xfId="66" applyNumberFormat="1" applyBorder="1" applyAlignment="1">
      <alignment horizontal="right"/>
    </xf>
    <xf numFmtId="6" fontId="12" fillId="0" borderId="71" xfId="66" applyNumberFormat="1" applyBorder="1"/>
    <xf numFmtId="6" fontId="12" fillId="0" borderId="40" xfId="66" applyNumberFormat="1" applyBorder="1"/>
    <xf numFmtId="6" fontId="12" fillId="0" borderId="61" xfId="66" applyNumberFormat="1" applyBorder="1"/>
    <xf numFmtId="177" fontId="12" fillId="0" borderId="40" xfId="66" applyNumberFormat="1" applyBorder="1"/>
    <xf numFmtId="6" fontId="74" fillId="0" borderId="0" xfId="520" applyNumberFormat="1" applyFont="1" applyBorder="1"/>
    <xf numFmtId="6" fontId="74" fillId="49" borderId="14" xfId="520" applyNumberFormat="1" applyFont="1" applyFill="1" applyBorder="1"/>
    <xf numFmtId="6" fontId="74" fillId="0" borderId="55" xfId="520" applyNumberFormat="1" applyFont="1" applyBorder="1"/>
    <xf numFmtId="0" fontId="74" fillId="0" borderId="0" xfId="520" applyFont="1" applyBorder="1"/>
    <xf numFmtId="164" fontId="65" fillId="0" borderId="0" xfId="66" applyNumberFormat="1" applyFont="1" applyBorder="1"/>
    <xf numFmtId="164" fontId="64" fillId="0" borderId="72" xfId="66" applyNumberFormat="1" applyFont="1" applyBorder="1"/>
    <xf numFmtId="0" fontId="77" fillId="0" borderId="21" xfId="520" applyFont="1" applyBorder="1"/>
    <xf numFmtId="0" fontId="77" fillId="0" borderId="18" xfId="520" applyFont="1" applyBorder="1" applyAlignment="1">
      <alignment horizontal="center"/>
    </xf>
    <xf numFmtId="6" fontId="74" fillId="47" borderId="13" xfId="520" applyNumberFormat="1" applyFont="1" applyFill="1" applyBorder="1"/>
    <xf numFmtId="6" fontId="74" fillId="49" borderId="21" xfId="520" applyNumberFormat="1" applyFont="1" applyFill="1" applyBorder="1"/>
    <xf numFmtId="6" fontId="74" fillId="0" borderId="27" xfId="520" applyNumberFormat="1" applyFont="1" applyBorder="1"/>
    <xf numFmtId="164" fontId="64" fillId="43" borderId="20" xfId="66" applyNumberFormat="1" applyFont="1" applyFill="1" applyBorder="1" applyAlignment="1">
      <alignment horizontal="right"/>
    </xf>
    <xf numFmtId="164" fontId="64" fillId="43" borderId="18" xfId="66" applyNumberFormat="1" applyFont="1" applyFill="1" applyBorder="1" applyAlignment="1">
      <alignment horizontal="right"/>
    </xf>
    <xf numFmtId="164" fontId="64" fillId="0" borderId="19" xfId="66" applyNumberFormat="1" applyFont="1" applyBorder="1" applyAlignment="1">
      <alignment horizontal="right"/>
    </xf>
    <xf numFmtId="164" fontId="64" fillId="43" borderId="19" xfId="66" applyNumberFormat="1" applyFont="1" applyFill="1" applyBorder="1" applyAlignment="1">
      <alignment horizontal="right"/>
    </xf>
    <xf numFmtId="164" fontId="65" fillId="0" borderId="72" xfId="66" applyNumberFormat="1" applyFont="1" applyBorder="1"/>
    <xf numFmtId="164" fontId="65" fillId="0" borderId="22" xfId="66" applyNumberFormat="1" applyFont="1" applyBorder="1"/>
    <xf numFmtId="164" fontId="65" fillId="0" borderId="27" xfId="66" applyNumberFormat="1" applyFont="1" applyBorder="1"/>
    <xf numFmtId="164" fontId="65" fillId="0" borderId="55" xfId="66" applyNumberFormat="1" applyFont="1" applyBorder="1"/>
    <xf numFmtId="164" fontId="65" fillId="0" borderId="42" xfId="66" applyNumberFormat="1" applyFont="1" applyBorder="1"/>
    <xf numFmtId="164" fontId="65" fillId="0" borderId="21" xfId="66" applyNumberFormat="1" applyFont="1" applyBorder="1"/>
    <xf numFmtId="164" fontId="65" fillId="0" borderId="14" xfId="66" applyNumberFormat="1" applyFont="1" applyBorder="1"/>
    <xf numFmtId="164" fontId="65" fillId="0" borderId="16" xfId="66" applyNumberFormat="1" applyFont="1" applyBorder="1"/>
    <xf numFmtId="175" fontId="12" fillId="47" borderId="0" xfId="0" quotePrefix="1" applyFont="1" applyFill="1" applyAlignment="1">
      <alignment vertical="top" wrapText="1"/>
    </xf>
    <xf numFmtId="175" fontId="12" fillId="0" borderId="0" xfId="0" quotePrefix="1" applyFont="1"/>
    <xf numFmtId="175" fontId="83" fillId="0" borderId="0" xfId="0" quotePrefix="1" applyFont="1" applyAlignment="1">
      <alignment vertical="center"/>
    </xf>
    <xf numFmtId="175" fontId="14" fillId="0" borderId="0" xfId="67" quotePrefix="1" applyProtection="1">
      <protection locked="0"/>
    </xf>
    <xf numFmtId="175" fontId="83" fillId="0" borderId="0" xfId="0" quotePrefix="1" applyFont="1" applyProtection="1">
      <protection locked="0"/>
    </xf>
    <xf numFmtId="175" fontId="91" fillId="47" borderId="0" xfId="0" quotePrefix="1" applyFont="1" applyFill="1" applyProtection="1">
      <protection locked="0"/>
    </xf>
    <xf numFmtId="175" fontId="13" fillId="0" borderId="20" xfId="66" applyFont="1" applyBorder="1" applyAlignment="1" applyProtection="1">
      <alignment horizontal="right"/>
      <protection locked="0"/>
    </xf>
    <xf numFmtId="6" fontId="12" fillId="0" borderId="22" xfId="66" applyNumberFormat="1" applyBorder="1" applyAlignment="1">
      <alignment horizontal="right"/>
    </xf>
    <xf numFmtId="6" fontId="12" fillId="0" borderId="17" xfId="66" applyNumberFormat="1" applyBorder="1" applyAlignment="1">
      <alignment horizontal="right"/>
    </xf>
    <xf numFmtId="6" fontId="12" fillId="0" borderId="20" xfId="66" applyNumberFormat="1" applyBorder="1"/>
    <xf numFmtId="6" fontId="12" fillId="0" borderId="20" xfId="66" applyNumberFormat="1" applyBorder="1" applyAlignment="1">
      <alignment horizontal="right"/>
    </xf>
    <xf numFmtId="6" fontId="12" fillId="0" borderId="17" xfId="66" applyNumberFormat="1" applyBorder="1"/>
    <xf numFmtId="6" fontId="12" fillId="47" borderId="15" xfId="66" applyNumberFormat="1" applyFill="1" applyBorder="1"/>
    <xf numFmtId="6" fontId="12" fillId="47" borderId="13" xfId="66" applyNumberFormat="1" applyFill="1" applyBorder="1" applyProtection="1">
      <protection locked="0"/>
    </xf>
    <xf numFmtId="6" fontId="12" fillId="0" borderId="13" xfId="66" applyNumberFormat="1" applyBorder="1" applyProtection="1">
      <protection locked="0"/>
    </xf>
    <xf numFmtId="6" fontId="12" fillId="0" borderId="34" xfId="66" applyNumberFormat="1" applyBorder="1" applyProtection="1">
      <protection locked="0"/>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3" fillId="0" borderId="11" xfId="0" applyFont="1" applyBorder="1" applyAlignment="1">
      <alignment horizontal="center"/>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12" fillId="0" borderId="0" xfId="66" applyAlignment="1">
      <alignment wrapText="1"/>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2" fillId="0" borderId="0" xfId="0" quotePrefix="1" applyFont="1" applyAlignment="1">
      <alignment horizontal="left" vertical="top" wrapText="1"/>
    </xf>
    <xf numFmtId="175" fontId="13" fillId="0" borderId="11" xfId="0" applyFont="1" applyBorder="1" applyAlignment="1">
      <alignment horizontal="center"/>
    </xf>
    <xf numFmtId="175" fontId="33" fillId="0" borderId="15" xfId="0" applyFont="1" applyBorder="1" applyAlignment="1">
      <alignment horizontal="center" wrapText="1"/>
    </xf>
    <xf numFmtId="175" fontId="33" fillId="0" borderId="34" xfId="0" applyFont="1" applyBorder="1" applyAlignment="1">
      <alignment horizontal="center" wrapText="1"/>
    </xf>
    <xf numFmtId="175" fontId="12" fillId="0" borderId="0" xfId="0" quotePrefix="1" applyFont="1" applyAlignment="1">
      <alignment wrapText="1"/>
    </xf>
    <xf numFmtId="175" fontId="68" fillId="0" borderId="0" xfId="0" applyFont="1" applyAlignment="1">
      <alignment vertical="top" wrapText="1"/>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85" fillId="0" borderId="0" xfId="0" applyFont="1" applyAlignment="1" applyProtection="1">
      <alignment horizontal="center"/>
      <protection locked="0"/>
    </xf>
    <xf numFmtId="17" fontId="85" fillId="47" borderId="0" xfId="0" quotePrefix="1" applyNumberFormat="1" applyFont="1" applyFill="1" applyAlignment="1" applyProtection="1">
      <alignment horizontal="left"/>
      <protection locked="0"/>
    </xf>
    <xf numFmtId="0" fontId="77" fillId="0" borderId="22" xfId="520" applyFont="1" applyBorder="1" applyAlignment="1">
      <alignment horizontal="center" vertical="center" wrapText="1"/>
    </xf>
    <xf numFmtId="0" fontId="77" fillId="0" borderId="21" xfId="520" applyFont="1" applyBorder="1" applyAlignment="1">
      <alignment horizontal="center" vertical="center" wrapText="1"/>
    </xf>
    <xf numFmtId="0" fontId="77" fillId="0" borderId="15" xfId="520" applyFont="1" applyBorder="1" applyAlignment="1">
      <alignment horizontal="center" vertical="center" wrapText="1"/>
    </xf>
    <xf numFmtId="0" fontId="77" fillId="0" borderId="34" xfId="520" applyFont="1" applyBorder="1" applyAlignment="1">
      <alignment horizontal="center" vertical="center" wrapText="1"/>
    </xf>
    <xf numFmtId="175" fontId="53" fillId="47" borderId="20" xfId="66" applyFont="1" applyFill="1" applyBorder="1" applyAlignment="1" applyProtection="1">
      <alignment horizontal="center" wrapText="1"/>
    </xf>
    <xf numFmtId="175" fontId="53" fillId="47" borderId="18" xfId="66" applyFont="1" applyFill="1" applyBorder="1" applyAlignment="1" applyProtection="1">
      <alignment horizontal="center" wrapText="1"/>
    </xf>
    <xf numFmtId="175" fontId="53" fillId="47" borderId="19" xfId="66" applyFont="1" applyFill="1" applyBorder="1" applyAlignment="1" applyProtection="1">
      <alignment horizontal="center" wrapText="1"/>
    </xf>
    <xf numFmtId="175" fontId="12" fillId="0" borderId="0" xfId="66" applyAlignment="1">
      <alignment wrapText="1"/>
    </xf>
  </cellXfs>
  <cellStyles count="888">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Emph" xfId="106" xr:uid="{00000000-0005-0000-0000-000058030000}"/>
    <cellStyle name="SAPBEXstdItem" xfId="107" xr:uid="{00000000-0005-0000-0000-000059030000}"/>
    <cellStyle name="SAPBEXstdItem 2" xfId="143" xr:uid="{00000000-0005-0000-0000-00005A030000}"/>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0"/>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57"/>
  <sheetViews>
    <sheetView showGridLines="0" tabSelected="1" showRuler="0" zoomScale="110" zoomScaleNormal="110" zoomScaleSheetLayoutView="80" workbookViewId="0">
      <selection activeCell="D8" sqref="D8"/>
    </sheetView>
  </sheetViews>
  <sheetFormatPr defaultColWidth="9.140625" defaultRowHeight="12.75" x14ac:dyDescent="0.2"/>
  <cols>
    <col min="1" max="1" width="39.85546875" style="10" customWidth="1"/>
    <col min="2" max="2" width="11.28515625" style="10" customWidth="1"/>
    <col min="3" max="3" width="12.28515625" style="10" customWidth="1"/>
    <col min="4" max="4" width="12.7109375" style="10" customWidth="1"/>
    <col min="5" max="5" width="12"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x14ac:dyDescent="0.2">
      <c r="H1" s="175" t="s">
        <v>0</v>
      </c>
    </row>
    <row r="2" spans="1:31" ht="14.25" customHeight="1" x14ac:dyDescent="0.2">
      <c r="H2" s="175" t="s">
        <v>1</v>
      </c>
      <c r="Q2" s="12"/>
      <c r="R2" s="102"/>
    </row>
    <row r="3" spans="1:31" ht="14.25" customHeight="1" x14ac:dyDescent="0.2">
      <c r="C3" s="179"/>
      <c r="E3" s="179"/>
      <c r="G3" s="179"/>
      <c r="H3" s="178" t="s">
        <v>2</v>
      </c>
      <c r="I3" s="179"/>
    </row>
    <row r="4" spans="1:31" hidden="1" x14ac:dyDescent="0.2">
      <c r="C4" s="10">
        <v>2</v>
      </c>
      <c r="D4" s="10">
        <f>C4</f>
        <v>2</v>
      </c>
      <c r="F4" s="10">
        <f>C4+1</f>
        <v>3</v>
      </c>
      <c r="G4" s="10">
        <f>F4</f>
        <v>3</v>
      </c>
      <c r="I4" s="10">
        <f>F4+1</f>
        <v>4</v>
      </c>
      <c r="J4" s="10">
        <f>I4</f>
        <v>4</v>
      </c>
      <c r="L4" s="10">
        <f>I4+1</f>
        <v>5</v>
      </c>
      <c r="M4" s="10">
        <f>L4</f>
        <v>5</v>
      </c>
      <c r="O4" s="10">
        <f>L4+1</f>
        <v>6</v>
      </c>
      <c r="P4" s="10">
        <f>O4</f>
        <v>6</v>
      </c>
      <c r="R4" s="10">
        <f>O4+1</f>
        <v>7</v>
      </c>
      <c r="S4" s="10">
        <f>R4</f>
        <v>7</v>
      </c>
    </row>
    <row r="5" spans="1:31" x14ac:dyDescent="0.2">
      <c r="C5" s="103"/>
    </row>
    <row r="6" spans="1:31" x14ac:dyDescent="0.2">
      <c r="A6" s="104"/>
      <c r="B6" s="105"/>
      <c r="C6" s="106" t="s">
        <v>3</v>
      </c>
      <c r="D6" s="105"/>
      <c r="E6" s="105"/>
      <c r="F6" s="105" t="s">
        <v>4</v>
      </c>
      <c r="G6" s="105"/>
      <c r="H6" s="105"/>
      <c r="I6" s="105" t="s">
        <v>5</v>
      </c>
      <c r="J6" s="105"/>
      <c r="K6" s="105"/>
      <c r="L6" s="105" t="s">
        <v>6</v>
      </c>
      <c r="M6" s="105"/>
      <c r="N6" s="105"/>
      <c r="O6" s="105" t="s">
        <v>7</v>
      </c>
      <c r="P6" s="105"/>
      <c r="Q6" s="105"/>
      <c r="R6" s="105" t="s">
        <v>8</v>
      </c>
      <c r="S6" s="105"/>
      <c r="T6" s="204"/>
    </row>
    <row r="7" spans="1:31" ht="42" x14ac:dyDescent="0.2">
      <c r="A7" s="205" t="s">
        <v>9</v>
      </c>
      <c r="B7" s="228" t="s">
        <v>10</v>
      </c>
      <c r="C7" s="207" t="s">
        <v>11</v>
      </c>
      <c r="D7" s="196" t="s">
        <v>12</v>
      </c>
      <c r="E7" s="206" t="s">
        <v>10</v>
      </c>
      <c r="F7" s="207" t="s">
        <v>13</v>
      </c>
      <c r="G7" s="196" t="s">
        <v>14</v>
      </c>
      <c r="H7" s="208" t="s">
        <v>15</v>
      </c>
      <c r="I7" s="207" t="s">
        <v>16</v>
      </c>
      <c r="J7" s="196" t="s">
        <v>14</v>
      </c>
      <c r="K7" s="209" t="s">
        <v>10</v>
      </c>
      <c r="L7" s="207" t="s">
        <v>17</v>
      </c>
      <c r="M7" s="196" t="s">
        <v>14</v>
      </c>
      <c r="N7" s="209" t="s">
        <v>10</v>
      </c>
      <c r="O7" s="207" t="s">
        <v>13</v>
      </c>
      <c r="P7" s="196" t="s">
        <v>14</v>
      </c>
      <c r="Q7" s="208" t="s">
        <v>10</v>
      </c>
      <c r="R7" s="207" t="s">
        <v>13</v>
      </c>
      <c r="S7" s="196" t="s">
        <v>14</v>
      </c>
      <c r="T7" s="196" t="s">
        <v>18</v>
      </c>
    </row>
    <row r="8" spans="1:31" ht="12.75" customHeight="1" x14ac:dyDescent="0.2">
      <c r="A8" s="189" t="s">
        <v>19</v>
      </c>
      <c r="B8" s="210"/>
      <c r="C8" s="210"/>
      <c r="D8" s="211"/>
      <c r="E8" s="212"/>
      <c r="F8" s="210"/>
      <c r="G8" s="211"/>
      <c r="H8" s="212"/>
      <c r="I8" s="210"/>
      <c r="J8" s="210"/>
      <c r="K8" s="212"/>
      <c r="L8" s="210"/>
      <c r="M8" s="213"/>
      <c r="N8" s="212"/>
      <c r="O8" s="210"/>
      <c r="P8" s="213"/>
      <c r="Q8" s="212"/>
      <c r="R8" s="210"/>
      <c r="S8" s="213"/>
      <c r="T8" s="214"/>
    </row>
    <row r="9" spans="1:31" x14ac:dyDescent="0.2">
      <c r="A9" s="101" t="s">
        <v>20</v>
      </c>
      <c r="B9" s="119">
        <v>5</v>
      </c>
      <c r="C9" s="535">
        <f>B9*(INDEX('Ex ante LI &amp; Eligibility Stats'!$A:$M,MATCH('Program MW '!$A9,'Ex ante LI &amp; Eligibility Stats'!$A:$A,0),MATCH('Program MW '!C$6,'Ex ante LI &amp; Eligibility Stats'!$A$8:$M$8,0))/1000)</f>
        <v>8.6526428699493396E-2</v>
      </c>
      <c r="D9" s="531">
        <f>B9*(INDEX('Ex post LI &amp; Eligibility Stats'!$A:$N,MATCH($A9,'Ex post LI &amp; Eligibility Stats'!$A:$A,0),MATCH('Program MW '!C$6,'Ex post LI &amp; Eligibility Stats'!$A$8:$N$8,0))/1000)</f>
        <v>2.1189744567871092</v>
      </c>
      <c r="E9" s="14">
        <v>0</v>
      </c>
      <c r="F9" s="531">
        <f>E9*(INDEX('Ex ante LI &amp; Eligibility Stats'!$A:$M,MATCH('Program MW '!$A9,'Ex ante LI &amp; Eligibility Stats'!$A:$A,0),MATCH('Program MW '!F$6,'Ex ante LI &amp; Eligibility Stats'!$A$8:$M$8,0))/1000)</f>
        <v>0</v>
      </c>
      <c r="G9" s="531">
        <f>E9*(INDEX('Ex post LI &amp; Eligibility Stats'!$A:$N,MATCH($A9,'Ex post LI &amp; Eligibility Stats'!$A:$A,0),MATCH('Program MW '!F$6,'Ex post LI &amp; Eligibility Stats'!$A$8:$N$8,0))/1000)</f>
        <v>0</v>
      </c>
      <c r="H9" s="14">
        <v>0</v>
      </c>
      <c r="I9" s="536">
        <f>H9*(INDEX('Ex ante LI &amp; Eligibility Stats'!$A:$M,MATCH('Program MW '!$A9,'Ex ante LI &amp; Eligibility Stats'!$A:$A,0),MATCH('Program MW '!I$6,'Ex ante LI &amp; Eligibility Stats'!$A$8:$M$8,0))/1000)</f>
        <v>0</v>
      </c>
      <c r="J9" s="531">
        <f>H9*(INDEX('Ex post LI &amp; Eligibility Stats'!$A:$N,MATCH($A9,'Ex post LI &amp; Eligibility Stats'!$A:$A,0),MATCH('Program MW '!I$6,'Ex post LI &amp; Eligibility Stats'!$A$8:$N$8,0))/1000)</f>
        <v>0</v>
      </c>
      <c r="K9" s="14">
        <v>0</v>
      </c>
      <c r="L9" s="531">
        <f>K9*(INDEX('Ex ante LI &amp; Eligibility Stats'!$A:$M,MATCH('Program MW '!$A9,'Ex ante LI &amp; Eligibility Stats'!$A:$A,0),MATCH('Program MW '!L$6,'Ex ante LI &amp; Eligibility Stats'!$A$8:$M$8,0))/1000)</f>
        <v>0</v>
      </c>
      <c r="M9" s="531">
        <f>K9*(INDEX('Ex post LI &amp; Eligibility Stats'!$A:$N,MATCH($A9,'Ex post LI &amp; Eligibility Stats'!$A:$A,0),MATCH('Program MW '!L$6,'Ex post LI &amp; Eligibility Stats'!$A$8:$N$8,0))/1000)</f>
        <v>0</v>
      </c>
      <c r="N9" s="14">
        <v>0</v>
      </c>
      <c r="O9" s="531">
        <f>N9*(INDEX('Ex ante LI &amp; Eligibility Stats'!$A:$M,MATCH('Program MW '!$A9,'Ex ante LI &amp; Eligibility Stats'!$A:$A,0),MATCH('Program MW '!O$6,'Ex ante LI &amp; Eligibility Stats'!$A$8:$M$8,0))/1000)</f>
        <v>0</v>
      </c>
      <c r="P9" s="531">
        <f>N9*(INDEX('Ex post LI &amp; Eligibility Stats'!$A:$N,MATCH($A9,'Ex post LI &amp; Eligibility Stats'!$A:$A,0),MATCH('Program MW '!O$6,'Ex post LI &amp; Eligibility Stats'!$A$8:$N$8,0))/1000)</f>
        <v>0</v>
      </c>
      <c r="Q9" s="141">
        <v>0</v>
      </c>
      <c r="R9" s="531">
        <f>Q9*(INDEX('Ex ante LI &amp; Eligibility Stats'!$A:$M,MATCH('Program MW '!$A9,'Ex ante LI &amp; Eligibility Stats'!$A:$A,0),MATCH('Program MW '!R$6,'Ex ante LI &amp; Eligibility Stats'!$A$8:$M$8,0))/1000)</f>
        <v>0</v>
      </c>
      <c r="S9" s="532">
        <f>Q9*(INDEX('Ex post LI &amp; Eligibility Stats'!$A:$N,MATCH($A9,'Ex post LI &amp; Eligibility Stats'!$A:$A,0),MATCH('Program MW '!R$6,'Ex post LI &amp; Eligibility Stats'!$A$8:$N$8,0))/1000)</f>
        <v>0</v>
      </c>
      <c r="T9" s="4">
        <v>5276</v>
      </c>
    </row>
    <row r="10" spans="1:31" ht="16.5" customHeight="1" thickBot="1" x14ac:dyDescent="0.25">
      <c r="A10" s="215" t="s">
        <v>21</v>
      </c>
      <c r="B10" s="181">
        <f t="shared" ref="B10:S10" si="0">SUM(B9:B9)</f>
        <v>5</v>
      </c>
      <c r="C10" s="199">
        <f t="shared" si="0"/>
        <v>8.6526428699493396E-2</v>
      </c>
      <c r="D10" s="199">
        <f t="shared" si="0"/>
        <v>2.1189744567871092</v>
      </c>
      <c r="E10" s="1">
        <f t="shared" si="0"/>
        <v>0</v>
      </c>
      <c r="F10" s="269">
        <f t="shared" si="0"/>
        <v>0</v>
      </c>
      <c r="G10" s="269">
        <f t="shared" si="0"/>
        <v>0</v>
      </c>
      <c r="H10" s="1">
        <f t="shared" si="0"/>
        <v>0</v>
      </c>
      <c r="I10" s="269">
        <f t="shared" si="0"/>
        <v>0</v>
      </c>
      <c r="J10" s="269">
        <f t="shared" si="0"/>
        <v>0</v>
      </c>
      <c r="K10" s="1">
        <f>SUM(K9)</f>
        <v>0</v>
      </c>
      <c r="L10" s="275">
        <f t="shared" si="0"/>
        <v>0</v>
      </c>
      <c r="M10" s="275">
        <f t="shared" si="0"/>
        <v>0</v>
      </c>
      <c r="N10" s="1">
        <f t="shared" si="0"/>
        <v>0</v>
      </c>
      <c r="O10" s="269">
        <f t="shared" si="0"/>
        <v>0</v>
      </c>
      <c r="P10" s="269">
        <f t="shared" si="0"/>
        <v>0</v>
      </c>
      <c r="Q10" s="142">
        <f t="shared" si="0"/>
        <v>0</v>
      </c>
      <c r="R10" s="297">
        <f t="shared" si="0"/>
        <v>0</v>
      </c>
      <c r="S10" s="296">
        <f t="shared" si="0"/>
        <v>0</v>
      </c>
      <c r="T10" s="5"/>
    </row>
    <row r="11" spans="1:31" ht="16.5" customHeight="1" thickTop="1" x14ac:dyDescent="0.2">
      <c r="A11" s="189" t="s">
        <v>22</v>
      </c>
      <c r="B11" s="200"/>
      <c r="C11" s="198"/>
      <c r="D11" s="201"/>
      <c r="E11" s="216"/>
      <c r="F11" s="217"/>
      <c r="G11" s="218"/>
      <c r="H11" s="216"/>
      <c r="I11" s="219"/>
      <c r="J11" s="218"/>
      <c r="K11" s="216"/>
      <c r="L11" s="219"/>
      <c r="M11" s="218"/>
      <c r="N11" s="216"/>
      <c r="O11" s="539"/>
      <c r="P11" s="540"/>
      <c r="Q11" s="220"/>
      <c r="R11" s="219"/>
      <c r="S11" s="221"/>
      <c r="T11" s="214"/>
      <c r="Y11" s="6"/>
      <c r="Z11" s="6"/>
      <c r="AA11" s="6"/>
      <c r="AB11" s="6"/>
      <c r="AC11" s="6"/>
      <c r="AD11" s="6"/>
      <c r="AE11" s="6"/>
    </row>
    <row r="12" spans="1:31" x14ac:dyDescent="0.2">
      <c r="A12" s="58" t="s">
        <v>23</v>
      </c>
      <c r="B12" s="185">
        <v>10620</v>
      </c>
      <c r="C12" s="531">
        <f>B12*(INDEX('Ex ante LI &amp; Eligibility Stats'!$A:$M,MATCH($A12,'Ex ante LI &amp; Eligibility Stats'!$A:$A,0),MATCH('Program MW '!C$6,'Ex ante LI &amp; Eligibility Stats'!$A$8:$M$8,0))/1000)</f>
        <v>7.6900502713322636</v>
      </c>
      <c r="D12" s="530">
        <f>B12*(INDEX('Ex post LI &amp; Eligibility Stats'!$A:$N,MATCH($A12,'Ex post LI &amp; Eligibility Stats'!$A:$A,0),MATCH('Program MW '!C$6,'Ex post LI &amp; Eligibility Stats'!$A$8:$N$8,0))/1000)</f>
        <v>15.461432161331176</v>
      </c>
      <c r="E12" s="185">
        <v>0</v>
      </c>
      <c r="F12" s="529">
        <f>E12*(INDEX('Ex ante LI &amp; Eligibility Stats'!$A:$M,MATCH($A12,'Ex ante LI &amp; Eligibility Stats'!$A:$A,0),MATCH('Program MW '!F$6,'Ex ante LI &amp; Eligibility Stats'!$A$8:$M$8,0))/1000)</f>
        <v>0</v>
      </c>
      <c r="G12" s="530">
        <f>E12*(INDEX('Ex post LI &amp; Eligibility Stats'!$A:$N,MATCH($A12,'Ex post LI &amp; Eligibility Stats'!$A:$A,0),MATCH('Program MW '!F$6,'Ex post LI &amp; Eligibility Stats'!$A$8:$N$8,0))/1000)</f>
        <v>0</v>
      </c>
      <c r="H12" s="185">
        <v>0</v>
      </c>
      <c r="I12" s="529">
        <f>H12*(INDEX('Ex ante LI &amp; Eligibility Stats'!$A:$M,MATCH('Program MW '!$A12,'Ex ante LI &amp; Eligibility Stats'!$A:$A,0),MATCH('Program MW '!I$6,'Ex ante LI &amp; Eligibility Stats'!$A$8:$M$8,0))/1000)</f>
        <v>0</v>
      </c>
      <c r="J12" s="530">
        <f>H12*(INDEX('Ex post LI &amp; Eligibility Stats'!$A:$N,MATCH($A12,'Ex post LI &amp; Eligibility Stats'!$A:$A,0),MATCH('Program MW '!I$6,'Ex post LI &amp; Eligibility Stats'!$A$8:$N$8,0))/1000)</f>
        <v>0</v>
      </c>
      <c r="K12" s="185">
        <v>0</v>
      </c>
      <c r="L12" s="529">
        <f>K12*(INDEX('Ex ante LI &amp; Eligibility Stats'!$A:$M,MATCH('Program MW '!$A12,'Ex ante LI &amp; Eligibility Stats'!$A:$A,0),MATCH('Program MW '!L$6,'Ex ante LI &amp; Eligibility Stats'!$A$8:$M$8,0))/1000)</f>
        <v>0</v>
      </c>
      <c r="M12" s="530">
        <f>K12*(INDEX('Ex post LI &amp; Eligibility Stats'!$A:$N,MATCH($A12,'Ex post LI &amp; Eligibility Stats'!$A:$A,0),MATCH('Program MW '!L$6,'Ex post LI &amp; Eligibility Stats'!$A$8:$N$8,0))/1000)</f>
        <v>0</v>
      </c>
      <c r="N12" s="185">
        <v>0</v>
      </c>
      <c r="O12" s="531">
        <f>N12*(INDEX('Ex ante LI &amp; Eligibility Stats'!$A:$M,MATCH('Program MW '!$A12,'Ex ante LI &amp; Eligibility Stats'!$A:$A,0),MATCH('Program MW '!O$6,'Ex ante LI &amp; Eligibility Stats'!$A$8:$M$8,0))/1000)</f>
        <v>0</v>
      </c>
      <c r="P12" s="531">
        <f>N12*(INDEX('Ex post LI &amp; Eligibility Stats'!$A:$N,MATCH($A12,'Ex post LI &amp; Eligibility Stats'!$A:$A,0),MATCH('Program MW '!O$6,'Ex post LI &amp; Eligibility Stats'!$A$8:$N$8,0))/1000)</f>
        <v>0</v>
      </c>
      <c r="Q12" s="185">
        <v>0</v>
      </c>
      <c r="R12" s="537">
        <f>Q12*(INDEX('Ex ante LI &amp; Eligibility Stats'!$A:$M,MATCH('Program MW '!$A12,'Ex ante LI &amp; Eligibility Stats'!$A:$A,0),MATCH('Program MW '!R$6,'Ex ante LI &amp; Eligibility Stats'!$A$8:$M$8,0))/1000)</f>
        <v>0</v>
      </c>
      <c r="S12" s="532">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x14ac:dyDescent="0.2">
      <c r="A13" s="240" t="s">
        <v>24</v>
      </c>
      <c r="B13" s="241">
        <v>0</v>
      </c>
      <c r="C13" s="531">
        <v>0</v>
      </c>
      <c r="D13" s="532">
        <v>0</v>
      </c>
      <c r="E13" s="241">
        <v>0</v>
      </c>
      <c r="F13" s="531">
        <v>0</v>
      </c>
      <c r="G13" s="532">
        <v>0</v>
      </c>
      <c r="H13" s="241">
        <v>0</v>
      </c>
      <c r="I13" s="531">
        <v>0</v>
      </c>
      <c r="J13" s="532">
        <v>0</v>
      </c>
      <c r="K13" s="241">
        <v>0</v>
      </c>
      <c r="L13" s="531">
        <v>0</v>
      </c>
      <c r="M13" s="532">
        <v>0</v>
      </c>
      <c r="N13" s="241">
        <v>0</v>
      </c>
      <c r="O13" s="531">
        <v>0</v>
      </c>
      <c r="P13" s="532">
        <v>0</v>
      </c>
      <c r="Q13" s="241">
        <v>0</v>
      </c>
      <c r="R13" s="537">
        <v>0</v>
      </c>
      <c r="S13" s="532">
        <v>0</v>
      </c>
      <c r="T13" s="4"/>
      <c r="U13" s="6"/>
      <c r="V13" s="6"/>
      <c r="W13" s="6"/>
      <c r="X13" s="6"/>
      <c r="Y13" s="6"/>
      <c r="Z13" s="6"/>
      <c r="AA13" s="6"/>
      <c r="AB13" s="6"/>
      <c r="AC13" s="6"/>
      <c r="AD13" s="6"/>
      <c r="AE13" s="6"/>
    </row>
    <row r="14" spans="1:31" x14ac:dyDescent="0.2">
      <c r="A14" s="190" t="s">
        <v>25</v>
      </c>
      <c r="B14" s="186">
        <v>0</v>
      </c>
      <c r="C14" s="531">
        <v>0</v>
      </c>
      <c r="D14" s="532">
        <v>0</v>
      </c>
      <c r="E14" s="186">
        <v>0</v>
      </c>
      <c r="F14" s="531">
        <v>0</v>
      </c>
      <c r="G14" s="532">
        <v>0</v>
      </c>
      <c r="H14" s="186">
        <v>0</v>
      </c>
      <c r="I14" s="531">
        <v>0</v>
      </c>
      <c r="J14" s="532">
        <v>0</v>
      </c>
      <c r="K14" s="186">
        <v>0</v>
      </c>
      <c r="L14" s="531">
        <v>0</v>
      </c>
      <c r="M14" s="532">
        <v>0</v>
      </c>
      <c r="N14" s="186">
        <v>0</v>
      </c>
      <c r="O14" s="531">
        <v>0</v>
      </c>
      <c r="P14" s="532">
        <v>0</v>
      </c>
      <c r="Q14" s="186">
        <v>0</v>
      </c>
      <c r="R14" s="537">
        <v>0</v>
      </c>
      <c r="S14" s="532">
        <v>0</v>
      </c>
      <c r="T14" s="4"/>
      <c r="U14" s="6"/>
      <c r="V14" s="6"/>
      <c r="W14" s="6"/>
      <c r="X14" s="6"/>
      <c r="Y14" s="6"/>
      <c r="Z14" s="6"/>
      <c r="AA14" s="6"/>
      <c r="AB14" s="6"/>
      <c r="AC14" s="6"/>
      <c r="AD14" s="6"/>
      <c r="AE14" s="6"/>
    </row>
    <row r="15" spans="1:31" x14ac:dyDescent="0.2">
      <c r="A15" s="240" t="s">
        <v>26</v>
      </c>
      <c r="B15" s="186">
        <v>0</v>
      </c>
      <c r="C15" s="531">
        <v>0</v>
      </c>
      <c r="D15" s="532">
        <v>0</v>
      </c>
      <c r="E15" s="186">
        <v>0</v>
      </c>
      <c r="F15" s="531">
        <v>0</v>
      </c>
      <c r="G15" s="532">
        <v>0</v>
      </c>
      <c r="H15" s="186">
        <v>0</v>
      </c>
      <c r="I15" s="531">
        <v>0</v>
      </c>
      <c r="J15" s="532">
        <v>0</v>
      </c>
      <c r="K15" s="186">
        <v>0</v>
      </c>
      <c r="L15" s="531">
        <v>0</v>
      </c>
      <c r="M15" s="532">
        <v>0</v>
      </c>
      <c r="N15" s="186">
        <v>0</v>
      </c>
      <c r="O15" s="531">
        <v>0</v>
      </c>
      <c r="P15" s="531">
        <v>0</v>
      </c>
      <c r="Q15" s="186">
        <v>0</v>
      </c>
      <c r="R15" s="537">
        <v>0</v>
      </c>
      <c r="S15" s="532">
        <v>0</v>
      </c>
      <c r="T15" s="4"/>
      <c r="U15" s="6"/>
      <c r="V15" s="6"/>
      <c r="W15" s="6"/>
      <c r="X15" s="6"/>
      <c r="Y15" s="6"/>
      <c r="Z15" s="6"/>
      <c r="AA15" s="6"/>
      <c r="AB15" s="6"/>
      <c r="AC15" s="6"/>
      <c r="AD15" s="6"/>
      <c r="AE15" s="6"/>
    </row>
    <row r="16" spans="1:31" x14ac:dyDescent="0.2">
      <c r="A16" s="354" t="s">
        <v>27</v>
      </c>
      <c r="B16" s="186">
        <v>16888</v>
      </c>
      <c r="C16" s="531">
        <f>B16*(INDEX('Ex ante LI &amp; Eligibility Stats'!$A:$M,MATCH($A16,'Ex ante LI &amp; Eligibility Stats'!$A:$A,0),MATCH('Program MW '!C$6,'Ex ante LI &amp; Eligibility Stats'!$A$8:$M$8,0))/1000)</f>
        <v>0</v>
      </c>
      <c r="D16" s="532">
        <f>B16*(INDEX('Ex post LI &amp; Eligibility Stats'!$A:$N,MATCH($A16,'Ex post LI &amp; Eligibility Stats'!$A:$A,0),MATCH('Program MW '!C$6,'Ex post LI &amp; Eligibility Stats'!$A$8:$N$8,0))/1000)</f>
        <v>7.1981018452087442</v>
      </c>
      <c r="E16" s="186">
        <v>0</v>
      </c>
      <c r="F16" s="531">
        <f>E16*(INDEX('Ex ante LI &amp; Eligibility Stats'!$A:$M,MATCH($A16,'Ex ante LI &amp; Eligibility Stats'!$A:$A,0),MATCH('Program MW '!F$6,'Ex ante LI &amp; Eligibility Stats'!$A$8:$M$8,0))/1000)</f>
        <v>0</v>
      </c>
      <c r="G16" s="532">
        <f>E16*(INDEX('Ex post LI &amp; Eligibility Stats'!$A:$N,MATCH($A16,'Ex post LI &amp; Eligibility Stats'!$A:$A,0),MATCH('Program MW '!F$6,'Ex post LI &amp; Eligibility Stats'!$A$8:$N$8,0))/1000)</f>
        <v>0</v>
      </c>
      <c r="H16" s="186">
        <v>0</v>
      </c>
      <c r="I16" s="531">
        <f>H16*(INDEX('Ex ante LI &amp; Eligibility Stats'!$A:$M,MATCH('Program MW '!$A16,'Ex ante LI &amp; Eligibility Stats'!$A:$A,0),MATCH('Program MW '!I$6,'Ex ante LI &amp; Eligibility Stats'!$A$8:$M$8,0))/1000)</f>
        <v>0</v>
      </c>
      <c r="J16" s="532">
        <f>H16*(INDEX('Ex post LI &amp; Eligibility Stats'!$A:$N,MATCH($A16,'Ex post LI &amp; Eligibility Stats'!$A:$A,0),MATCH('Program MW '!I$6,'Ex post LI &amp; Eligibility Stats'!$A$8:$N$8,0))/1000)</f>
        <v>0</v>
      </c>
      <c r="K16" s="186">
        <v>0</v>
      </c>
      <c r="L16" s="531">
        <f>K16*(INDEX('Ex ante LI &amp; Eligibility Stats'!$A:$M,MATCH('Program MW '!$A16,'Ex ante LI &amp; Eligibility Stats'!$A:$A,0),MATCH('Program MW '!L$6,'Ex ante LI &amp; Eligibility Stats'!$A$8:$M$8,0))/1000)</f>
        <v>0</v>
      </c>
      <c r="M16" s="532">
        <f>K16*(INDEX('Ex post LI &amp; Eligibility Stats'!$A:$N,MATCH($A16,'Ex post LI &amp; Eligibility Stats'!$A:$A,0),MATCH('Program MW '!L$6,'Ex post LI &amp; Eligibility Stats'!$A$8:$N$8,0))/1000)</f>
        <v>0</v>
      </c>
      <c r="N16" s="186">
        <v>0</v>
      </c>
      <c r="O16" s="531">
        <f>N16*(INDEX('Ex ante LI &amp; Eligibility Stats'!$A:$M,MATCH('Program MW '!$A16,'Ex ante LI &amp; Eligibility Stats'!$A:$A,0),MATCH('Program MW '!O$6,'Ex ante LI &amp; Eligibility Stats'!$A$8:$M$8,0))/1000)</f>
        <v>0</v>
      </c>
      <c r="P16" s="531">
        <f>N16*(INDEX('Ex post LI &amp; Eligibility Stats'!$A:$N,MATCH($A16,'Ex post LI &amp; Eligibility Stats'!$A:$A,0),MATCH('Program MW '!O$6,'Ex post LI &amp; Eligibility Stats'!$A$8:$N$8,0))/1000)</f>
        <v>0</v>
      </c>
      <c r="Q16" s="186">
        <v>0</v>
      </c>
      <c r="R16" s="537">
        <f>Q16*(INDEX('Ex ante LI &amp; Eligibility Stats'!$A:$M,MATCH('Program MW '!$A16,'Ex ante LI &amp; Eligibility Stats'!$A:$A,0),MATCH('Program MW '!R$6,'Ex ante LI &amp; Eligibility Stats'!$A$8:$M$8,0))/1000)</f>
        <v>0</v>
      </c>
      <c r="S16" s="532">
        <f>Q16*(INDEX('Ex post LI &amp; Eligibility Stats'!$A:$N,MATCH($A16,'Ex post LI &amp; Eligibility Stats'!$A:$A,0),MATCH('Program MW '!R$6,'Ex post LI &amp; Eligibility Stats'!$A$8:$N$8,0))/1000)</f>
        <v>0</v>
      </c>
      <c r="T16" s="4">
        <v>663393.5</v>
      </c>
      <c r="U16" s="6"/>
      <c r="V16" s="6"/>
      <c r="W16" s="6"/>
      <c r="X16" s="6"/>
      <c r="Y16" s="6"/>
      <c r="Z16" s="6"/>
      <c r="AA16" s="6"/>
      <c r="AB16" s="6"/>
      <c r="AC16" s="6"/>
      <c r="AD16" s="6"/>
      <c r="AE16" s="6"/>
    </row>
    <row r="17" spans="1:31" x14ac:dyDescent="0.2">
      <c r="A17" s="183" t="s">
        <v>28</v>
      </c>
      <c r="B17" s="186">
        <v>1561</v>
      </c>
      <c r="C17" s="531">
        <f>B17*(INDEX('Ex ante LI &amp; Eligibility Stats'!$A:$M,MATCH($A17,'Ex ante LI &amp; Eligibility Stats'!$A:$A,0),MATCH('Program MW '!C$6,'Ex ante LI &amp; Eligibility Stats'!$A$8:$M$8,0))/1000)</f>
        <v>0</v>
      </c>
      <c r="D17" s="532">
        <f>B17*(INDEX('Ex post LI &amp; Eligibility Stats'!$A:$N,MATCH($A17,'Ex post LI &amp; Eligibility Stats'!$A:$A,0),MATCH('Program MW '!C$6,'Ex post LI &amp; Eligibility Stats'!$A$8:$N$8,0))/1000)</f>
        <v>1.9064256763458249</v>
      </c>
      <c r="E17" s="186">
        <v>0</v>
      </c>
      <c r="F17" s="531">
        <f>E17*(INDEX('Ex ante LI &amp; Eligibility Stats'!$A:$M,MATCH($A17,'Ex ante LI &amp; Eligibility Stats'!$A:$A,0),MATCH('Program MW '!F$6,'Ex ante LI &amp; Eligibility Stats'!$A$8:$M$8,0))/1000)</f>
        <v>0</v>
      </c>
      <c r="G17" s="532">
        <f>E17*(INDEX('Ex post LI &amp; Eligibility Stats'!$A:$N,MATCH($A17,'Ex post LI &amp; Eligibility Stats'!$A:$A,0),MATCH('Program MW '!F$6,'Ex post LI &amp; Eligibility Stats'!$A$8:$N$8,0))/1000)</f>
        <v>0</v>
      </c>
      <c r="H17" s="186">
        <v>0</v>
      </c>
      <c r="I17" s="531">
        <f>H17*(INDEX('Ex ante LI &amp; Eligibility Stats'!$A:$M,MATCH('Program MW '!$A17,'Ex ante LI &amp; Eligibility Stats'!$A:$A,0),MATCH('Program MW '!I$6,'Ex ante LI &amp; Eligibility Stats'!$A$8:$M$8,0))/1000)</f>
        <v>0</v>
      </c>
      <c r="J17" s="532">
        <f>H17*(INDEX('Ex post LI &amp; Eligibility Stats'!$A:$N,MATCH($A17,'Ex post LI &amp; Eligibility Stats'!$A:$A,0),MATCH('Program MW '!I$6,'Ex post LI &amp; Eligibility Stats'!$A$8:$N$8,0))/1000)</f>
        <v>0</v>
      </c>
      <c r="K17" s="186">
        <v>0</v>
      </c>
      <c r="L17" s="531">
        <f>K17*(INDEX('Ex ante LI &amp; Eligibility Stats'!$A:$M,MATCH('Program MW '!$A17,'Ex ante LI &amp; Eligibility Stats'!$A:$A,0),MATCH('Program MW '!L$6,'Ex ante LI &amp; Eligibility Stats'!$A$8:$M$8,0))/1000)</f>
        <v>0</v>
      </c>
      <c r="M17" s="532">
        <f>K17*(INDEX('Ex post LI &amp; Eligibility Stats'!$A:$N,MATCH($A17,'Ex post LI &amp; Eligibility Stats'!$A:$A,0),MATCH('Program MW '!L$6,'Ex post LI &amp; Eligibility Stats'!$A$8:$N$8,0))/1000)</f>
        <v>0</v>
      </c>
      <c r="N17" s="186">
        <v>0</v>
      </c>
      <c r="O17" s="531">
        <f>N17*(INDEX('Ex ante LI &amp; Eligibility Stats'!$A:$M,MATCH('Program MW '!$A17,'Ex ante LI &amp; Eligibility Stats'!$A:$A,0),MATCH('Program MW '!O$6,'Ex ante LI &amp; Eligibility Stats'!$A$8:$M$8,0))/1000)</f>
        <v>0</v>
      </c>
      <c r="P17" s="531">
        <f>N17*(INDEX('Ex post LI &amp; Eligibility Stats'!$A:$N,MATCH($A17,'Ex post LI &amp; Eligibility Stats'!$A:$A,0),MATCH('Program MW '!O$6,'Ex post LI &amp; Eligibility Stats'!$A$8:$N$8,0))/1000)</f>
        <v>0</v>
      </c>
      <c r="Q17" s="186">
        <v>0</v>
      </c>
      <c r="R17" s="537">
        <f>Q17*(INDEX('Ex ante LI &amp; Eligibility Stats'!$A:$M,MATCH('Program MW '!$A17,'Ex ante LI &amp; Eligibility Stats'!$A:$A,0),MATCH('Program MW '!R$6,'Ex ante LI &amp; Eligibility Stats'!$A$8:$M$8,0))/1000)</f>
        <v>0</v>
      </c>
      <c r="S17" s="532">
        <f>Q17*(INDEX('Ex post LI &amp; Eligibility Stats'!$A:$N,MATCH($A17,'Ex post LI &amp; Eligibility Stats'!$A:$A,0),MATCH('Program MW '!R$6,'Ex post LI &amp; Eligibility Stats'!$A$8:$N$8,0))/1000)</f>
        <v>0</v>
      </c>
      <c r="T17" s="4"/>
      <c r="U17" s="6"/>
      <c r="V17" s="6"/>
      <c r="W17" s="6"/>
      <c r="X17" s="6"/>
      <c r="Y17" s="6"/>
      <c r="Z17" s="6"/>
      <c r="AA17" s="6"/>
      <c r="AB17" s="6"/>
      <c r="AC17" s="6"/>
      <c r="AD17" s="6"/>
      <c r="AE17" s="6"/>
    </row>
    <row r="18" spans="1:31" x14ac:dyDescent="0.2">
      <c r="A18" s="354" t="s">
        <v>29</v>
      </c>
      <c r="B18" s="141">
        <v>10892</v>
      </c>
      <c r="C18" s="531">
        <f>B18*(INDEX('Ex ante LI &amp; Eligibility Stats'!$A:$M,MATCH($A18,'Ex ante LI &amp; Eligibility Stats'!$A:$A,0),MATCH('Program MW '!C$6,'Ex ante LI &amp; Eligibility Stats'!$A$8:$M$8,0))/1000)</f>
        <v>0</v>
      </c>
      <c r="D18" s="531">
        <f>B18*(INDEX('Ex post LI &amp; Eligibility Stats'!$A:$N,MATCH($A41,'Ex post LI &amp; Eligibility Stats'!$A:$A,0),MATCH('Program MW '!C$29,'Ex post LI &amp; Eligibility Stats'!$A$8:$N$8,0))/1000)</f>
        <v>4.5243374764000004</v>
      </c>
      <c r="E18" s="186">
        <v>0</v>
      </c>
      <c r="F18" s="531">
        <f>E18*(INDEX('Ex ante LI &amp; Eligibility Stats'!$A:$M,MATCH($A18,'Ex ante LI &amp; Eligibility Stats'!$A:$A,0),MATCH('Program MW '!F$6,'Ex ante LI &amp; Eligibility Stats'!$A$8:$M$8,0))/1000)</f>
        <v>0</v>
      </c>
      <c r="G18" s="532">
        <f>E18*(INDEX('Ex post LI &amp; Eligibility Stats'!$A:$N,MATCH($A18,'Ex post LI &amp; Eligibility Stats'!$A:$A,0),MATCH('Program MW '!F$6,'Ex post LI &amp; Eligibility Stats'!$A$8:$N$8,0))/1000)</f>
        <v>0</v>
      </c>
      <c r="H18" s="186">
        <v>0</v>
      </c>
      <c r="I18" s="531">
        <f>H18*(INDEX('Ex ante LI &amp; Eligibility Stats'!$A:$M,MATCH('Program MW '!$A18,'Ex ante LI &amp; Eligibility Stats'!$A:$A,0),MATCH('Program MW '!I$6,'Ex ante LI &amp; Eligibility Stats'!$A$8:$M$8,0))/1000)</f>
        <v>0</v>
      </c>
      <c r="J18" s="532">
        <f>H18*(INDEX('Ex post LI &amp; Eligibility Stats'!$A:$N,MATCH($A18,'Ex post LI &amp; Eligibility Stats'!$A:$A,0),MATCH('Program MW '!I$6,'Ex post LI &amp; Eligibility Stats'!$A$8:$N$8,0))/1000)</f>
        <v>0</v>
      </c>
      <c r="K18" s="186">
        <v>0</v>
      </c>
      <c r="L18" s="531">
        <f>K18*(INDEX('Ex ante LI &amp; Eligibility Stats'!$A:$M,MATCH('Program MW '!$A18,'Ex ante LI &amp; Eligibility Stats'!$A:$A,0),MATCH('Program MW '!L$6,'Ex ante LI &amp; Eligibility Stats'!$A$8:$M$8,0))/1000)</f>
        <v>0</v>
      </c>
      <c r="M18" s="532">
        <f>K18*(INDEX('Ex post LI &amp; Eligibility Stats'!$A:$N,MATCH($A18,'Ex post LI &amp; Eligibility Stats'!$A:$A,0),MATCH('Program MW '!L$6,'Ex post LI &amp; Eligibility Stats'!$A$8:$N$8,0))/1000)</f>
        <v>0</v>
      </c>
      <c r="N18" s="186">
        <v>0</v>
      </c>
      <c r="O18" s="531">
        <f>N18*(INDEX('Ex ante LI &amp; Eligibility Stats'!$A:$M,MATCH('Program MW '!$A18,'Ex ante LI &amp; Eligibility Stats'!$A:$A,0),MATCH('Program MW '!O$6,'Ex ante LI &amp; Eligibility Stats'!$A$8:$M$8,0))/1000)</f>
        <v>0</v>
      </c>
      <c r="P18" s="531">
        <f>N18*(INDEX('Ex post LI &amp; Eligibility Stats'!$A:$N,MATCH($A18,'Ex post LI &amp; Eligibility Stats'!$A:$A,0),MATCH('Program MW '!O$6,'Ex post LI &amp; Eligibility Stats'!$A$8:$N$8,0))/1000)</f>
        <v>0</v>
      </c>
      <c r="Q18" s="186">
        <v>0</v>
      </c>
      <c r="R18" s="537">
        <f>Q18*(INDEX('Ex ante LI &amp; Eligibility Stats'!$A:$M,MATCH('Program MW '!$A18,'Ex ante LI &amp; Eligibility Stats'!$A:$A,0),MATCH('Program MW '!R$6,'Ex ante LI &amp; Eligibility Stats'!$A$8:$M$8,0))/1000)</f>
        <v>0</v>
      </c>
      <c r="S18" s="532">
        <f>Q18*(INDEX('Ex post LI &amp; Eligibility Stats'!$A:$N,MATCH($A18,'Ex post LI &amp; Eligibility Stats'!$A:$A,0),MATCH('Program MW '!R$6,'Ex post LI &amp; Eligibility Stats'!$A$8:$N$8,0))/1000)</f>
        <v>0</v>
      </c>
      <c r="T18" s="4">
        <v>157189</v>
      </c>
      <c r="U18" s="6"/>
      <c r="V18" s="6"/>
      <c r="W18" s="6"/>
      <c r="X18" s="6"/>
      <c r="Y18" s="6"/>
      <c r="Z18" s="6"/>
      <c r="AA18" s="6"/>
      <c r="AB18" s="6"/>
      <c r="AC18" s="6"/>
      <c r="AD18" s="6"/>
      <c r="AE18" s="6"/>
    </row>
    <row r="19" spans="1:31" x14ac:dyDescent="0.2">
      <c r="A19" s="354" t="s">
        <v>30</v>
      </c>
      <c r="B19" s="141">
        <v>4026</v>
      </c>
      <c r="C19" s="531">
        <f>B19*(INDEX('Ex ante LI &amp; Eligibility Stats'!$A:$M,MATCH($A19,'Ex ante LI &amp; Eligibility Stats'!$A:$A,0),MATCH('Program MW '!C$6,'Ex ante LI &amp; Eligibility Stats'!$A$8:$M$8,0))/1000)</f>
        <v>0</v>
      </c>
      <c r="D19" s="531">
        <f>B19*(INDEX('Ex post LI &amp; Eligibility Stats'!$A:$N,MATCH($A42,'Ex post LI &amp; Eligibility Stats'!$A:$A,0),MATCH('Program MW '!C$29,'Ex post LI &amp; Eligibility Stats'!$A$8:$N$8,0))/1000)</f>
        <v>0.83776309319999998</v>
      </c>
      <c r="E19" s="186">
        <v>0</v>
      </c>
      <c r="F19" s="531">
        <f>E19*(INDEX('Ex ante LI &amp; Eligibility Stats'!$A:$M,MATCH($A19,'Ex ante LI &amp; Eligibility Stats'!$A:$A,0),MATCH('Program MW '!F$6,'Ex ante LI &amp; Eligibility Stats'!$A$8:$M$8,0))/1000)</f>
        <v>0</v>
      </c>
      <c r="G19" s="532">
        <f>E19*(INDEX('Ex post LI &amp; Eligibility Stats'!$A:$N,MATCH($A19,'Ex post LI &amp; Eligibility Stats'!$A:$A,0),MATCH('Program MW '!F$6,'Ex post LI &amp; Eligibility Stats'!$A$8:$N$8,0))/1000)</f>
        <v>0</v>
      </c>
      <c r="H19" s="186">
        <v>0</v>
      </c>
      <c r="I19" s="531">
        <f>H19*(INDEX('Ex ante LI &amp; Eligibility Stats'!$A:$M,MATCH('Program MW '!$A19,'Ex ante LI &amp; Eligibility Stats'!$A:$A,0),MATCH('Program MW '!I$6,'Ex ante LI &amp; Eligibility Stats'!$A$8:$M$8,0))/1000)</f>
        <v>0</v>
      </c>
      <c r="J19" s="532">
        <f>H19*(INDEX('Ex post LI &amp; Eligibility Stats'!$A:$N,MATCH($A19,'Ex post LI &amp; Eligibility Stats'!$A:$A,0),MATCH('Program MW '!I$6,'Ex post LI &amp; Eligibility Stats'!$A$8:$N$8,0))/1000)</f>
        <v>0</v>
      </c>
      <c r="K19" s="186">
        <v>0</v>
      </c>
      <c r="L19" s="531">
        <f>K19*(INDEX('Ex ante LI &amp; Eligibility Stats'!$A:$M,MATCH('Program MW '!$A19,'Ex ante LI &amp; Eligibility Stats'!$A:$A,0),MATCH('Program MW '!L$6,'Ex ante LI &amp; Eligibility Stats'!$A$8:$M$8,0))/1000)</f>
        <v>0</v>
      </c>
      <c r="M19" s="532">
        <f>K19*(INDEX('Ex post LI &amp; Eligibility Stats'!$A:$N,MATCH($A19,'Ex post LI &amp; Eligibility Stats'!$A:$A,0),MATCH('Program MW '!L$6,'Ex post LI &amp; Eligibility Stats'!$A$8:$N$8,0))/1000)</f>
        <v>0</v>
      </c>
      <c r="N19" s="186">
        <v>0</v>
      </c>
      <c r="O19" s="531">
        <f>N19*(INDEX('Ex ante LI &amp; Eligibility Stats'!$A:$M,MATCH('Program MW '!$A19,'Ex ante LI &amp; Eligibility Stats'!$A:$A,0),MATCH('Program MW '!O$6,'Ex ante LI &amp; Eligibility Stats'!$A$8:$M$8,0))/1000)</f>
        <v>0</v>
      </c>
      <c r="P19" s="531">
        <f>N19*(INDEX('Ex post LI &amp; Eligibility Stats'!$A:$N,MATCH($A19,'Ex post LI &amp; Eligibility Stats'!$A:$A,0),MATCH('Program MW '!O$6,'Ex post LI &amp; Eligibility Stats'!$A$8:$N$8,0))/1000)</f>
        <v>0</v>
      </c>
      <c r="Q19" s="186">
        <v>0</v>
      </c>
      <c r="R19" s="537">
        <f>Q19*(INDEX('Ex ante LI &amp; Eligibility Stats'!$A:$M,MATCH('Program MW '!$A19,'Ex ante LI &amp; Eligibility Stats'!$A:$A,0),MATCH('Program MW '!R$6,'Ex ante LI &amp; Eligibility Stats'!$A$8:$M$8,0))/1000)</f>
        <v>0</v>
      </c>
      <c r="S19" s="532">
        <f>Q19*(INDEX('Ex post LI &amp; Eligibility Stats'!$A:$N,MATCH($A19,'Ex post LI &amp; Eligibility Stats'!$A:$A,0),MATCH('Program MW '!R$6,'Ex post LI &amp; Eligibility Stats'!$A$8:$N$8,0))/1000)</f>
        <v>0</v>
      </c>
      <c r="T19" s="4">
        <v>157189</v>
      </c>
      <c r="U19" s="6"/>
      <c r="V19" s="6"/>
      <c r="W19" s="6"/>
      <c r="X19" s="6"/>
      <c r="Y19" s="6"/>
      <c r="Z19" s="6"/>
      <c r="AA19" s="6"/>
      <c r="AB19" s="6"/>
      <c r="AC19" s="6"/>
      <c r="AD19" s="6"/>
      <c r="AE19" s="6"/>
    </row>
    <row r="20" spans="1:31" x14ac:dyDescent="0.2">
      <c r="A20" s="183" t="s">
        <v>31</v>
      </c>
      <c r="B20" s="186">
        <v>0</v>
      </c>
      <c r="C20" s="531">
        <f>B20*(INDEX('Ex ante LI &amp; Eligibility Stats'!$A:$M,MATCH($A20,'Ex ante LI &amp; Eligibility Stats'!$A:$A,0),MATCH('Program MW '!C$6,'Ex ante LI &amp; Eligibility Stats'!$A$8:$M$8,0))/1000)</f>
        <v>0</v>
      </c>
      <c r="D20" s="532">
        <f>B20*(INDEX('Ex post LI &amp; Eligibility Stats'!$A:$N,MATCH($A20,'Ex post LI &amp; Eligibility Stats'!$A:$A,0),MATCH('Program MW '!C$6,'Ex post LI &amp; Eligibility Stats'!$A$8:$N$8,0))/1000)</f>
        <v>0</v>
      </c>
      <c r="E20" s="186">
        <v>0</v>
      </c>
      <c r="F20" s="531">
        <f>E20*(INDEX('Ex ante LI &amp; Eligibility Stats'!$A:$M,MATCH($A20,'Ex ante LI &amp; Eligibility Stats'!$A:$A,0),MATCH('Program MW '!F$6,'Ex ante LI &amp; Eligibility Stats'!$A$8:$M$8,0))/1000)</f>
        <v>0</v>
      </c>
      <c r="G20" s="532">
        <f>E20*(INDEX('Ex post LI &amp; Eligibility Stats'!$A:$N,MATCH($A20,'Ex post LI &amp; Eligibility Stats'!$A:$A,0),MATCH('Program MW '!F$6,'Ex post LI &amp; Eligibility Stats'!$A$8:$N$8,0))/1000)</f>
        <v>0</v>
      </c>
      <c r="H20" s="186">
        <v>0</v>
      </c>
      <c r="I20" s="531">
        <f>H20*(INDEX('Ex ante LI &amp; Eligibility Stats'!$A:$M,MATCH('Program MW '!$A20,'Ex ante LI &amp; Eligibility Stats'!$A:$A,0),MATCH('Program MW '!I$6,'Ex ante LI &amp; Eligibility Stats'!$A$8:$M$8,0))/1000)</f>
        <v>0</v>
      </c>
      <c r="J20" s="532">
        <f>H20*(INDEX('Ex post LI &amp; Eligibility Stats'!$A:$N,MATCH($A20,'Ex post LI &amp; Eligibility Stats'!$A:$A,0),MATCH('Program MW '!I$6,'Ex post LI &amp; Eligibility Stats'!$A$8:$N$8,0))/1000)</f>
        <v>0</v>
      </c>
      <c r="K20" s="186">
        <v>0</v>
      </c>
      <c r="L20" s="531">
        <f>K20*(INDEX('Ex ante LI &amp; Eligibility Stats'!$A:$M,MATCH('Program MW '!$A20,'Ex ante LI &amp; Eligibility Stats'!$A:$A,0),MATCH('Program MW '!L$6,'Ex ante LI &amp; Eligibility Stats'!$A$8:$M$8,0))/1000)</f>
        <v>0</v>
      </c>
      <c r="M20" s="532">
        <f>K20*(INDEX('Ex post LI &amp; Eligibility Stats'!$A:$N,MATCH($A20,'Ex post LI &amp; Eligibility Stats'!$A:$A,0),MATCH('Program MW '!L$6,'Ex post LI &amp; Eligibility Stats'!$A$8:$N$8,0))/1000)</f>
        <v>0</v>
      </c>
      <c r="N20" s="186">
        <v>0</v>
      </c>
      <c r="O20" s="531">
        <f>N20*(INDEX('Ex ante LI &amp; Eligibility Stats'!$A:$M,MATCH('Program MW '!$A20,'Ex ante LI &amp; Eligibility Stats'!$A:$A,0),MATCH('Program MW '!O$6,'Ex ante LI &amp; Eligibility Stats'!$A$8:$M$8,0))/1000)</f>
        <v>0</v>
      </c>
      <c r="P20" s="531">
        <f>N20*(INDEX('Ex post LI &amp; Eligibility Stats'!$A:$N,MATCH($A20,'Ex post LI &amp; Eligibility Stats'!$A:$A,0),MATCH('Program MW '!O$6,'Ex post LI &amp; Eligibility Stats'!$A$8:$N$8,0))/1000)</f>
        <v>0</v>
      </c>
      <c r="Q20" s="186">
        <v>0</v>
      </c>
      <c r="R20" s="537">
        <f>Q20*(INDEX('Ex ante LI &amp; Eligibility Stats'!$A:$M,MATCH('Program MW '!$A20,'Ex ante LI &amp; Eligibility Stats'!$A:$A,0),MATCH('Program MW '!R$6,'Ex ante LI &amp; Eligibility Stats'!$A$8:$M$8,0))/1000)</f>
        <v>0</v>
      </c>
      <c r="S20" s="532">
        <f>Q20*(INDEX('Ex post LI &amp; Eligibility Stats'!$A:$N,MATCH($A20,'Ex post LI &amp; Eligibility Stats'!$A:$A,0),MATCH('Program MW '!R$6,'Ex post LI &amp; Eligibility Stats'!$A$8:$N$8,0))/1000)</f>
        <v>0</v>
      </c>
      <c r="T20" s="4">
        <v>18875</v>
      </c>
      <c r="U20" s="6"/>
      <c r="V20" s="6"/>
      <c r="W20" s="6"/>
      <c r="X20" s="6"/>
      <c r="Y20" s="6"/>
      <c r="Z20" s="6"/>
      <c r="AA20" s="6"/>
      <c r="AB20" s="6"/>
      <c r="AC20" s="6"/>
      <c r="AD20" s="6"/>
      <c r="AE20" s="6"/>
    </row>
    <row r="21" spans="1:31" x14ac:dyDescent="0.2">
      <c r="A21" s="183" t="s">
        <v>32</v>
      </c>
      <c r="B21" s="186">
        <v>0</v>
      </c>
      <c r="C21" s="531">
        <f>B21*(INDEX('Ex ante LI &amp; Eligibility Stats'!$A:$M,MATCH($A21,'Ex ante LI &amp; Eligibility Stats'!$A:$A,0),MATCH('Program MW '!C$6,'Ex ante LI &amp; Eligibility Stats'!$A$8:$M$8,0))/1000)</f>
        <v>0</v>
      </c>
      <c r="D21" s="532">
        <f>B21*(INDEX('Ex post LI &amp; Eligibility Stats'!$A:$N,MATCH($A21,'Ex post LI &amp; Eligibility Stats'!$A:$A,0),MATCH('Program MW '!C$6,'Ex post LI &amp; Eligibility Stats'!$A$8:$N$8,0))/1000)</f>
        <v>0</v>
      </c>
      <c r="E21" s="186">
        <v>0</v>
      </c>
      <c r="F21" s="531">
        <f>E21*(INDEX('Ex ante LI &amp; Eligibility Stats'!$A:$M,MATCH($A21,'Ex ante LI &amp; Eligibility Stats'!$A:$A,0),MATCH('Program MW '!F$6,'Ex ante LI &amp; Eligibility Stats'!$A$8:$M$8,0))/1000)</f>
        <v>0</v>
      </c>
      <c r="G21" s="532">
        <f>E21*(INDEX('Ex post LI &amp; Eligibility Stats'!$A:$N,MATCH($A21,'Ex post LI &amp; Eligibility Stats'!$A:$A,0),MATCH('Program MW '!F$6,'Ex post LI &amp; Eligibility Stats'!$A$8:$N$8,0))/1000)</f>
        <v>0</v>
      </c>
      <c r="H21" s="186">
        <v>0</v>
      </c>
      <c r="I21" s="531">
        <f>H21*(INDEX('Ex ante LI &amp; Eligibility Stats'!$A:$M,MATCH('Program MW '!$A21,'Ex ante LI &amp; Eligibility Stats'!$A:$A,0),MATCH('Program MW '!I$6,'Ex ante LI &amp; Eligibility Stats'!$A$8:$M$8,0))/1000)</f>
        <v>0</v>
      </c>
      <c r="J21" s="532">
        <f>H21*(INDEX('Ex post LI &amp; Eligibility Stats'!$A:$N,MATCH($A21,'Ex post LI &amp; Eligibility Stats'!$A:$A,0),MATCH('Program MW '!I$6,'Ex post LI &amp; Eligibility Stats'!$A$8:$N$8,0))/1000)</f>
        <v>0</v>
      </c>
      <c r="K21" s="186">
        <v>0</v>
      </c>
      <c r="L21" s="531">
        <f>K21*(INDEX('Ex ante LI &amp; Eligibility Stats'!$A:$M,MATCH('Program MW '!$A21,'Ex ante LI &amp; Eligibility Stats'!$A:$A,0),MATCH('Program MW '!L$6,'Ex ante LI &amp; Eligibility Stats'!$A$8:$M$8,0))/1000)</f>
        <v>0</v>
      </c>
      <c r="M21" s="532">
        <f>K21*(INDEX('Ex post LI &amp; Eligibility Stats'!$A:$N,MATCH($A21,'Ex post LI &amp; Eligibility Stats'!$A:$A,0),MATCH('Program MW '!L$6,'Ex post LI &amp; Eligibility Stats'!$A$8:$N$8,0))/1000)</f>
        <v>0</v>
      </c>
      <c r="N21" s="186">
        <v>0</v>
      </c>
      <c r="O21" s="531">
        <f>N21*(INDEX('Ex ante LI &amp; Eligibility Stats'!$A:$M,MATCH('Program MW '!$A21,'Ex ante LI &amp; Eligibility Stats'!$A:$A,0),MATCH('Program MW '!O$6,'Ex ante LI &amp; Eligibility Stats'!$A$8:$M$8,0))/1000)</f>
        <v>0</v>
      </c>
      <c r="P21" s="531">
        <f>N21*(INDEX('Ex post LI &amp; Eligibility Stats'!$A:$N,MATCH($A21,'Ex post LI &amp; Eligibility Stats'!$A:$A,0),MATCH('Program MW '!O$6,'Ex post LI &amp; Eligibility Stats'!$A$8:$N$8,0))/1000)</f>
        <v>0</v>
      </c>
      <c r="Q21" s="186">
        <v>0</v>
      </c>
      <c r="R21" s="537">
        <f>Q21*(INDEX('Ex ante LI &amp; Eligibility Stats'!$A:$M,MATCH('Program MW '!$A21,'Ex ante LI &amp; Eligibility Stats'!$A:$A,0),MATCH('Program MW '!R$6,'Ex ante LI &amp; Eligibility Stats'!$A$8:$M$8,0))/1000)</f>
        <v>0</v>
      </c>
      <c r="S21" s="532">
        <f>Q21*(INDEX('Ex post LI &amp; Eligibility Stats'!$A:$N,MATCH($A21,'Ex post LI &amp; Eligibility Stats'!$A:$A,0),MATCH('Program MW '!R$6,'Ex post LI &amp; Eligibility Stats'!$A$8:$N$8,0))/1000)</f>
        <v>0</v>
      </c>
      <c r="T21" s="4">
        <v>18875</v>
      </c>
      <c r="U21" s="6"/>
      <c r="V21" s="6"/>
      <c r="W21" s="6"/>
      <c r="X21" s="6"/>
      <c r="Y21" s="6"/>
      <c r="Z21" s="6"/>
      <c r="AA21" s="6"/>
      <c r="AB21" s="6"/>
      <c r="AC21" s="6"/>
      <c r="AD21" s="6"/>
      <c r="AE21" s="6"/>
    </row>
    <row r="22" spans="1:31" x14ac:dyDescent="0.2">
      <c r="A22" s="183" t="s">
        <v>33</v>
      </c>
      <c r="B22" s="186">
        <v>113095</v>
      </c>
      <c r="C22" s="531">
        <f>B22*(INDEX('Ex ante LI &amp; Eligibility Stats'!$A:$M,MATCH($A22,'Ex ante LI &amp; Eligibility Stats'!$A:$A,0),MATCH('Program MW '!C$6,'Ex ante LI &amp; Eligibility Stats'!$A$8:$M$8,0))/1000)</f>
        <v>0.29095085273255605</v>
      </c>
      <c r="D22" s="532">
        <f>B22*(INDEX('Ex post LI &amp; Eligibility Stats'!$A:$N,MATCH($A22,'Ex post LI &amp; Eligibility Stats'!$A:$A,0),MATCH('Program MW '!C$6,'Ex post LI &amp; Eligibility Stats'!$A$8:$N$8,0))/1000)</f>
        <v>4.4173744553141292</v>
      </c>
      <c r="E22" s="186">
        <v>0</v>
      </c>
      <c r="F22" s="531">
        <f>E22*(INDEX('Ex ante LI &amp; Eligibility Stats'!$A:$M,MATCH($A22,'Ex ante LI &amp; Eligibility Stats'!$A:$A,0),MATCH('Program MW '!F$6,'Ex ante LI &amp; Eligibility Stats'!$A$8:$M$8,0))/1000)</f>
        <v>0</v>
      </c>
      <c r="G22" s="532">
        <f>E22*(INDEX('Ex post LI &amp; Eligibility Stats'!$A:$N,MATCH($A22,'Ex post LI &amp; Eligibility Stats'!$A:$A,0),MATCH('Program MW '!F$6,'Ex post LI &amp; Eligibility Stats'!$A$8:$N$8,0))/1000)</f>
        <v>0</v>
      </c>
      <c r="H22" s="186">
        <v>0</v>
      </c>
      <c r="I22" s="531">
        <f>H22*(INDEX('Ex ante LI &amp; Eligibility Stats'!$A:$M,MATCH('Program MW '!$A22,'Ex ante LI &amp; Eligibility Stats'!$A:$A,0),MATCH('Program MW '!I$6,'Ex ante LI &amp; Eligibility Stats'!$A$8:$M$8,0))/1000)</f>
        <v>0</v>
      </c>
      <c r="J22" s="532">
        <f>H22*(INDEX('Ex post LI &amp; Eligibility Stats'!$A:$N,MATCH($A22,'Ex post LI &amp; Eligibility Stats'!$A:$A,0),MATCH('Program MW '!I$6,'Ex post LI &amp; Eligibility Stats'!$A$8:$N$8,0))/1000)</f>
        <v>0</v>
      </c>
      <c r="K22" s="186">
        <v>0</v>
      </c>
      <c r="L22" s="531">
        <f>K22*(INDEX('Ex ante LI &amp; Eligibility Stats'!$A:$M,MATCH('Program MW '!$A22,'Ex ante LI &amp; Eligibility Stats'!$A:$A,0),MATCH('Program MW '!L$6,'Ex ante LI &amp; Eligibility Stats'!$A$8:$M$8,0))/1000)</f>
        <v>0</v>
      </c>
      <c r="M22" s="532">
        <f>K22*(INDEX('Ex post LI &amp; Eligibility Stats'!$A:$N,MATCH($A22,'Ex post LI &amp; Eligibility Stats'!$A:$A,0),MATCH('Program MW '!L$6,'Ex post LI &amp; Eligibility Stats'!$A$8:$N$8,0))/1000)</f>
        <v>0</v>
      </c>
      <c r="N22" s="186">
        <v>0</v>
      </c>
      <c r="O22" s="531">
        <f>N22*(INDEX('Ex ante LI &amp; Eligibility Stats'!$A:$M,MATCH('Program MW '!$A22,'Ex ante LI &amp; Eligibility Stats'!$A:$A,0),MATCH('Program MW '!O$6,'Ex ante LI &amp; Eligibility Stats'!$A$8:$M$8,0))/1000)</f>
        <v>0</v>
      </c>
      <c r="P22" s="532">
        <f>N22*(INDEX('Ex post LI &amp; Eligibility Stats'!$A:$N,MATCH($A22,'Ex post LI &amp; Eligibility Stats'!$A:$A,0),MATCH('Program MW '!O$6,'Ex post LI &amp; Eligibility Stats'!$A$8:$N$8,0))/1000)</f>
        <v>0</v>
      </c>
      <c r="Q22" s="186">
        <v>0</v>
      </c>
      <c r="R22" s="537">
        <f>Q22*(INDEX('Ex ante LI &amp; Eligibility Stats'!$A:$M,MATCH('Program MW '!$A22,'Ex ante LI &amp; Eligibility Stats'!$A:$A,0),MATCH('Program MW '!R$6,'Ex ante LI &amp; Eligibility Stats'!$A$8:$M$8,0))/1000)</f>
        <v>0</v>
      </c>
      <c r="S22" s="532">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x14ac:dyDescent="0.2">
      <c r="A23" s="270" t="s">
        <v>34</v>
      </c>
      <c r="B23" s="352">
        <v>9351</v>
      </c>
      <c r="C23" s="533">
        <f>B23*(INDEX('Ex ante LI &amp; Eligibility Stats'!$A:$M,MATCH($A23,'Ex ante LI &amp; Eligibility Stats'!$A:$A,0),MATCH('Program MW '!C$6,'Ex ante LI &amp; Eligibility Stats'!$A$8:$M$8,0))/1000)</f>
        <v>0.48369170230409364</v>
      </c>
      <c r="D23" s="534">
        <f>B23*(INDEX('Ex post LI &amp; Eligibility Stats'!$A:$N,MATCH($A23,'Ex post LI &amp; Eligibility Stats'!$A:$A,0),MATCH('Program MW '!C$6,'Ex post LI &amp; Eligibility Stats'!$A$8:$N$8,0))/1000)</f>
        <v>1.713045807659626</v>
      </c>
      <c r="E23" s="352">
        <v>0</v>
      </c>
      <c r="F23" s="531">
        <f>E23*(INDEX('Ex ante LI &amp; Eligibility Stats'!$A:$M,MATCH($A23,'Ex ante LI &amp; Eligibility Stats'!$A:$A,0),MATCH('Program MW '!F$6,'Ex ante LI &amp; Eligibility Stats'!$A$8:$M$8,0))/1000)</f>
        <v>0</v>
      </c>
      <c r="G23" s="532">
        <f>E23*(INDEX('Ex post LI &amp; Eligibility Stats'!$A:$N,MATCH($A23,'Ex post LI &amp; Eligibility Stats'!$A:$A,0),MATCH('Program MW '!F$6,'Ex post LI &amp; Eligibility Stats'!$A$8:$N$8,0))/1000)</f>
        <v>0</v>
      </c>
      <c r="H23" s="352">
        <v>0</v>
      </c>
      <c r="I23" s="531">
        <f>H23*(INDEX('Ex ante LI &amp; Eligibility Stats'!$A:$M,MATCH('Program MW '!$A23,'Ex ante LI &amp; Eligibility Stats'!$A:$A,0),MATCH('Program MW '!I$6,'Ex ante LI &amp; Eligibility Stats'!$A$8:$M$8,0))/1000)</f>
        <v>0</v>
      </c>
      <c r="J23" s="532">
        <f>H23*(INDEX('Ex post LI &amp; Eligibility Stats'!$A:$N,MATCH($A23,'Ex post LI &amp; Eligibility Stats'!$A:$A,0),MATCH('Program MW '!I$6,'Ex post LI &amp; Eligibility Stats'!$A$8:$N$8,0))/1000)</f>
        <v>0</v>
      </c>
      <c r="K23" s="352">
        <v>0</v>
      </c>
      <c r="L23" s="531">
        <f>K23*(INDEX('Ex ante LI &amp; Eligibility Stats'!$A:$M,MATCH('Program MW '!$A23,'Ex ante LI &amp; Eligibility Stats'!$A:$A,0),MATCH('Program MW '!L$6,'Ex ante LI &amp; Eligibility Stats'!$A$8:$M$8,0))/1000)</f>
        <v>0</v>
      </c>
      <c r="M23" s="532">
        <f>K23*(INDEX('Ex post LI &amp; Eligibility Stats'!$A:$N,MATCH($A23,'Ex post LI &amp; Eligibility Stats'!$A:$A,0),MATCH('Program MW '!L$6,'Ex post LI &amp; Eligibility Stats'!$A$8:$N$8,0))/1000)</f>
        <v>0</v>
      </c>
      <c r="N23" s="352">
        <v>0</v>
      </c>
      <c r="O23" s="531">
        <f>N23*(INDEX('Ex ante LI &amp; Eligibility Stats'!$A:$M,MATCH('Program MW '!$A23,'Ex ante LI &amp; Eligibility Stats'!$A:$A,0),MATCH('Program MW '!O$6,'Ex ante LI &amp; Eligibility Stats'!$A$8:$M$8,0))/1000)</f>
        <v>0</v>
      </c>
      <c r="P23" s="532">
        <f>N23*(INDEX('Ex post LI &amp; Eligibility Stats'!$A:$N,MATCH($A23,'Ex post LI &amp; Eligibility Stats'!$A:$A,0),MATCH('Program MW '!O$6,'Ex post LI &amp; Eligibility Stats'!$A$8:$N$8,0))/1000)</f>
        <v>0</v>
      </c>
      <c r="Q23" s="352">
        <v>0</v>
      </c>
      <c r="R23" s="537">
        <f>Q23*(INDEX('Ex ante LI &amp; Eligibility Stats'!$A:$M,MATCH('Program MW '!$A23,'Ex ante LI &amp; Eligibility Stats'!$A:$A,0),MATCH('Program MW '!R$6,'Ex ante LI &amp; Eligibility Stats'!$A$8:$M$8,0))/1000)</f>
        <v>0</v>
      </c>
      <c r="S23" s="532">
        <f>Q23*(INDEX('Ex post LI &amp; Eligibility Stats'!$A:$N,MATCH($A23,'Ex post LI &amp; Eligibility Stats'!$A:$A,0),MATCH('Program MW '!R$6,'Ex post LI &amp; Eligibility Stats'!$A$8:$N$8,0))/1000)</f>
        <v>0</v>
      </c>
      <c r="T23" s="4"/>
      <c r="U23" s="6"/>
      <c r="V23" s="6"/>
      <c r="W23" s="6"/>
      <c r="X23" s="6"/>
      <c r="Y23" s="6"/>
      <c r="Z23" s="6"/>
      <c r="AA23" s="6"/>
      <c r="AB23" s="6"/>
      <c r="AC23" s="6"/>
      <c r="AD23" s="6"/>
      <c r="AE23" s="6"/>
    </row>
    <row r="24" spans="1:31" ht="21.75" customHeight="1" thickBot="1" x14ac:dyDescent="0.25">
      <c r="A24" s="215" t="s">
        <v>35</v>
      </c>
      <c r="B24" s="184">
        <f t="shared" ref="B24:S24" si="1">SUM(B12:B23)</f>
        <v>166433</v>
      </c>
      <c r="C24" s="203">
        <f t="shared" si="1"/>
        <v>8.4646928263689141</v>
      </c>
      <c r="D24" s="202">
        <f t="shared" si="1"/>
        <v>36.0584805154595</v>
      </c>
      <c r="E24" s="1">
        <f t="shared" si="1"/>
        <v>0</v>
      </c>
      <c r="F24" s="277">
        <f t="shared" si="1"/>
        <v>0</v>
      </c>
      <c r="G24" s="278">
        <f t="shared" si="1"/>
        <v>0</v>
      </c>
      <c r="H24" s="1">
        <f t="shared" si="1"/>
        <v>0</v>
      </c>
      <c r="I24" s="277">
        <f t="shared" si="1"/>
        <v>0</v>
      </c>
      <c r="J24" s="278">
        <f t="shared" si="1"/>
        <v>0</v>
      </c>
      <c r="K24" s="1">
        <f t="shared" si="1"/>
        <v>0</v>
      </c>
      <c r="L24" s="277">
        <f t="shared" si="1"/>
        <v>0</v>
      </c>
      <c r="M24" s="278">
        <f t="shared" si="1"/>
        <v>0</v>
      </c>
      <c r="N24" s="1">
        <f t="shared" si="1"/>
        <v>0</v>
      </c>
      <c r="O24" s="279">
        <f t="shared" si="1"/>
        <v>0</v>
      </c>
      <c r="P24" s="282">
        <f t="shared" si="1"/>
        <v>0</v>
      </c>
      <c r="Q24" s="1">
        <f t="shared" si="1"/>
        <v>0</v>
      </c>
      <c r="R24" s="295">
        <f t="shared" si="1"/>
        <v>0</v>
      </c>
      <c r="S24" s="298">
        <f t="shared" si="1"/>
        <v>0</v>
      </c>
      <c r="T24" s="5"/>
      <c r="U24" s="6"/>
      <c r="V24" s="6"/>
      <c r="W24" s="6"/>
      <c r="X24" s="6"/>
      <c r="Y24" s="6"/>
      <c r="Z24" s="6"/>
      <c r="AA24" s="6"/>
      <c r="AB24" s="6"/>
      <c r="AC24" s="6"/>
      <c r="AD24" s="6"/>
      <c r="AE24" s="6"/>
    </row>
    <row r="25" spans="1:31" ht="14.25" thickTop="1" thickBot="1" x14ac:dyDescent="0.25">
      <c r="A25" s="222" t="s">
        <v>36</v>
      </c>
      <c r="B25" s="2">
        <f t="shared" ref="B25:S25" si="2">+B10+B24</f>
        <v>166438</v>
      </c>
      <c r="C25" s="203">
        <f t="shared" si="2"/>
        <v>8.551219255068407</v>
      </c>
      <c r="D25" s="349">
        <f t="shared" si="2"/>
        <v>38.177454972246608</v>
      </c>
      <c r="E25" s="2">
        <f t="shared" si="2"/>
        <v>0</v>
      </c>
      <c r="F25" s="203">
        <f t="shared" si="2"/>
        <v>0</v>
      </c>
      <c r="G25" s="203">
        <f t="shared" si="2"/>
        <v>0</v>
      </c>
      <c r="H25" s="2">
        <f t="shared" si="2"/>
        <v>0</v>
      </c>
      <c r="I25" s="203">
        <f t="shared" si="2"/>
        <v>0</v>
      </c>
      <c r="J25" s="202">
        <f t="shared" si="2"/>
        <v>0</v>
      </c>
      <c r="K25" s="2">
        <f t="shared" si="2"/>
        <v>0</v>
      </c>
      <c r="L25" s="203">
        <f t="shared" si="2"/>
        <v>0</v>
      </c>
      <c r="M25" s="202">
        <f t="shared" si="2"/>
        <v>0</v>
      </c>
      <c r="N25" s="2">
        <f t="shared" si="2"/>
        <v>0</v>
      </c>
      <c r="O25" s="280">
        <f t="shared" si="2"/>
        <v>0</v>
      </c>
      <c r="P25" s="281">
        <f t="shared" si="2"/>
        <v>0</v>
      </c>
      <c r="Q25" s="2">
        <f t="shared" si="2"/>
        <v>0</v>
      </c>
      <c r="R25" s="300">
        <f t="shared" si="2"/>
        <v>0</v>
      </c>
      <c r="S25" s="299">
        <f t="shared" si="2"/>
        <v>0</v>
      </c>
      <c r="T25" s="8"/>
      <c r="U25" s="6"/>
      <c r="V25" s="6"/>
      <c r="W25" s="6"/>
      <c r="X25" s="6"/>
      <c r="Y25" s="6"/>
      <c r="Z25" s="6"/>
      <c r="AA25" s="6"/>
      <c r="AB25" s="6"/>
      <c r="AC25" s="6"/>
      <c r="AD25" s="6"/>
      <c r="AE25" s="6"/>
    </row>
    <row r="26" spans="1:31" ht="13.5" thickTop="1" x14ac:dyDescent="0.2">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x14ac:dyDescent="0.2">
      <c r="B27" s="57"/>
      <c r="C27" s="57"/>
      <c r="D27" s="57"/>
      <c r="E27" s="57"/>
      <c r="F27" s="57"/>
      <c r="G27" s="57"/>
      <c r="H27" s="57"/>
      <c r="I27" s="57"/>
      <c r="J27" s="57"/>
      <c r="K27" s="57"/>
      <c r="L27" s="57"/>
      <c r="M27" s="57"/>
      <c r="N27" s="57"/>
      <c r="O27" s="57"/>
      <c r="P27" s="57"/>
      <c r="Q27" s="57"/>
      <c r="R27" s="57"/>
      <c r="S27" s="57"/>
    </row>
    <row r="28" spans="1:31" hidden="1" x14ac:dyDescent="0.2">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x14ac:dyDescent="0.2">
      <c r="A29" s="104"/>
      <c r="B29" s="672"/>
      <c r="C29" s="672" t="s">
        <v>37</v>
      </c>
      <c r="D29" s="316"/>
      <c r="E29" s="672"/>
      <c r="F29" s="672" t="s">
        <v>38</v>
      </c>
      <c r="G29" s="672"/>
      <c r="H29" s="672"/>
      <c r="I29" s="672" t="s">
        <v>39</v>
      </c>
      <c r="J29" s="672"/>
      <c r="K29" s="672"/>
      <c r="L29" s="672" t="s">
        <v>40</v>
      </c>
      <c r="M29" s="672"/>
      <c r="N29" s="672"/>
      <c r="O29" s="672" t="s">
        <v>41</v>
      </c>
      <c r="P29" s="672"/>
      <c r="Q29" s="672"/>
      <c r="R29" s="672" t="s">
        <v>42</v>
      </c>
      <c r="S29" s="672"/>
      <c r="T29" s="172"/>
      <c r="U29" s="172"/>
    </row>
    <row r="30" spans="1:31" ht="38.25" x14ac:dyDescent="0.2">
      <c r="A30" s="189" t="s">
        <v>9</v>
      </c>
      <c r="B30" s="212" t="s">
        <v>10</v>
      </c>
      <c r="C30" s="223" t="s">
        <v>43</v>
      </c>
      <c r="D30" s="224" t="s">
        <v>14</v>
      </c>
      <c r="E30" s="212" t="s">
        <v>10</v>
      </c>
      <c r="F30" s="223" t="s">
        <v>43</v>
      </c>
      <c r="G30" s="224" t="s">
        <v>14</v>
      </c>
      <c r="H30" s="212" t="s">
        <v>10</v>
      </c>
      <c r="I30" s="223" t="s">
        <v>13</v>
      </c>
      <c r="J30" s="224" t="s">
        <v>14</v>
      </c>
      <c r="K30" s="212" t="s">
        <v>10</v>
      </c>
      <c r="L30" s="223" t="s">
        <v>13</v>
      </c>
      <c r="M30" s="224" t="s">
        <v>14</v>
      </c>
      <c r="N30" s="212" t="s">
        <v>10</v>
      </c>
      <c r="O30" s="223" t="s">
        <v>13</v>
      </c>
      <c r="P30" s="224" t="s">
        <v>14</v>
      </c>
      <c r="Q30" s="212" t="s">
        <v>10</v>
      </c>
      <c r="R30" s="223" t="s">
        <v>13</v>
      </c>
      <c r="S30" s="224" t="s">
        <v>14</v>
      </c>
      <c r="T30" s="196" t="s">
        <v>18</v>
      </c>
      <c r="V30" s="11"/>
    </row>
    <row r="31" spans="1:31" x14ac:dyDescent="0.2">
      <c r="A31" s="189" t="s">
        <v>19</v>
      </c>
      <c r="B31" s="212"/>
      <c r="C31" s="210"/>
      <c r="D31" s="213"/>
      <c r="E31" s="212"/>
      <c r="F31" s="210"/>
      <c r="G31" s="213"/>
      <c r="H31" s="212"/>
      <c r="I31" s="210"/>
      <c r="J31" s="210"/>
      <c r="K31" s="212"/>
      <c r="L31" s="210"/>
      <c r="M31" s="213"/>
      <c r="N31" s="212"/>
      <c r="O31" s="210"/>
      <c r="P31" s="213"/>
      <c r="Q31" s="212"/>
      <c r="R31" s="210"/>
      <c r="S31" s="213"/>
      <c r="T31" s="214"/>
    </row>
    <row r="32" spans="1:31" x14ac:dyDescent="0.2">
      <c r="A32" s="101" t="s">
        <v>20</v>
      </c>
      <c r="B32" s="144">
        <v>0</v>
      </c>
      <c r="C32" s="535">
        <f>B32*(INDEX('Ex ante LI &amp; Eligibility Stats'!$A:$M,MATCH($A32,'Ex ante LI &amp; Eligibility Stats'!$A:$A,0),MATCH('Program MW '!C$29,'Ex ante LI &amp; Eligibility Stats'!$A$8:$M$8,0))/1000)</f>
        <v>0</v>
      </c>
      <c r="D32" s="536">
        <f>B32*(INDEX('Ex post LI &amp; Eligibility Stats'!$A:$N,MATCH($A32,'Ex post LI &amp; Eligibility Stats'!$A:$A,0),MATCH('Program MW '!C$29,'Ex post LI &amp; Eligibility Stats'!$A$8:$N$8,0))/1000)</f>
        <v>0</v>
      </c>
      <c r="E32" s="141">
        <v>0</v>
      </c>
      <c r="F32" s="531">
        <f>E32*(INDEX('Ex ante LI &amp; Eligibility Stats'!$A:$M,MATCH($A32,'Ex ante LI &amp; Eligibility Stats'!$A:$A,0),MATCH('Program MW '!F$29,'Ex ante LI &amp; Eligibility Stats'!$A$8:$M$8,0))/1000)</f>
        <v>0</v>
      </c>
      <c r="G32" s="531">
        <f>E32*(INDEX('Ex post LI &amp; Eligibility Stats'!$A:$N,MATCH($A32,'Ex post LI &amp; Eligibility Stats'!$A:$A,0),MATCH('Program MW '!F$29,'Ex post LI &amp; Eligibility Stats'!$A$8:$N$8,0))/1000)</f>
        <v>0</v>
      </c>
      <c r="H32" s="141">
        <v>0</v>
      </c>
      <c r="I32" s="536">
        <f>H32*(INDEX('Ex ante LI &amp; Eligibility Stats'!$A:$M,MATCH($A32,'Ex ante LI &amp; Eligibility Stats'!$A:$A,0),MATCH('Program MW '!I$29,'Ex ante LI &amp; Eligibility Stats'!$A$8:$M$8,0))/1000)</f>
        <v>0</v>
      </c>
      <c r="J32" s="536">
        <f>H32*(INDEX('Ex post LI &amp; Eligibility Stats'!$A:$N,MATCH($A32,'Ex post LI &amp; Eligibility Stats'!$A:$A,0),MATCH('Program MW '!I$29,'Ex post LI &amp; Eligibility Stats'!$A$8:$N$8,0))/1000)</f>
        <v>0</v>
      </c>
      <c r="K32" s="143">
        <v>0</v>
      </c>
      <c r="L32" s="531">
        <f>K32*(INDEX('Ex ante LI &amp; Eligibility Stats'!$A:$M,MATCH($A32,'Ex ante LI &amp; Eligibility Stats'!$A:$A,0),MATCH('Program MW '!L$29,'Ex ante LI &amp; Eligibility Stats'!$A$8:$M$8,0))/1000)</f>
        <v>0</v>
      </c>
      <c r="M32" s="531">
        <f>K32*(INDEX('Ex post LI &amp; Eligibility Stats'!$A:$N,MATCH($A32,'Ex post LI &amp; Eligibility Stats'!$A:$A,0),MATCH('Program MW '!L$29,'Ex post LI &amp; Eligibility Stats'!$A$8:$N$8,0))/1000)</f>
        <v>0</v>
      </c>
      <c r="N32" s="141">
        <v>0</v>
      </c>
      <c r="O32" s="531">
        <f>N32*(INDEX('Ex ante LI &amp; Eligibility Stats'!$A:$M,MATCH($A32,'Ex ante LI &amp; Eligibility Stats'!$A:$A,0),MATCH('Program MW '!O$29,'Ex ante LI &amp; Eligibility Stats'!$A$8:$M$8,0))/1000)</f>
        <v>0</v>
      </c>
      <c r="P32" s="531">
        <f>N32*(INDEX('Ex post LI &amp; Eligibility Stats'!$A:$N,MATCH($A32,'Ex post LI &amp; Eligibility Stats'!$A:$A,0),MATCH('Program MW '!O$29,'Ex post LI &amp; Eligibility Stats'!$A$8:$N$8,0))/1000)</f>
        <v>0</v>
      </c>
      <c r="Q32" s="141">
        <v>0</v>
      </c>
      <c r="R32" s="531">
        <f>Q32*(INDEX('Ex ante LI &amp; Eligibility Stats'!$A:$M,MATCH($A32,'Ex ante LI &amp; Eligibility Stats'!$A:$A,0),MATCH('Program MW '!R$29,'Ex ante LI &amp; Eligibility Stats'!$A$8:$M$8,0))/1000)</f>
        <v>0</v>
      </c>
      <c r="S32" s="532">
        <f>Q32*(INDEX('Ex post LI &amp; Eligibility Stats'!$A:$N,MATCH($A32,'Ex post LI &amp; Eligibility Stats'!$A:$A,0),MATCH('Program MW '!R$29,'Ex post LI &amp; Eligibility Stats'!$A$8:$N$8,0))/1000)</f>
        <v>0</v>
      </c>
      <c r="T32" s="4">
        <v>5276</v>
      </c>
    </row>
    <row r="33" spans="1:31" ht="13.5" thickBot="1" x14ac:dyDescent="0.25">
      <c r="A33" s="215" t="s">
        <v>21</v>
      </c>
      <c r="B33" s="182">
        <f t="shared" ref="B33:K33" si="3">SUM(B32:B32)</f>
        <v>0</v>
      </c>
      <c r="C33" s="325">
        <f t="shared" si="3"/>
        <v>0</v>
      </c>
      <c r="D33" s="326">
        <f t="shared" si="3"/>
        <v>0</v>
      </c>
      <c r="E33" s="142">
        <f t="shared" si="3"/>
        <v>0</v>
      </c>
      <c r="F33" s="334">
        <f t="shared" si="3"/>
        <v>0</v>
      </c>
      <c r="G33" s="335">
        <f t="shared" si="3"/>
        <v>0</v>
      </c>
      <c r="H33" s="142">
        <f t="shared" si="3"/>
        <v>0</v>
      </c>
      <c r="I33" s="325">
        <f t="shared" si="3"/>
        <v>0</v>
      </c>
      <c r="J33" s="326">
        <f t="shared" si="3"/>
        <v>0</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x14ac:dyDescent="0.2">
      <c r="A34" s="189" t="s">
        <v>22</v>
      </c>
      <c r="B34" s="220"/>
      <c r="C34" s="219"/>
      <c r="D34" s="218"/>
      <c r="E34" s="220"/>
      <c r="F34" s="219"/>
      <c r="G34" s="218"/>
      <c r="H34" s="220"/>
      <c r="I34" s="219"/>
      <c r="J34" s="218"/>
      <c r="K34" s="220"/>
      <c r="L34" s="219"/>
      <c r="M34" s="218"/>
      <c r="N34" s="220"/>
      <c r="O34" s="219"/>
      <c r="P34" s="218"/>
      <c r="Q34" s="220"/>
      <c r="R34" s="219"/>
      <c r="S34" s="221"/>
      <c r="T34" s="214"/>
    </row>
    <row r="35" spans="1:31" x14ac:dyDescent="0.2">
      <c r="A35" s="58" t="s">
        <v>23</v>
      </c>
      <c r="B35" s="141">
        <v>0</v>
      </c>
      <c r="C35" s="531">
        <f>B35*(INDEX('Ex ante LI &amp; Eligibility Stats'!$A:$M,MATCH($A35,'Ex ante LI &amp; Eligibility Stats'!$A:$A,0),MATCH('Program MW '!C$29,'Ex ante LI &amp; Eligibility Stats'!$A$8:$M$8,0))/1000)</f>
        <v>0</v>
      </c>
      <c r="D35" s="531">
        <f>B35*(INDEX('Ex post LI &amp; Eligibility Stats'!$A:$N,MATCH($A35,'Ex post LI &amp; Eligibility Stats'!$A:$A,0),MATCH('Program MW '!C$29,'Ex post LI &amp; Eligibility Stats'!$A$8:$N$8,0))/1000)</f>
        <v>0</v>
      </c>
      <c r="E35" s="141">
        <v>0</v>
      </c>
      <c r="F35" s="537">
        <f>E35*(INDEX('Ex ante LI &amp; Eligibility Stats'!$A:$M,MATCH($A35,'Ex ante LI &amp; Eligibility Stats'!$A:$A,0),MATCH('Program MW '!F$29,'Ex ante LI &amp; Eligibility Stats'!$A$8:$M$8,0))/1000)</f>
        <v>0</v>
      </c>
      <c r="G35" s="537">
        <f>E35*(INDEX('Ex post LI &amp; Eligibility Stats'!$A:$N,MATCH($A35,'Ex post LI &amp; Eligibility Stats'!$A:$A,0),MATCH('Program MW '!F$29,'Ex post LI &amp; Eligibility Stats'!$A$8:$N$8,0))/1000)</f>
        <v>0</v>
      </c>
      <c r="H35" s="141">
        <v>0</v>
      </c>
      <c r="I35" s="537">
        <f>H35*(INDEX('Ex ante LI &amp; Eligibility Stats'!$A:$M,MATCH($A35,'Ex ante LI &amp; Eligibility Stats'!$A:$A,0),MATCH('Program MW '!I$29,'Ex ante LI &amp; Eligibility Stats'!$A$8:$M$8,0))/1000)</f>
        <v>0</v>
      </c>
      <c r="J35" s="531">
        <f>H35*(INDEX('Ex post LI &amp; Eligibility Stats'!$A:$N,MATCH($A35,'Ex post LI &amp; Eligibility Stats'!$A:$A,0),MATCH('Program MW '!I$29,'Ex post LI &amp; Eligibility Stats'!$A$8:$N$8,0))/1000)</f>
        <v>0</v>
      </c>
      <c r="K35" s="141">
        <v>0</v>
      </c>
      <c r="L35" s="537">
        <f>K35*(INDEX('Ex ante LI &amp; Eligibility Stats'!$A:$M,MATCH($A35,'Ex ante LI &amp; Eligibility Stats'!$A:$A,0),MATCH('Program MW '!L$29,'Ex ante LI &amp; Eligibility Stats'!$A$8:$M$8,0))/1000)</f>
        <v>0</v>
      </c>
      <c r="M35" s="531">
        <f>K35*(INDEX('Ex post LI &amp; Eligibility Stats'!$A:$N,MATCH($A35,'Ex post LI &amp; Eligibility Stats'!$A:$A,0),MATCH('Program MW '!L$29,'Ex post LI &amp; Eligibility Stats'!$A$8:$N$8,0))/1000)</f>
        <v>0</v>
      </c>
      <c r="N35" s="141">
        <v>0</v>
      </c>
      <c r="O35" s="531">
        <f>N35*(INDEX('Ex ante LI &amp; Eligibility Stats'!$A:$M,MATCH($A35,'Ex ante LI &amp; Eligibility Stats'!$A:$A,0),MATCH('Program MW '!O$29,'Ex ante LI &amp; Eligibility Stats'!$A$8:$M$8,0))/1000)</f>
        <v>0</v>
      </c>
      <c r="P35" s="530">
        <f>N35*(INDEX('Ex post LI &amp; Eligibility Stats'!$A:$N,MATCH($A35,'Ex post LI &amp; Eligibility Stats'!$A:$A,0),MATCH('Program MW '!O$29,'Ex post LI &amp; Eligibility Stats'!$A$8:$N$8,0))/1000)</f>
        <v>0</v>
      </c>
      <c r="Q35" s="141">
        <v>0</v>
      </c>
      <c r="R35" s="531">
        <f>Q35*(INDEX('Ex ante LI &amp; Eligibility Stats'!$A:$M,MATCH($A35,'Ex ante LI &amp; Eligibility Stats'!$A:$A,0),MATCH('Program MW '!R$29,'Ex ante LI &amp; Eligibility Stats'!$A$8:$M$8,0))/1000)</f>
        <v>0</v>
      </c>
      <c r="S35" s="532">
        <f>Q35*(INDEX('Ex post LI &amp; Eligibility Stats'!$A:$N,MATCH($A35,'Ex post LI &amp; Eligibility Stats'!$A:$A,0),MATCH('Program MW '!R$29,'Ex post LI &amp; Eligibility Stats'!$A$8:$N$8,0))/1000)</f>
        <v>0</v>
      </c>
      <c r="T35" s="7">
        <v>138123</v>
      </c>
    </row>
    <row r="36" spans="1:31" x14ac:dyDescent="0.2">
      <c r="A36" s="58" t="s">
        <v>24</v>
      </c>
      <c r="B36" s="141">
        <v>0</v>
      </c>
      <c r="C36" s="531">
        <v>0</v>
      </c>
      <c r="D36" s="532">
        <v>0</v>
      </c>
      <c r="E36" s="141">
        <v>0</v>
      </c>
      <c r="F36" s="537">
        <v>0</v>
      </c>
      <c r="G36" s="538">
        <v>0</v>
      </c>
      <c r="H36" s="141">
        <v>0</v>
      </c>
      <c r="I36" s="531">
        <v>0</v>
      </c>
      <c r="J36" s="532">
        <v>0</v>
      </c>
      <c r="K36" s="141">
        <v>0</v>
      </c>
      <c r="L36" s="531">
        <v>0</v>
      </c>
      <c r="M36" s="532">
        <v>0</v>
      </c>
      <c r="N36" s="141">
        <v>0</v>
      </c>
      <c r="O36" s="531">
        <v>0</v>
      </c>
      <c r="P36" s="532">
        <v>0</v>
      </c>
      <c r="Q36" s="141">
        <v>0</v>
      </c>
      <c r="R36" s="531">
        <v>0</v>
      </c>
      <c r="S36" s="532">
        <v>0</v>
      </c>
      <c r="T36" s="4"/>
    </row>
    <row r="37" spans="1:31" x14ac:dyDescent="0.2">
      <c r="A37" s="58" t="str">
        <f>A14</f>
        <v>Over Generation Pilot</v>
      </c>
      <c r="B37" s="141">
        <v>0</v>
      </c>
      <c r="C37" s="531">
        <v>0</v>
      </c>
      <c r="D37" s="532">
        <v>0</v>
      </c>
      <c r="E37" s="141">
        <v>0</v>
      </c>
      <c r="F37" s="537">
        <v>0</v>
      </c>
      <c r="G37" s="538">
        <v>0</v>
      </c>
      <c r="H37" s="141">
        <v>0</v>
      </c>
      <c r="I37" s="531">
        <v>0</v>
      </c>
      <c r="J37" s="532">
        <v>0</v>
      </c>
      <c r="K37" s="141">
        <v>0</v>
      </c>
      <c r="L37" s="531">
        <v>0</v>
      </c>
      <c r="M37" s="532">
        <v>0</v>
      </c>
      <c r="N37" s="141">
        <v>0</v>
      </c>
      <c r="O37" s="531">
        <v>0</v>
      </c>
      <c r="P37" s="532">
        <v>0</v>
      </c>
      <c r="Q37" s="141">
        <v>0</v>
      </c>
      <c r="R37" s="531">
        <v>0</v>
      </c>
      <c r="S37" s="532">
        <v>0</v>
      </c>
      <c r="T37" s="4"/>
    </row>
    <row r="38" spans="1:31" x14ac:dyDescent="0.2">
      <c r="A38" s="240" t="str">
        <f>A15</f>
        <v>Small Business Energy Management Pilot</v>
      </c>
      <c r="B38" s="141">
        <v>0</v>
      </c>
      <c r="C38" s="531">
        <v>0</v>
      </c>
      <c r="D38" s="532">
        <v>0</v>
      </c>
      <c r="E38" s="141">
        <v>0</v>
      </c>
      <c r="F38" s="531">
        <v>0</v>
      </c>
      <c r="G38" s="532">
        <v>0</v>
      </c>
      <c r="H38" s="141">
        <v>0</v>
      </c>
      <c r="I38" s="531">
        <v>0</v>
      </c>
      <c r="J38" s="532">
        <v>0</v>
      </c>
      <c r="K38" s="141">
        <v>0</v>
      </c>
      <c r="L38" s="531">
        <v>0</v>
      </c>
      <c r="M38" s="532">
        <v>0</v>
      </c>
      <c r="N38" s="141">
        <v>0</v>
      </c>
      <c r="O38" s="531">
        <v>0</v>
      </c>
      <c r="P38" s="531">
        <v>0</v>
      </c>
      <c r="Q38" s="141">
        <v>0</v>
      </c>
      <c r="R38" s="537">
        <v>0</v>
      </c>
      <c r="S38" s="532">
        <v>0</v>
      </c>
      <c r="T38" s="4"/>
      <c r="U38" s="6"/>
      <c r="V38" s="6"/>
      <c r="W38" s="6"/>
      <c r="X38" s="6"/>
      <c r="Y38" s="6"/>
      <c r="Z38" s="6"/>
      <c r="AA38" s="6"/>
      <c r="AB38" s="6"/>
      <c r="AC38" s="6"/>
      <c r="AD38" s="6"/>
      <c r="AE38" s="6"/>
    </row>
    <row r="39" spans="1:31" x14ac:dyDescent="0.2">
      <c r="A39" s="355" t="s">
        <v>27</v>
      </c>
      <c r="B39" s="141">
        <v>0</v>
      </c>
      <c r="C39" s="531">
        <f>B39*(INDEX('Ex ante LI &amp; Eligibility Stats'!$A:$M,MATCH($A39,'Ex ante LI &amp; Eligibility Stats'!$A:$A,0),MATCH('Program MW '!C$29,'Ex ante LI &amp; Eligibility Stats'!$A$8:$M$8,0))/1000)</f>
        <v>0</v>
      </c>
      <c r="D39" s="531">
        <f>B39*(INDEX('Ex post LI &amp; Eligibility Stats'!$A:$N,MATCH($A39,'Ex post LI &amp; Eligibility Stats'!$A:$A,0),MATCH('Program MW '!C$29,'Ex post LI &amp; Eligibility Stats'!$A$8:$N$8,0))/1000)</f>
        <v>0</v>
      </c>
      <c r="E39" s="141">
        <v>0</v>
      </c>
      <c r="F39" s="537">
        <f>E39*(INDEX('Ex ante LI &amp; Eligibility Stats'!$A:$M,MATCH($A39,'Ex ante LI &amp; Eligibility Stats'!$A:$A,0),MATCH('Program MW '!F$29,'Ex ante LI &amp; Eligibility Stats'!$A$8:$M$8,0))/1000)</f>
        <v>0</v>
      </c>
      <c r="G39" s="537">
        <f>E39*(INDEX('Ex post LI &amp; Eligibility Stats'!$A:$N,MATCH($A39,'Ex post LI &amp; Eligibility Stats'!$A:$A,0),MATCH('Program MW '!F$29,'Ex post LI &amp; Eligibility Stats'!$A$8:$N$8,0))/1000)</f>
        <v>0</v>
      </c>
      <c r="H39" s="141">
        <v>0</v>
      </c>
      <c r="I39" s="531">
        <f>H39*(INDEX('Ex ante LI &amp; Eligibility Stats'!$A:$M,MATCH($A39,'Ex ante LI &amp; Eligibility Stats'!$A:$A,0),MATCH('Program MW '!I$29,'Ex ante LI &amp; Eligibility Stats'!$A$8:$M$8,0))/1000)</f>
        <v>0</v>
      </c>
      <c r="J39" s="531">
        <f>H39*(INDEX('Ex post LI &amp; Eligibility Stats'!$A:$N,MATCH($A39,'Ex post LI &amp; Eligibility Stats'!$A:$A,0),MATCH('Program MW '!I$29,'Ex post LI &amp; Eligibility Stats'!$A$8:$N$8,0))/1000)</f>
        <v>0</v>
      </c>
      <c r="K39" s="141">
        <v>0</v>
      </c>
      <c r="L39" s="531">
        <f>K39*(INDEX('Ex ante LI &amp; Eligibility Stats'!$A:$M,MATCH($A39,'Ex ante LI &amp; Eligibility Stats'!$A:$A,0),MATCH('Program MW '!L$29,'Ex ante LI &amp; Eligibility Stats'!$A$8:$M$8,0))/1000)</f>
        <v>0</v>
      </c>
      <c r="M39" s="531">
        <f>K39*(INDEX('Ex post LI &amp; Eligibility Stats'!$A:$N,MATCH($A39,'Ex post LI &amp; Eligibility Stats'!$A:$A,0),MATCH('Program MW '!L$29,'Ex post LI &amp; Eligibility Stats'!$A$8:$N$8,0))/1000)</f>
        <v>0</v>
      </c>
      <c r="N39" s="141">
        <v>0</v>
      </c>
      <c r="O39" s="531">
        <f>N39*(INDEX('Ex ante LI &amp; Eligibility Stats'!$A:$M,MATCH($A39,'Ex ante LI &amp; Eligibility Stats'!$A:$A,0),MATCH('Program MW '!O$29,'Ex ante LI &amp; Eligibility Stats'!$A$8:$M$8,0))/1000)</f>
        <v>0</v>
      </c>
      <c r="P39" s="532">
        <f>N39*(INDEX('Ex post LI &amp; Eligibility Stats'!$A:$N,MATCH($A39,'Ex post LI &amp; Eligibility Stats'!$A:$A,0),MATCH('Program MW '!O$29,'Ex post LI &amp; Eligibility Stats'!$A$8:$N$8,0))/1000)</f>
        <v>0</v>
      </c>
      <c r="Q39" s="141">
        <v>0</v>
      </c>
      <c r="R39" s="531">
        <f>Q39*(INDEX('Ex ante LI &amp; Eligibility Stats'!$A:$M,MATCH($A39,'Ex ante LI &amp; Eligibility Stats'!$A:$A,0),MATCH('Program MW '!R$29,'Ex ante LI &amp; Eligibility Stats'!$A$8:$M$8,0))/1000)</f>
        <v>0</v>
      </c>
      <c r="S39" s="532">
        <f>Q39*(INDEX('Ex post LI &amp; Eligibility Stats'!$A:$N,MATCH($A39,'Ex post LI &amp; Eligibility Stats'!$A:$A,0),MATCH('Program MW '!R$29,'Ex post LI &amp; Eligibility Stats'!$A$8:$N$8,0))/1000)</f>
        <v>0</v>
      </c>
      <c r="T39" s="4">
        <v>663393.5</v>
      </c>
    </row>
    <row r="40" spans="1:31" x14ac:dyDescent="0.2">
      <c r="A40" s="355" t="s">
        <v>28</v>
      </c>
      <c r="B40" s="141">
        <v>0</v>
      </c>
      <c r="C40" s="531">
        <f>B40*(INDEX('Ex ante LI &amp; Eligibility Stats'!$A:$M,MATCH($A40,'Ex ante LI &amp; Eligibility Stats'!$A:$A,0),MATCH('Program MW '!C$29,'Ex ante LI &amp; Eligibility Stats'!$A$8:$M$8,0))/1000)</f>
        <v>0</v>
      </c>
      <c r="D40" s="531">
        <f>B40*(INDEX('Ex post LI &amp; Eligibility Stats'!$A:$N,MATCH($A40,'Ex post LI &amp; Eligibility Stats'!$A:$A,0),MATCH('Program MW '!C$29,'Ex post LI &amp; Eligibility Stats'!$A$8:$N$8,0))/1000)</f>
        <v>0</v>
      </c>
      <c r="E40" s="141">
        <v>0</v>
      </c>
      <c r="F40" s="537">
        <f>E40*(INDEX('Ex ante LI &amp; Eligibility Stats'!$A:$M,MATCH($A40,'Ex ante LI &amp; Eligibility Stats'!$A:$A,0),MATCH('Program MW '!F$29,'Ex ante LI &amp; Eligibility Stats'!$A$8:$M$8,0))/1000)</f>
        <v>0</v>
      </c>
      <c r="G40" s="537">
        <f>E40*(INDEX('Ex post LI &amp; Eligibility Stats'!$A:$N,MATCH($A40,'Ex post LI &amp; Eligibility Stats'!$A:$A,0),MATCH('Program MW '!F$29,'Ex post LI &amp; Eligibility Stats'!$A$8:$N$8,0))/1000)</f>
        <v>0</v>
      </c>
      <c r="H40" s="141">
        <v>0</v>
      </c>
      <c r="I40" s="531">
        <f>H40*(INDEX('Ex ante LI &amp; Eligibility Stats'!$A:$M,MATCH($A40,'Ex ante LI &amp; Eligibility Stats'!$A:$A,0),MATCH('Program MW '!I$29,'Ex ante LI &amp; Eligibility Stats'!$A$8:$M$8,0))/1000)</f>
        <v>0</v>
      </c>
      <c r="J40" s="531">
        <f>H40*(INDEX('Ex post LI &amp; Eligibility Stats'!$A:$N,MATCH($A40,'Ex post LI &amp; Eligibility Stats'!$A:$A,0),MATCH('Program MW '!I$29,'Ex post LI &amp; Eligibility Stats'!$A$8:$N$8,0))/1000)</f>
        <v>0</v>
      </c>
      <c r="K40" s="141">
        <v>0</v>
      </c>
      <c r="L40" s="531">
        <f>K40*(INDEX('Ex ante LI &amp; Eligibility Stats'!$A:$M,MATCH($A40,'Ex ante LI &amp; Eligibility Stats'!$A:$A,0),MATCH('Program MW '!L$29,'Ex ante LI &amp; Eligibility Stats'!$A$8:$M$8,0))/1000)</f>
        <v>0</v>
      </c>
      <c r="M40" s="531">
        <f>K40*(INDEX('Ex post LI &amp; Eligibility Stats'!$A:$N,MATCH($A40,'Ex post LI &amp; Eligibility Stats'!$A:$A,0),MATCH('Program MW '!L$29,'Ex post LI &amp; Eligibility Stats'!$A$8:$N$8,0))/1000)</f>
        <v>0</v>
      </c>
      <c r="N40" s="141">
        <v>0</v>
      </c>
      <c r="O40" s="531">
        <f>N40*(INDEX('Ex ante LI &amp; Eligibility Stats'!$A:$M,MATCH($A40,'Ex ante LI &amp; Eligibility Stats'!$A:$A,0),MATCH('Program MW '!O$29,'Ex ante LI &amp; Eligibility Stats'!$A$8:$M$8,0))/1000)</f>
        <v>0</v>
      </c>
      <c r="P40" s="532">
        <f>N40*(INDEX('Ex post LI &amp; Eligibility Stats'!$A:$N,MATCH($A40,'Ex post LI &amp; Eligibility Stats'!$A:$A,0),MATCH('Program MW '!O$29,'Ex post LI &amp; Eligibility Stats'!$A$8:$N$8,0))/1000)</f>
        <v>0</v>
      </c>
      <c r="Q40" s="141">
        <v>0</v>
      </c>
      <c r="R40" s="531">
        <f>Q40*(INDEX('Ex ante LI &amp; Eligibility Stats'!$A:$M,MATCH($A40,'Ex ante LI &amp; Eligibility Stats'!$A:$A,0),MATCH('Program MW '!R$29,'Ex ante LI &amp; Eligibility Stats'!$A$8:$M$8,0))/1000)</f>
        <v>0</v>
      </c>
      <c r="S40" s="532">
        <f>Q40*(INDEX('Ex post LI &amp; Eligibility Stats'!$A:$N,MATCH($A40,'Ex post LI &amp; Eligibility Stats'!$A:$A,0),MATCH('Program MW '!R$29,'Ex post LI &amp; Eligibility Stats'!$A$8:$N$8,0))/1000)</f>
        <v>0</v>
      </c>
      <c r="T40" s="4"/>
    </row>
    <row r="41" spans="1:31" x14ac:dyDescent="0.2">
      <c r="A41" s="355" t="s">
        <v>29</v>
      </c>
      <c r="B41" s="141">
        <v>0</v>
      </c>
      <c r="C41" s="531">
        <f>B41*(INDEX('Ex ante LI &amp; Eligibility Stats'!$A:$M,MATCH($A41,'Ex ante LI &amp; Eligibility Stats'!$A:$A,0),MATCH('Program MW '!C$29,'Ex ante LI &amp; Eligibility Stats'!$A$8:$M$8,0))/1000)</f>
        <v>0</v>
      </c>
      <c r="D41" s="531">
        <f>B41*(INDEX('Ex post LI &amp; Eligibility Stats'!$A:$N,MATCH($A41,'Ex post LI &amp; Eligibility Stats'!$A:$A,0),MATCH('Program MW '!C$29,'Ex post LI &amp; Eligibility Stats'!$A$8:$N$8,0))/1000)</f>
        <v>0</v>
      </c>
      <c r="E41" s="141">
        <v>0</v>
      </c>
      <c r="F41" s="537">
        <f>E41*(INDEX('Ex ante LI &amp; Eligibility Stats'!$A:$M,MATCH($A41,'Ex ante LI &amp; Eligibility Stats'!$A:$A,0),MATCH('Program MW '!F$29,'Ex ante LI &amp; Eligibility Stats'!$A$8:$M$8,0))/1000)</f>
        <v>0</v>
      </c>
      <c r="G41" s="537">
        <f>E41*(INDEX('Ex post LI &amp; Eligibility Stats'!$A:$N,MATCH($A41,'Ex post LI &amp; Eligibility Stats'!$A:$A,0),MATCH('Program MW '!F$29,'Ex post LI &amp; Eligibility Stats'!$A$8:$N$8,0))/1000)</f>
        <v>0</v>
      </c>
      <c r="H41" s="141">
        <v>0</v>
      </c>
      <c r="I41" s="537">
        <f>H41*(INDEX('Ex ante LI &amp; Eligibility Stats'!$A:$M,MATCH($A41,'Ex ante LI &amp; Eligibility Stats'!$A:$A,0),MATCH('Program MW '!I$29,'Ex ante LI &amp; Eligibility Stats'!$A$8:$M$8,0))/1000)</f>
        <v>0</v>
      </c>
      <c r="J41" s="531">
        <f>H41*(INDEX('Ex post LI &amp; Eligibility Stats'!$A:$N,MATCH($A41,'Ex post LI &amp; Eligibility Stats'!$A:$A,0),MATCH('Program MW '!I$29,'Ex post LI &amp; Eligibility Stats'!$A$8:$N$8,0))/1000)</f>
        <v>0</v>
      </c>
      <c r="K41" s="141">
        <v>0</v>
      </c>
      <c r="L41" s="531">
        <f>K41*(INDEX('Ex ante LI &amp; Eligibility Stats'!$A:$M,MATCH($A41,'Ex ante LI &amp; Eligibility Stats'!$A:$A,0),MATCH('Program MW '!L$29,'Ex ante LI &amp; Eligibility Stats'!$A$8:$M$8,0))/1000)</f>
        <v>0</v>
      </c>
      <c r="M41" s="531">
        <f>K41*(INDEX('Ex post LI &amp; Eligibility Stats'!$A:$N,MATCH($A41,'Ex post LI &amp; Eligibility Stats'!$A:$A,0),MATCH('Program MW '!L$29,'Ex post LI &amp; Eligibility Stats'!$A$8:$N$8,0))/1000)</f>
        <v>0</v>
      </c>
      <c r="N41" s="141">
        <v>0</v>
      </c>
      <c r="O41" s="531">
        <f>N41*(INDEX('Ex ante LI &amp; Eligibility Stats'!$A:$M,MATCH($A41,'Ex ante LI &amp; Eligibility Stats'!$A:$A,0),MATCH('Program MW '!O$29,'Ex ante LI &amp; Eligibility Stats'!$A$8:$M$8,0))/1000)</f>
        <v>0</v>
      </c>
      <c r="P41" s="532">
        <f>N41*(INDEX('Ex post LI &amp; Eligibility Stats'!$A:$N,MATCH($A41,'Ex post LI &amp; Eligibility Stats'!$A:$A,0),MATCH('Program MW '!O$29,'Ex post LI &amp; Eligibility Stats'!$A$8:$N$8,0))/1000)</f>
        <v>0</v>
      </c>
      <c r="Q41" s="141">
        <v>0</v>
      </c>
      <c r="R41" s="531">
        <f>Q41*(INDEX('Ex ante LI &amp; Eligibility Stats'!$A:$M,MATCH($A41,'Ex ante LI &amp; Eligibility Stats'!$A:$A,0),MATCH('Program MW '!R$29,'Ex ante LI &amp; Eligibility Stats'!$A$8:$M$8,0))/1000)</f>
        <v>0</v>
      </c>
      <c r="S41" s="532">
        <f>Q41*(INDEX('Ex post LI &amp; Eligibility Stats'!$A:$N,MATCH($A41,'Ex post LI &amp; Eligibility Stats'!$A:$A,0),MATCH('Program MW '!R$29,'Ex post LI &amp; Eligibility Stats'!$A$8:$N$8,0))/1000)</f>
        <v>0</v>
      </c>
      <c r="T41" s="4">
        <v>157189</v>
      </c>
    </row>
    <row r="42" spans="1:31" x14ac:dyDescent="0.2">
      <c r="A42" s="355" t="s">
        <v>30</v>
      </c>
      <c r="B42" s="141">
        <v>0</v>
      </c>
      <c r="C42" s="531">
        <f>B42*(INDEX('Ex ante LI &amp; Eligibility Stats'!$A:$M,MATCH($A42,'Ex ante LI &amp; Eligibility Stats'!$A:$A,0),MATCH('Program MW '!C$29,'Ex ante LI &amp; Eligibility Stats'!$A$8:$M$8,0))/1000)</f>
        <v>0</v>
      </c>
      <c r="D42" s="531">
        <f>B42*(INDEX('Ex post LI &amp; Eligibility Stats'!$A:$N,MATCH($A42,'Ex post LI &amp; Eligibility Stats'!$A:$A,0),MATCH('Program MW '!C$29,'Ex post LI &amp; Eligibility Stats'!$A$8:$N$8,0))/1000)</f>
        <v>0</v>
      </c>
      <c r="E42" s="141">
        <v>0</v>
      </c>
      <c r="F42" s="537">
        <f>E42*(INDEX('Ex ante LI &amp; Eligibility Stats'!$A:$M,MATCH($A42,'Ex ante LI &amp; Eligibility Stats'!$A:$A,0),MATCH('Program MW '!F$29,'Ex ante LI &amp; Eligibility Stats'!$A$8:$M$8,0))/1000)</f>
        <v>0</v>
      </c>
      <c r="G42" s="537">
        <f>E42*(INDEX('Ex post LI &amp; Eligibility Stats'!$A:$N,MATCH($A42,'Ex post LI &amp; Eligibility Stats'!$A:$A,0),MATCH('Program MW '!F$29,'Ex post LI &amp; Eligibility Stats'!$A$8:$N$8,0))/1000)</f>
        <v>0</v>
      </c>
      <c r="H42" s="141">
        <v>0</v>
      </c>
      <c r="I42" s="531">
        <f>H42*(INDEX('Ex ante LI &amp; Eligibility Stats'!$A:$M,MATCH($A42,'Ex ante LI &amp; Eligibility Stats'!$A:$A,0),MATCH('Program MW '!I$29,'Ex ante LI &amp; Eligibility Stats'!$A$8:$M$8,0))/1000)</f>
        <v>0</v>
      </c>
      <c r="J42" s="531">
        <f>H42*(INDEX('Ex post LI &amp; Eligibility Stats'!$A:$N,MATCH($A42,'Ex post LI &amp; Eligibility Stats'!$A:$A,0),MATCH('Program MW '!I$29,'Ex post LI &amp; Eligibility Stats'!$A$8:$N$8,0))/1000)</f>
        <v>0</v>
      </c>
      <c r="K42" s="141">
        <v>0</v>
      </c>
      <c r="L42" s="531">
        <f>K42*(INDEX('Ex ante LI &amp; Eligibility Stats'!$A:$M,MATCH($A42,'Ex ante LI &amp; Eligibility Stats'!$A:$A,0),MATCH('Program MW '!L$29,'Ex ante LI &amp; Eligibility Stats'!$A$8:$M$8,0))/1000)</f>
        <v>0</v>
      </c>
      <c r="M42" s="531">
        <f>K42*(INDEX('Ex post LI &amp; Eligibility Stats'!$A:$N,MATCH($A42,'Ex post LI &amp; Eligibility Stats'!$A:$A,0),MATCH('Program MW '!L$29,'Ex post LI &amp; Eligibility Stats'!$A$8:$N$8,0))/1000)</f>
        <v>0</v>
      </c>
      <c r="N42" s="141">
        <v>0</v>
      </c>
      <c r="O42" s="531">
        <f>N42*(INDEX('Ex ante LI &amp; Eligibility Stats'!$A:$M,MATCH($A42,'Ex ante LI &amp; Eligibility Stats'!$A:$A,0),MATCH('Program MW '!O$29,'Ex ante LI &amp; Eligibility Stats'!$A$8:$M$8,0))/1000)</f>
        <v>0</v>
      </c>
      <c r="P42" s="532">
        <f>N42*(INDEX('Ex post LI &amp; Eligibility Stats'!$A:$N,MATCH($A42,'Ex post LI &amp; Eligibility Stats'!$A:$A,0),MATCH('Program MW '!O$29,'Ex post LI &amp; Eligibility Stats'!$A$8:$N$8,0))/1000)</f>
        <v>0</v>
      </c>
      <c r="Q42" s="141">
        <v>0</v>
      </c>
      <c r="R42" s="531">
        <f>Q42*(INDEX('Ex ante LI &amp; Eligibility Stats'!$A:$M,MATCH($A42,'Ex ante LI &amp; Eligibility Stats'!$A:$A,0),MATCH('Program MW '!R$29,'Ex ante LI &amp; Eligibility Stats'!$A$8:$M$8,0))/1000)</f>
        <v>0</v>
      </c>
      <c r="S42" s="532">
        <f>Q42*(INDEX('Ex post LI &amp; Eligibility Stats'!$A:$N,MATCH($A42,'Ex post LI &amp; Eligibility Stats'!$A:$A,0),MATCH('Program MW '!R$29,'Ex post LI &amp; Eligibility Stats'!$A$8:$N$8,0))/1000)</f>
        <v>0</v>
      </c>
      <c r="T42" s="4">
        <v>157189</v>
      </c>
    </row>
    <row r="43" spans="1:31" x14ac:dyDescent="0.2">
      <c r="A43" s="101" t="s">
        <v>31</v>
      </c>
      <c r="B43" s="141">
        <v>0</v>
      </c>
      <c r="C43" s="531">
        <f>B43*(INDEX('Ex ante LI &amp; Eligibility Stats'!$A:$M,MATCH($A43,'Ex ante LI &amp; Eligibility Stats'!$A:$A,0),MATCH('Program MW '!C$29,'Ex ante LI &amp; Eligibility Stats'!$A$8:$M$8,0))/1000)</f>
        <v>0</v>
      </c>
      <c r="D43" s="531">
        <f>B43*(INDEX('Ex post LI &amp; Eligibility Stats'!$A:$N,MATCH($A43,'Ex post LI &amp; Eligibility Stats'!$A:$A,0),MATCH('Program MW '!C$29,'Ex post LI &amp; Eligibility Stats'!$A$8:$N$8,0))/1000)</f>
        <v>0</v>
      </c>
      <c r="E43" s="141">
        <v>0</v>
      </c>
      <c r="F43" s="537">
        <f>E43*(INDEX('Ex ante LI &amp; Eligibility Stats'!$A:$M,MATCH($A43,'Ex ante LI &amp; Eligibility Stats'!$A:$A,0),MATCH('Program MW '!F$29,'Ex ante LI &amp; Eligibility Stats'!$A$8:$M$8,0))/1000)</f>
        <v>0</v>
      </c>
      <c r="G43" s="537">
        <f>E43*(INDEX('Ex post LI &amp; Eligibility Stats'!$A:$N,MATCH($A43,'Ex post LI &amp; Eligibility Stats'!$A:$A,0),MATCH('Program MW '!F$29,'Ex post LI &amp; Eligibility Stats'!$A$8:$N$8,0))/1000)</f>
        <v>0</v>
      </c>
      <c r="H43" s="141">
        <v>0</v>
      </c>
      <c r="I43" s="531">
        <f>H43*(INDEX('Ex ante LI &amp; Eligibility Stats'!$A:$M,MATCH($A43,'Ex ante LI &amp; Eligibility Stats'!$A:$A,0),MATCH('Program MW '!I$29,'Ex ante LI &amp; Eligibility Stats'!$A$8:$M$8,0))/1000)</f>
        <v>0</v>
      </c>
      <c r="J43" s="531">
        <f>H43*(INDEX('Ex post LI &amp; Eligibility Stats'!$A:$N,MATCH($A43,'Ex post LI &amp; Eligibility Stats'!$A:$A,0),MATCH('Program MW '!I$29,'Ex post LI &amp; Eligibility Stats'!$A$8:$N$8,0))/1000)</f>
        <v>0</v>
      </c>
      <c r="K43" s="141">
        <v>0</v>
      </c>
      <c r="L43" s="531">
        <f>K43*(INDEX('Ex ante LI &amp; Eligibility Stats'!$A:$M,MATCH($A43,'Ex ante LI &amp; Eligibility Stats'!$A:$A,0),MATCH('Program MW '!L$29,'Ex ante LI &amp; Eligibility Stats'!$A$8:$M$8,0))/1000)</f>
        <v>0</v>
      </c>
      <c r="M43" s="531">
        <f>K43*(INDEX('Ex post LI &amp; Eligibility Stats'!$A:$N,MATCH($A43,'Ex post LI &amp; Eligibility Stats'!$A:$A,0),MATCH('Program MW '!L$29,'Ex post LI &amp; Eligibility Stats'!$A$8:$N$8,0))/1000)</f>
        <v>0</v>
      </c>
      <c r="N43" s="141">
        <v>0</v>
      </c>
      <c r="O43" s="531">
        <f>N43*(INDEX('Ex ante LI &amp; Eligibility Stats'!$A:$M,MATCH($A43,'Ex ante LI &amp; Eligibility Stats'!$A:$A,0),MATCH('Program MW '!O$29,'Ex ante LI &amp; Eligibility Stats'!$A$8:$M$8,0))/1000)</f>
        <v>0</v>
      </c>
      <c r="P43" s="532">
        <f>N43*(INDEX('Ex post LI &amp; Eligibility Stats'!$A:$N,MATCH($A43,'Ex post LI &amp; Eligibility Stats'!$A:$A,0),MATCH('Program MW '!O$29,'Ex post LI &amp; Eligibility Stats'!$A$8:$N$8,0))/1000)</f>
        <v>0</v>
      </c>
      <c r="Q43" s="141">
        <v>0</v>
      </c>
      <c r="R43" s="531">
        <f>Q43*(INDEX('Ex ante LI &amp; Eligibility Stats'!$A:$M,MATCH($A43,'Ex ante LI &amp; Eligibility Stats'!$A:$A,0),MATCH('Program MW '!R$29,'Ex ante LI &amp; Eligibility Stats'!$A$8:$M$8,0))/1000)</f>
        <v>0</v>
      </c>
      <c r="S43" s="532">
        <f>Q43*(INDEX('Ex post LI &amp; Eligibility Stats'!$A:$N,MATCH($A43,'Ex post LI &amp; Eligibility Stats'!$A:$A,0),MATCH('Program MW '!R$29,'Ex post LI &amp; Eligibility Stats'!$A$8:$N$8,0))/1000)</f>
        <v>0</v>
      </c>
      <c r="T43" s="4">
        <v>18875</v>
      </c>
    </row>
    <row r="44" spans="1:31" x14ac:dyDescent="0.2">
      <c r="A44" s="101" t="s">
        <v>32</v>
      </c>
      <c r="B44" s="141">
        <v>0</v>
      </c>
      <c r="C44" s="531">
        <f>B44*(INDEX('Ex ante LI &amp; Eligibility Stats'!$A:$M,MATCH($A44,'Ex ante LI &amp; Eligibility Stats'!$A:$A,0),MATCH('Program MW '!C$29,'Ex ante LI &amp; Eligibility Stats'!$A$8:$M$8,0))/1000)</f>
        <v>0</v>
      </c>
      <c r="D44" s="531">
        <f>B44*(INDEX('Ex post LI &amp; Eligibility Stats'!$A:$N,MATCH($A44,'Ex post LI &amp; Eligibility Stats'!$A:$A,0),MATCH('Program MW '!C$29,'Ex post LI &amp; Eligibility Stats'!$A$8:$N$8,0))/1000)</f>
        <v>0</v>
      </c>
      <c r="E44" s="141">
        <v>0</v>
      </c>
      <c r="F44" s="537">
        <f>E44*(INDEX('Ex ante LI &amp; Eligibility Stats'!$A:$M,MATCH($A44,'Ex ante LI &amp; Eligibility Stats'!$A:$A,0),MATCH('Program MW '!F$29,'Ex ante LI &amp; Eligibility Stats'!$A$8:$M$8,0))/1000)</f>
        <v>0</v>
      </c>
      <c r="G44" s="537">
        <f>E44*(INDEX('Ex post LI &amp; Eligibility Stats'!$A:$N,MATCH($A44,'Ex post LI &amp; Eligibility Stats'!$A:$A,0),MATCH('Program MW '!F$29,'Ex post LI &amp; Eligibility Stats'!$A$8:$N$8,0))/1000)</f>
        <v>0</v>
      </c>
      <c r="H44" s="141">
        <v>0</v>
      </c>
      <c r="I44" s="531">
        <f>H44*(INDEX('Ex ante LI &amp; Eligibility Stats'!$A:$M,MATCH($A44,'Ex ante LI &amp; Eligibility Stats'!$A:$A,0),MATCH('Program MW '!I$29,'Ex ante LI &amp; Eligibility Stats'!$A$8:$M$8,0))/1000)</f>
        <v>0</v>
      </c>
      <c r="J44" s="531">
        <f>H44*(INDEX('Ex post LI &amp; Eligibility Stats'!$A:$N,MATCH($A44,'Ex post LI &amp; Eligibility Stats'!$A:$A,0),MATCH('Program MW '!I$29,'Ex post LI &amp; Eligibility Stats'!$A$8:$N$8,0))/1000)</f>
        <v>0</v>
      </c>
      <c r="K44" s="141">
        <v>0</v>
      </c>
      <c r="L44" s="531">
        <f>K44*(INDEX('Ex ante LI &amp; Eligibility Stats'!$A:$M,MATCH($A44,'Ex ante LI &amp; Eligibility Stats'!$A:$A,0),MATCH('Program MW '!L$29,'Ex ante LI &amp; Eligibility Stats'!$A$8:$M$8,0))/1000)</f>
        <v>0</v>
      </c>
      <c r="M44" s="531">
        <f>K44*(INDEX('Ex post LI &amp; Eligibility Stats'!$A:$N,MATCH($A44,'Ex post LI &amp; Eligibility Stats'!$A:$A,0),MATCH('Program MW '!L$29,'Ex post LI &amp; Eligibility Stats'!$A$8:$N$8,0))/1000)</f>
        <v>0</v>
      </c>
      <c r="N44" s="141">
        <v>0</v>
      </c>
      <c r="O44" s="531">
        <f>N44*(INDEX('Ex ante LI &amp; Eligibility Stats'!$A:$M,MATCH($A44,'Ex ante LI &amp; Eligibility Stats'!$A:$A,0),MATCH('Program MW '!O$29,'Ex ante LI &amp; Eligibility Stats'!$A$8:$M$8,0))/1000)</f>
        <v>0</v>
      </c>
      <c r="P44" s="532">
        <f>N44*(INDEX('Ex post LI &amp; Eligibility Stats'!$A:$N,MATCH($A44,'Ex post LI &amp; Eligibility Stats'!$A:$A,0),MATCH('Program MW '!O$29,'Ex post LI &amp; Eligibility Stats'!$A$8:$N$8,0))/1000)</f>
        <v>0</v>
      </c>
      <c r="Q44" s="141">
        <v>0</v>
      </c>
      <c r="R44" s="531">
        <f>Q44*(INDEX('Ex ante LI &amp; Eligibility Stats'!$A:$M,MATCH($A44,'Ex ante LI &amp; Eligibility Stats'!$A:$A,0),MATCH('Program MW '!R$29,'Ex ante LI &amp; Eligibility Stats'!$A$8:$M$8,0))/1000)</f>
        <v>0</v>
      </c>
      <c r="S44" s="532">
        <f>Q44*(INDEX('Ex post LI &amp; Eligibility Stats'!$A:$N,MATCH($A44,'Ex post LI &amp; Eligibility Stats'!$A:$A,0),MATCH('Program MW '!R$29,'Ex post LI &amp; Eligibility Stats'!$A$8:$N$8,0))/1000)</f>
        <v>0</v>
      </c>
      <c r="T44" s="4">
        <v>18875</v>
      </c>
    </row>
    <row r="45" spans="1:31" x14ac:dyDescent="0.2">
      <c r="A45" s="101" t="s">
        <v>33</v>
      </c>
      <c r="B45" s="141">
        <v>0</v>
      </c>
      <c r="C45" s="531">
        <f>B45*(INDEX('Ex ante LI &amp; Eligibility Stats'!$A:$M,MATCH($A45,'Ex ante LI &amp; Eligibility Stats'!$A:$A,0),MATCH('Program MW '!C$29,'Ex ante LI &amp; Eligibility Stats'!$A$8:$M$8,0))/1000)</f>
        <v>0</v>
      </c>
      <c r="D45" s="531">
        <f>B45*(INDEX('Ex post LI &amp; Eligibility Stats'!$A:$N,MATCH($A45,'Ex post LI &amp; Eligibility Stats'!$A:$A,0),MATCH('Program MW '!C$29,'Ex post LI &amp; Eligibility Stats'!$A$8:$N$8,0))/1000)</f>
        <v>0</v>
      </c>
      <c r="E45" s="141">
        <v>0</v>
      </c>
      <c r="F45" s="537">
        <f>E45*(INDEX('Ex ante LI &amp; Eligibility Stats'!$A:$M,MATCH($A45,'Ex ante LI &amp; Eligibility Stats'!$A:$A,0),MATCH('Program MW '!F$29,'Ex ante LI &amp; Eligibility Stats'!$A$8:$M$8,0))/1000)</f>
        <v>0</v>
      </c>
      <c r="G45" s="537">
        <f>E45*(INDEX('Ex post LI &amp; Eligibility Stats'!$A:$N,MATCH($A45,'Ex post LI &amp; Eligibility Stats'!$A:$A,0),MATCH('Program MW '!F$29,'Ex post LI &amp; Eligibility Stats'!$A$8:$N$8,0))/1000)</f>
        <v>0</v>
      </c>
      <c r="H45" s="141">
        <v>0</v>
      </c>
      <c r="I45" s="537">
        <f>H45*(INDEX('Ex ante LI &amp; Eligibility Stats'!$A:$M,MATCH($A45,'Ex ante LI &amp; Eligibility Stats'!$A:$A,0),MATCH('Program MW '!I$29,'Ex ante LI &amp; Eligibility Stats'!$A$8:$M$8,0))/1000)</f>
        <v>0</v>
      </c>
      <c r="J45" s="531">
        <f>H45*(INDEX('Ex post LI &amp; Eligibility Stats'!$A:$N,MATCH($A45,'Ex post LI &amp; Eligibility Stats'!$A:$A,0),MATCH('Program MW '!I$29,'Ex post LI &amp; Eligibility Stats'!$A$8:$N$8,0))/1000)</f>
        <v>0</v>
      </c>
      <c r="K45" s="141">
        <v>0</v>
      </c>
      <c r="L45" s="531">
        <f>K45*(INDEX('Ex ante LI &amp; Eligibility Stats'!$A:$M,MATCH($A45,'Ex ante LI &amp; Eligibility Stats'!$A:$A,0),MATCH('Program MW '!L$29,'Ex ante LI &amp; Eligibility Stats'!$A$8:$M$8,0))/1000)</f>
        <v>0</v>
      </c>
      <c r="M45" s="531">
        <f>K45*(INDEX('Ex post LI &amp; Eligibility Stats'!$A:$N,MATCH($A45,'Ex post LI &amp; Eligibility Stats'!$A:$A,0),MATCH('Program MW '!L$29,'Ex post LI &amp; Eligibility Stats'!$A$8:$N$8,0))/1000)</f>
        <v>0</v>
      </c>
      <c r="N45" s="141">
        <v>0</v>
      </c>
      <c r="O45" s="531">
        <f>N45*(INDEX('Ex ante LI &amp; Eligibility Stats'!$A:$M,MATCH($A45,'Ex ante LI &amp; Eligibility Stats'!$A:$A,0),MATCH('Program MW '!O$29,'Ex ante LI &amp; Eligibility Stats'!$A$8:$M$8,0))/1000)</f>
        <v>0</v>
      </c>
      <c r="P45" s="532">
        <f>N45*(INDEX('Ex post LI &amp; Eligibility Stats'!$A:$N,MATCH($A45,'Ex post LI &amp; Eligibility Stats'!$A:$A,0),MATCH('Program MW '!O$29,'Ex post LI &amp; Eligibility Stats'!$A$8:$N$8,0))/1000)</f>
        <v>0</v>
      </c>
      <c r="Q45" s="141">
        <v>0</v>
      </c>
      <c r="R45" s="531">
        <f>Q45*(INDEX('Ex ante LI &amp; Eligibility Stats'!$A:$M,MATCH($A45,'Ex ante LI &amp; Eligibility Stats'!$A:$A,0),MATCH('Program MW '!R$29,'Ex ante LI &amp; Eligibility Stats'!$A$8:$M$8,0))/1000)</f>
        <v>0</v>
      </c>
      <c r="S45" s="532">
        <f>Q45*(INDEX('Ex post LI &amp; Eligibility Stats'!$A:$N,MATCH($A45,'Ex post LI &amp; Eligibility Stats'!$A:$A,0),MATCH('Program MW '!R$29,'Ex post LI &amp; Eligibility Stats'!$A$8:$N$8,0))/1000)</f>
        <v>0</v>
      </c>
      <c r="T45" s="4"/>
    </row>
    <row r="46" spans="1:31" x14ac:dyDescent="0.2">
      <c r="A46" s="58" t="s">
        <v>34</v>
      </c>
      <c r="B46" s="141">
        <v>0</v>
      </c>
      <c r="C46" s="531">
        <f>B46*(INDEX('Ex ante LI &amp; Eligibility Stats'!$A:$M,MATCH($A46,'Ex ante LI &amp; Eligibility Stats'!$A:$A,0),MATCH('Program MW '!C$29,'Ex ante LI &amp; Eligibility Stats'!$A$8:$M$8,0))/1000)</f>
        <v>0</v>
      </c>
      <c r="D46" s="531">
        <f>B46*(INDEX('Ex post LI &amp; Eligibility Stats'!$A:$N,MATCH($A46,'Ex post LI &amp; Eligibility Stats'!$A:$A,0),MATCH('Program MW '!C$29,'Ex post LI &amp; Eligibility Stats'!$A$8:$N$8,0))/1000)</f>
        <v>0</v>
      </c>
      <c r="E46" s="141">
        <v>0</v>
      </c>
      <c r="F46" s="537">
        <f>E46*(INDEX('Ex ante LI &amp; Eligibility Stats'!$A:$M,MATCH($A46,'Ex ante LI &amp; Eligibility Stats'!$A:$A,0),MATCH('Program MW '!F$29,'Ex ante LI &amp; Eligibility Stats'!$A$8:$M$8,0))/1000)</f>
        <v>0</v>
      </c>
      <c r="G46" s="537">
        <f>E46*(INDEX('Ex post LI &amp; Eligibility Stats'!$A:$N,MATCH($A46,'Ex post LI &amp; Eligibility Stats'!$A:$A,0),MATCH('Program MW '!F$29,'Ex post LI &amp; Eligibility Stats'!$A$8:$N$8,0))/1000)</f>
        <v>0</v>
      </c>
      <c r="H46" s="141">
        <v>0</v>
      </c>
      <c r="I46" s="537">
        <f>H46*(INDEX('Ex ante LI &amp; Eligibility Stats'!$A:$M,MATCH($A46,'Ex ante LI &amp; Eligibility Stats'!$A:$A,0),MATCH('Program MW '!I$29,'Ex ante LI &amp; Eligibility Stats'!$A$8:$M$8,0))/1000)</f>
        <v>0</v>
      </c>
      <c r="J46" s="532">
        <f>H46*(INDEX('Ex post LI &amp; Eligibility Stats'!$A:$N,MATCH($A46,'Ex post LI &amp; Eligibility Stats'!$A:$A,0),MATCH('Program MW '!I$29,'Ex post LI &amp; Eligibility Stats'!$A$8:$N$8,0))/1000)</f>
        <v>0</v>
      </c>
      <c r="K46" s="141">
        <v>0</v>
      </c>
      <c r="L46" s="531">
        <f>K46*(INDEX('Ex ante LI &amp; Eligibility Stats'!$A:$M,MATCH($A46,'Ex ante LI &amp; Eligibility Stats'!$A:$A,0),MATCH('Program MW '!L$29,'Ex ante LI &amp; Eligibility Stats'!$A$8:$M$8,0))/1000)</f>
        <v>0</v>
      </c>
      <c r="M46" s="531">
        <f>K46*(INDEX('Ex post LI &amp; Eligibility Stats'!$A:$N,MATCH($A46,'Ex post LI &amp; Eligibility Stats'!$A:$A,0),MATCH('Program MW '!L$29,'Ex post LI &amp; Eligibility Stats'!$A$8:$N$8,0))/1000)</f>
        <v>0</v>
      </c>
      <c r="N46" s="141">
        <v>0</v>
      </c>
      <c r="O46" s="531">
        <f>N46*(INDEX('Ex ante LI &amp; Eligibility Stats'!$A:$M,MATCH($A46,'Ex ante LI &amp; Eligibility Stats'!$A:$A,0),MATCH('Program MW '!O$29,'Ex ante LI &amp; Eligibility Stats'!$A$8:$M$8,0))/1000)</f>
        <v>0</v>
      </c>
      <c r="P46" s="532">
        <f>N46*(INDEX('Ex post LI &amp; Eligibility Stats'!$A:$N,MATCH($A46,'Ex post LI &amp; Eligibility Stats'!$A:$A,0),MATCH('Program MW '!O$29,'Ex post LI &amp; Eligibility Stats'!$A$8:$N$8,0))/1000)</f>
        <v>0</v>
      </c>
      <c r="Q46" s="141">
        <v>0</v>
      </c>
      <c r="R46" s="531">
        <f>Q46*(INDEX('Ex ante LI &amp; Eligibility Stats'!$A:$M,MATCH($A46,'Ex ante LI &amp; Eligibility Stats'!$A:$A,0),MATCH('Program MW '!R$29,'Ex ante LI &amp; Eligibility Stats'!$A$8:$M$8,0))/1000)</f>
        <v>0</v>
      </c>
      <c r="S46" s="532">
        <f>Q46*(INDEX('Ex post LI &amp; Eligibility Stats'!$A:$N,MATCH($A46,'Ex post LI &amp; Eligibility Stats'!$A:$A,0),MATCH('Program MW '!R$29,'Ex post LI &amp; Eligibility Stats'!$A$8:$N$8,0))/1000)</f>
        <v>0</v>
      </c>
      <c r="T46" s="4"/>
    </row>
    <row r="47" spans="1:31" ht="13.5" thickBot="1" x14ac:dyDescent="0.25">
      <c r="A47" s="215" t="s">
        <v>35</v>
      </c>
      <c r="B47" s="3">
        <f t="shared" ref="B47:S47" si="5">SUM(B35:B46)</f>
        <v>0</v>
      </c>
      <c r="C47" s="314">
        <f t="shared" si="5"/>
        <v>0</v>
      </c>
      <c r="D47" s="282">
        <f t="shared" si="5"/>
        <v>0</v>
      </c>
      <c r="E47" s="3">
        <f t="shared" si="5"/>
        <v>0</v>
      </c>
      <c r="F47" s="330">
        <f t="shared" si="5"/>
        <v>0</v>
      </c>
      <c r="G47" s="331">
        <f t="shared" si="5"/>
        <v>0</v>
      </c>
      <c r="H47" s="3">
        <f t="shared" si="5"/>
        <v>0</v>
      </c>
      <c r="I47" s="314">
        <f t="shared" si="5"/>
        <v>0</v>
      </c>
      <c r="J47" s="282">
        <f t="shared" si="5"/>
        <v>0</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x14ac:dyDescent="0.25">
      <c r="A48" s="222" t="s">
        <v>36</v>
      </c>
      <c r="B48" s="2">
        <f t="shared" ref="B48:S48" si="6">+B33+B47</f>
        <v>0</v>
      </c>
      <c r="C48" s="315">
        <f t="shared" si="6"/>
        <v>0</v>
      </c>
      <c r="D48" s="281">
        <f t="shared" si="6"/>
        <v>0</v>
      </c>
      <c r="E48" s="2">
        <f t="shared" si="6"/>
        <v>0</v>
      </c>
      <c r="F48" s="332">
        <f t="shared" si="6"/>
        <v>0</v>
      </c>
      <c r="G48" s="333">
        <f t="shared" si="6"/>
        <v>0</v>
      </c>
      <c r="H48" s="2">
        <f t="shared" si="6"/>
        <v>0</v>
      </c>
      <c r="I48" s="315">
        <f t="shared" si="6"/>
        <v>0</v>
      </c>
      <c r="J48" s="281">
        <f t="shared" si="6"/>
        <v>0</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x14ac:dyDescent="0.2">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x14ac:dyDescent="0.25">
      <c r="A50" s="303" t="s">
        <v>44</v>
      </c>
      <c r="B50" s="225"/>
      <c r="C50" s="225"/>
      <c r="D50" s="225"/>
      <c r="E50" s="225"/>
      <c r="F50" s="226"/>
      <c r="G50" s="225"/>
      <c r="H50" s="226"/>
      <c r="I50" s="225"/>
      <c r="J50" s="225"/>
      <c r="K50" s="225"/>
      <c r="L50" s="225"/>
      <c r="M50" s="225"/>
      <c r="N50" s="225"/>
      <c r="O50" s="225"/>
      <c r="P50" s="227"/>
      <c r="Q50" s="225"/>
      <c r="R50" s="225"/>
      <c r="S50" s="225"/>
      <c r="T50" s="13"/>
      <c r="U50" s="13"/>
      <c r="V50" s="13"/>
      <c r="W50" s="13"/>
      <c r="X50" s="13"/>
      <c r="Y50" s="13"/>
      <c r="Z50" s="13"/>
    </row>
    <row r="51" spans="1:26" ht="18.75" customHeight="1" x14ac:dyDescent="0.2">
      <c r="A51" s="678" t="s">
        <v>45</v>
      </c>
      <c r="B51" s="678"/>
      <c r="C51" s="678"/>
      <c r="D51" s="678"/>
      <c r="E51" s="678"/>
      <c r="F51" s="678"/>
      <c r="G51" s="678"/>
      <c r="H51" s="653"/>
      <c r="I51" s="653"/>
      <c r="J51" s="653"/>
      <c r="K51" s="653"/>
      <c r="L51" s="653"/>
      <c r="M51" s="653"/>
      <c r="N51" s="653"/>
      <c r="O51" s="653"/>
    </row>
    <row r="52" spans="1:26" x14ac:dyDescent="0.2">
      <c r="A52" s="679" t="s">
        <v>46</v>
      </c>
      <c r="B52" s="680"/>
      <c r="C52" s="680"/>
      <c r="D52" s="680"/>
      <c r="E52" s="680"/>
      <c r="F52" s="680"/>
      <c r="G52" s="680"/>
      <c r="H52" s="680"/>
      <c r="I52" s="680"/>
      <c r="J52" s="680"/>
      <c r="K52" s="680"/>
      <c r="L52" s="680"/>
      <c r="M52" s="680"/>
      <c r="N52" s="680"/>
      <c r="O52" s="13"/>
      <c r="P52" s="13"/>
      <c r="Q52" s="13"/>
      <c r="R52" s="13"/>
      <c r="S52" s="13"/>
      <c r="T52" s="172"/>
      <c r="U52" s="172"/>
      <c r="V52" s="172"/>
      <c r="W52" s="172"/>
      <c r="X52" s="172"/>
      <c r="Y52" s="172"/>
      <c r="Z52" s="172"/>
    </row>
    <row r="53" spans="1:26" s="179" customFormat="1" x14ac:dyDescent="0.2">
      <c r="A53" s="474" t="s">
        <v>47</v>
      </c>
      <c r="B53" s="232"/>
      <c r="C53" s="232"/>
      <c r="D53" s="232"/>
      <c r="E53" s="232"/>
      <c r="F53" s="232"/>
      <c r="G53" s="232"/>
      <c r="H53" s="232"/>
      <c r="I53" s="232"/>
      <c r="J53" s="232"/>
      <c r="K53" s="232"/>
      <c r="L53" s="232"/>
      <c r="M53" s="232"/>
      <c r="N53" s="232"/>
      <c r="O53" s="353"/>
      <c r="P53" s="353"/>
      <c r="Q53" s="353"/>
      <c r="R53" s="353"/>
      <c r="S53" s="353"/>
      <c r="T53" s="237"/>
      <c r="U53" s="237"/>
      <c r="V53" s="237"/>
      <c r="W53" s="237"/>
      <c r="X53" s="237"/>
      <c r="Y53" s="237"/>
      <c r="Z53" s="237"/>
    </row>
    <row r="54" spans="1:26" s="179" customFormat="1" ht="14.65" customHeight="1" x14ac:dyDescent="0.2">
      <c r="A54" s="306" t="s">
        <v>48</v>
      </c>
      <c r="B54" s="237"/>
      <c r="C54" s="237"/>
      <c r="D54" s="237"/>
      <c r="E54" s="237"/>
      <c r="F54" s="237"/>
      <c r="G54" s="237"/>
      <c r="H54" s="237"/>
      <c r="I54" s="237"/>
      <c r="J54" s="237"/>
      <c r="K54" s="237"/>
      <c r="L54" s="237"/>
      <c r="M54" s="237"/>
      <c r="N54" s="237"/>
    </row>
    <row r="55" spans="1:26" x14ac:dyDescent="0.2">
      <c r="A55" s="654" t="s">
        <v>49</v>
      </c>
      <c r="B55" s="669"/>
      <c r="C55" s="669"/>
      <c r="D55" s="669"/>
      <c r="E55" s="669"/>
      <c r="F55" s="669"/>
      <c r="G55" s="669"/>
      <c r="H55" s="653"/>
      <c r="I55" s="653"/>
      <c r="J55" s="653"/>
      <c r="K55" s="653"/>
      <c r="L55" s="653"/>
      <c r="M55" s="653"/>
      <c r="N55" s="653"/>
      <c r="O55" s="653"/>
    </row>
    <row r="56" spans="1:26" x14ac:dyDescent="0.2">
      <c r="A56" s="654"/>
      <c r="B56" s="669"/>
      <c r="C56" s="669"/>
      <c r="D56" s="669"/>
      <c r="E56" s="669"/>
      <c r="F56" s="669"/>
      <c r="G56" s="669"/>
      <c r="H56" s="653"/>
      <c r="I56" s="653"/>
      <c r="J56" s="653"/>
      <c r="K56" s="653"/>
      <c r="L56" s="653"/>
      <c r="M56" s="653"/>
      <c r="N56" s="653"/>
      <c r="O56" s="653"/>
    </row>
    <row r="57" spans="1:26" ht="15" x14ac:dyDescent="0.2">
      <c r="A57" s="283" t="s">
        <v>50</v>
      </c>
    </row>
  </sheetData>
  <mergeCells count="2">
    <mergeCell ref="A51:G51"/>
    <mergeCell ref="A52:N52"/>
  </mergeCells>
  <phoneticPr fontId="0" type="noConversion"/>
  <printOptions horizontalCentered="1"/>
  <pageMargins left="0" right="0" top="0.3" bottom="0.17" header="0.3" footer="0.15"/>
  <pageSetup paperSize="5" scale="71" orientation="landscape" cellComments="atEnd" r:id="rId1"/>
  <headerFooter alignWithMargins="0">
    <oddHeader xml:space="preserve">&amp;C&amp;"Arial,Bold"
</oddHeader>
    <oddFooter>&amp;Rpage 1 of 12
&amp;A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26"/>
  <sheetViews>
    <sheetView zoomScaleNormal="100" zoomScaleSheetLayoutView="90" workbookViewId="0">
      <selection activeCell="A30" sqref="A30"/>
    </sheetView>
  </sheetViews>
  <sheetFormatPr defaultColWidth="9.140625" defaultRowHeight="14.25" customHeight="1" x14ac:dyDescent="0.2"/>
  <cols>
    <col min="1" max="1" width="56.85546875" style="583" customWidth="1"/>
    <col min="2" max="2" width="30" style="301" customWidth="1"/>
    <col min="3" max="3" width="15.7109375" style="607" customWidth="1"/>
    <col min="4" max="4" width="27" style="583" bestFit="1" customWidth="1"/>
    <col min="5" max="5" width="15.85546875" style="583" customWidth="1"/>
    <col min="6" max="6" width="22" style="583" customWidth="1"/>
    <col min="7" max="7" width="37" style="583" customWidth="1"/>
    <col min="8" max="16384" width="9.140625" style="584"/>
  </cols>
  <sheetData>
    <row r="2" spans="1:8" ht="12.75" x14ac:dyDescent="0.2">
      <c r="C2" s="302" t="s">
        <v>0</v>
      </c>
    </row>
    <row r="3" spans="1:8" ht="12.75" x14ac:dyDescent="0.2">
      <c r="C3" s="302" t="s">
        <v>234</v>
      </c>
    </row>
    <row r="4" spans="1:8" ht="12.75" x14ac:dyDescent="0.2">
      <c r="C4" s="568" t="s">
        <v>235</v>
      </c>
    </row>
    <row r="5" spans="1:8" ht="12.75" x14ac:dyDescent="0.2">
      <c r="C5" s="302"/>
    </row>
    <row r="7" spans="1:8" ht="15.75" x14ac:dyDescent="0.25">
      <c r="A7" s="697" t="s">
        <v>236</v>
      </c>
      <c r="B7" s="698"/>
      <c r="C7" s="698"/>
      <c r="D7" s="698"/>
      <c r="E7" s="698"/>
      <c r="F7" s="698"/>
      <c r="G7" s="699"/>
    </row>
    <row r="8" spans="1:8" ht="27" x14ac:dyDescent="0.2">
      <c r="A8" s="585" t="s">
        <v>182</v>
      </c>
      <c r="B8" s="585" t="s">
        <v>237</v>
      </c>
      <c r="C8" s="586" t="s">
        <v>185</v>
      </c>
      <c r="D8" s="585" t="s">
        <v>238</v>
      </c>
      <c r="E8" s="587" t="s">
        <v>239</v>
      </c>
      <c r="F8" s="587" t="s">
        <v>240</v>
      </c>
      <c r="G8" s="587" t="s">
        <v>241</v>
      </c>
    </row>
    <row r="9" spans="1:8" ht="12.75" x14ac:dyDescent="0.2">
      <c r="A9" s="588"/>
      <c r="B9" s="589"/>
      <c r="C9" s="590"/>
      <c r="D9" s="591"/>
      <c r="E9" s="592"/>
      <c r="F9" s="593"/>
      <c r="G9" s="594"/>
    </row>
    <row r="10" spans="1:8" ht="12.75" x14ac:dyDescent="0.2">
      <c r="A10" s="588"/>
      <c r="B10" s="589"/>
      <c r="C10" s="590"/>
      <c r="D10" s="591"/>
      <c r="E10" s="572"/>
      <c r="F10" s="593"/>
      <c r="G10" s="594"/>
      <c r="H10" s="57"/>
    </row>
    <row r="11" spans="1:8" ht="12.75" x14ac:dyDescent="0.2">
      <c r="A11" s="588"/>
      <c r="B11" s="589"/>
      <c r="C11" s="590"/>
      <c r="D11" s="591"/>
      <c r="E11" s="572"/>
      <c r="F11" s="593"/>
      <c r="G11" s="594"/>
      <c r="H11" s="57"/>
    </row>
    <row r="12" spans="1:8" ht="12.75" x14ac:dyDescent="0.2">
      <c r="A12" s="588"/>
      <c r="B12" s="589"/>
      <c r="C12" s="590"/>
      <c r="D12" s="591"/>
      <c r="E12" s="572"/>
      <c r="F12" s="593"/>
      <c r="G12" s="594"/>
      <c r="H12" s="57"/>
    </row>
    <row r="13" spans="1:8" ht="12.75" x14ac:dyDescent="0.2">
      <c r="A13" s="588"/>
      <c r="B13" s="589"/>
      <c r="C13" s="590"/>
      <c r="D13" s="591"/>
      <c r="E13" s="572"/>
      <c r="F13" s="593"/>
      <c r="G13" s="594"/>
      <c r="H13" s="57"/>
    </row>
    <row r="14" spans="1:8" ht="12.75" x14ac:dyDescent="0.2">
      <c r="A14" s="588"/>
      <c r="B14" s="589"/>
      <c r="C14" s="590"/>
      <c r="D14" s="591"/>
      <c r="E14" s="572"/>
      <c r="F14" s="593"/>
      <c r="G14" s="594"/>
      <c r="H14" s="57"/>
    </row>
    <row r="15" spans="1:8" ht="12.75" x14ac:dyDescent="0.2">
      <c r="A15" s="588"/>
      <c r="B15" s="589"/>
      <c r="C15" s="590"/>
      <c r="D15" s="591"/>
      <c r="E15" s="572"/>
      <c r="F15" s="593"/>
      <c r="G15" s="594"/>
      <c r="H15" s="57"/>
    </row>
    <row r="16" spans="1:8" ht="12.75" x14ac:dyDescent="0.2">
      <c r="A16" s="588"/>
      <c r="B16" s="589"/>
      <c r="C16" s="590"/>
      <c r="D16" s="591"/>
      <c r="E16" s="572"/>
      <c r="F16" s="593"/>
      <c r="G16" s="594"/>
      <c r="H16" s="57"/>
    </row>
    <row r="17" spans="1:9" ht="14.25" customHeight="1" x14ac:dyDescent="0.25">
      <c r="A17" s="595"/>
      <c r="B17" s="596"/>
      <c r="C17" s="597"/>
      <c r="D17" s="598"/>
      <c r="E17" s="599"/>
      <c r="F17" s="600"/>
      <c r="G17" s="601"/>
    </row>
    <row r="18" spans="1:9" ht="14.25" customHeight="1" x14ac:dyDescent="0.25">
      <c r="A18" s="595"/>
      <c r="B18" s="596"/>
      <c r="C18" s="597"/>
      <c r="D18" s="598"/>
      <c r="E18" s="599"/>
      <c r="F18" s="600"/>
      <c r="G18" s="601"/>
    </row>
    <row r="19" spans="1:9" ht="12.75" x14ac:dyDescent="0.2">
      <c r="A19" s="602" t="s">
        <v>44</v>
      </c>
      <c r="B19" s="603"/>
      <c r="C19" s="604"/>
      <c r="D19" s="598"/>
      <c r="E19" s="605"/>
      <c r="F19" s="600"/>
      <c r="G19" s="598"/>
    </row>
    <row r="20" spans="1:9" ht="18.75" x14ac:dyDescent="0.25">
      <c r="A20" s="606" t="s">
        <v>242</v>
      </c>
      <c r="B20" s="603"/>
      <c r="C20" s="604"/>
      <c r="D20" s="598"/>
      <c r="E20" s="605"/>
      <c r="F20" s="600"/>
      <c r="G20" s="598"/>
    </row>
    <row r="21" spans="1:9" ht="18.75" x14ac:dyDescent="0.25">
      <c r="A21" s="606" t="s">
        <v>243</v>
      </c>
      <c r="B21" s="603"/>
      <c r="C21" s="604"/>
      <c r="D21" s="598"/>
      <c r="E21" s="605"/>
      <c r="F21" s="600"/>
      <c r="G21" s="598"/>
    </row>
    <row r="22" spans="1:9" ht="15.75" x14ac:dyDescent="0.25">
      <c r="A22" s="606"/>
      <c r="B22" s="603"/>
      <c r="C22" s="604"/>
      <c r="D22" s="598"/>
      <c r="E22" s="605"/>
      <c r="F22" s="600"/>
      <c r="G22" s="598"/>
    </row>
    <row r="23" spans="1:9" ht="12.75" x14ac:dyDescent="0.2">
      <c r="A23" s="548" t="s">
        <v>50</v>
      </c>
      <c r="B23" s="549"/>
      <c r="C23" s="549"/>
      <c r="D23" s="549"/>
      <c r="E23" s="573"/>
      <c r="F23" s="549"/>
      <c r="G23" s="549"/>
    </row>
    <row r="24" spans="1:9" ht="14.25" customHeight="1" x14ac:dyDescent="0.25">
      <c r="E24" s="608"/>
      <c r="F24" s="566"/>
    </row>
    <row r="25" spans="1:9" ht="14.25" customHeight="1" x14ac:dyDescent="0.25">
      <c r="E25" s="608"/>
      <c r="F25" s="566"/>
    </row>
    <row r="26" spans="1:9" s="564" customFormat="1" ht="13.5" x14ac:dyDescent="0.25">
      <c r="A26" s="563"/>
      <c r="B26" s="609"/>
      <c r="C26" s="610"/>
      <c r="E26" s="611"/>
      <c r="F26" s="566"/>
      <c r="G26" s="565"/>
      <c r="H26" s="565"/>
      <c r="I26" s="563"/>
    </row>
  </sheetData>
  <mergeCells count="1">
    <mergeCell ref="A7:G7"/>
  </mergeCells>
  <phoneticPr fontId="0" type="noConversion"/>
  <printOptions horizontalCentered="1"/>
  <pageMargins left="0" right="0" top="0.55000000000000004" bottom="0.17" header="0.3" footer="0.15"/>
  <pageSetup paperSize="5" scale="79" orientation="landscape" cellComments="atEnd" r:id="rId1"/>
  <headerFooter alignWithMargins="0">
    <oddHeader xml:space="preserve">&amp;C&amp;"Arial,Bold"
</oddHeader>
    <oddFooter>&amp;Rpage 9 of 12
&amp;A
&amp;D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7"/>
  <sheetViews>
    <sheetView zoomScaleNormal="100" zoomScaleSheetLayoutView="75" workbookViewId="0">
      <pane xSplit="1" ySplit="7" topLeftCell="B29" activePane="bottomRight" state="frozen"/>
      <selection pane="topRight" activeCell="B34" sqref="B34"/>
      <selection pane="bottomLeft" activeCell="B34" sqref="B34"/>
      <selection pane="bottomRight" sqref="A1:N57"/>
    </sheetView>
  </sheetViews>
  <sheetFormatPr defaultColWidth="17" defaultRowHeight="12" x14ac:dyDescent="0.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x14ac:dyDescent="0.2">
      <c r="E1" s="244" t="s">
        <v>0</v>
      </c>
    </row>
    <row r="2" spans="1:14" x14ac:dyDescent="0.2">
      <c r="E2" s="244" t="s">
        <v>244</v>
      </c>
    </row>
    <row r="3" spans="1:14" x14ac:dyDescent="0.2">
      <c r="D3" s="248"/>
      <c r="E3" s="249" t="str">
        <f>'Program MW '!H3</f>
        <v>January 2019</v>
      </c>
      <c r="F3" s="248"/>
    </row>
    <row r="4" spans="1:14" ht="12.75" thickBot="1" x14ac:dyDescent="0.25"/>
    <row r="5" spans="1:14" x14ac:dyDescent="0.2">
      <c r="A5" s="250"/>
      <c r="B5" s="251"/>
      <c r="C5" s="251"/>
      <c r="D5" s="251"/>
      <c r="E5" s="251"/>
      <c r="F5" s="251"/>
      <c r="G5" s="251"/>
      <c r="H5" s="251"/>
      <c r="I5" s="251"/>
      <c r="J5" s="252"/>
      <c r="K5" s="251"/>
      <c r="L5" s="251"/>
      <c r="M5" s="490"/>
      <c r="N5" s="319"/>
    </row>
    <row r="6" spans="1:14" ht="24" x14ac:dyDescent="0.2">
      <c r="A6" s="253" t="s">
        <v>245</v>
      </c>
      <c r="B6" s="254" t="s">
        <v>3</v>
      </c>
      <c r="C6" s="254" t="s">
        <v>4</v>
      </c>
      <c r="D6" s="254" t="s">
        <v>5</v>
      </c>
      <c r="E6" s="254" t="s">
        <v>6</v>
      </c>
      <c r="F6" s="254" t="s">
        <v>7</v>
      </c>
      <c r="G6" s="254" t="s">
        <v>8</v>
      </c>
      <c r="H6" s="254" t="s">
        <v>37</v>
      </c>
      <c r="I6" s="254" t="s">
        <v>88</v>
      </c>
      <c r="J6" s="255" t="s">
        <v>89</v>
      </c>
      <c r="K6" s="254" t="s">
        <v>40</v>
      </c>
      <c r="L6" s="254" t="s">
        <v>90</v>
      </c>
      <c r="M6" s="491" t="s">
        <v>42</v>
      </c>
      <c r="N6" s="320" t="s">
        <v>246</v>
      </c>
    </row>
    <row r="7" spans="1:14" x14ac:dyDescent="0.2">
      <c r="A7" s="256"/>
      <c r="B7" s="257"/>
      <c r="C7" s="257"/>
      <c r="D7" s="257"/>
      <c r="E7" s="257"/>
      <c r="F7" s="257"/>
      <c r="G7" s="257"/>
      <c r="H7" s="257"/>
      <c r="I7" s="257"/>
      <c r="J7" s="258"/>
      <c r="K7" s="257"/>
      <c r="L7" s="257"/>
      <c r="M7" s="492"/>
      <c r="N7" s="321"/>
    </row>
    <row r="8" spans="1:14" x14ac:dyDescent="0.2">
      <c r="A8" s="259" t="s">
        <v>247</v>
      </c>
      <c r="B8" s="257"/>
      <c r="C8" s="257"/>
      <c r="D8" s="257"/>
      <c r="E8" s="257"/>
      <c r="F8" s="257"/>
      <c r="G8" s="257"/>
      <c r="H8" s="257"/>
      <c r="I8" s="257"/>
      <c r="J8" s="258"/>
      <c r="K8" s="257"/>
      <c r="L8" s="257"/>
      <c r="M8" s="492"/>
      <c r="N8" s="322"/>
    </row>
    <row r="9" spans="1:14" x14ac:dyDescent="0.2">
      <c r="A9" s="460" t="s">
        <v>248</v>
      </c>
      <c r="B9" s="646">
        <v>3.992</v>
      </c>
      <c r="C9" s="647">
        <v>0</v>
      </c>
      <c r="D9" s="647">
        <v>0</v>
      </c>
      <c r="E9" s="647">
        <v>0</v>
      </c>
      <c r="F9" s="647">
        <v>0</v>
      </c>
      <c r="G9" s="647">
        <v>0</v>
      </c>
      <c r="H9" s="647">
        <v>0</v>
      </c>
      <c r="I9" s="647">
        <v>0</v>
      </c>
      <c r="J9" s="647">
        <v>0</v>
      </c>
      <c r="K9" s="647">
        <v>0</v>
      </c>
      <c r="L9" s="647">
        <v>0</v>
      </c>
      <c r="M9" s="648">
        <v>0</v>
      </c>
      <c r="N9" s="645">
        <f t="shared" ref="N9:N32" si="0">SUM(B9:M9)</f>
        <v>3.992</v>
      </c>
    </row>
    <row r="10" spans="1:14" ht="13.5" x14ac:dyDescent="0.2">
      <c r="A10" s="460" t="s">
        <v>249</v>
      </c>
      <c r="B10" s="458">
        <v>8.7970000000000006</v>
      </c>
      <c r="C10" s="634">
        <v>0</v>
      </c>
      <c r="D10" s="634">
        <v>0</v>
      </c>
      <c r="E10" s="634">
        <v>0</v>
      </c>
      <c r="F10" s="634">
        <v>0</v>
      </c>
      <c r="G10" s="634">
        <v>0</v>
      </c>
      <c r="H10" s="634">
        <v>0</v>
      </c>
      <c r="I10" s="634">
        <v>0</v>
      </c>
      <c r="J10" s="634">
        <v>0</v>
      </c>
      <c r="K10" s="634">
        <v>0</v>
      </c>
      <c r="L10" s="634">
        <v>0</v>
      </c>
      <c r="M10" s="649">
        <v>0</v>
      </c>
      <c r="N10" s="645">
        <f t="shared" si="0"/>
        <v>8.7970000000000006</v>
      </c>
    </row>
    <row r="11" spans="1:14" ht="13.5" x14ac:dyDescent="0.2">
      <c r="A11" s="460" t="s">
        <v>250</v>
      </c>
      <c r="B11" s="458">
        <v>-3.8959999999999999</v>
      </c>
      <c r="C11" s="634">
        <v>0</v>
      </c>
      <c r="D11" s="634">
        <v>0</v>
      </c>
      <c r="E11" s="634">
        <v>0</v>
      </c>
      <c r="F11" s="634">
        <v>0</v>
      </c>
      <c r="G11" s="634">
        <v>0</v>
      </c>
      <c r="H11" s="634">
        <v>0</v>
      </c>
      <c r="I11" s="634">
        <v>0</v>
      </c>
      <c r="J11" s="634">
        <v>0</v>
      </c>
      <c r="K11" s="634">
        <v>0</v>
      </c>
      <c r="L11" s="634">
        <v>0</v>
      </c>
      <c r="M11" s="649">
        <v>0</v>
      </c>
      <c r="N11" s="645">
        <f t="shared" si="0"/>
        <v>-3.8959999999999999</v>
      </c>
    </row>
    <row r="12" spans="1:14" x14ac:dyDescent="0.2">
      <c r="A12" s="460" t="s">
        <v>206</v>
      </c>
      <c r="B12" s="458">
        <v>0</v>
      </c>
      <c r="C12" s="634">
        <v>0</v>
      </c>
      <c r="D12" s="634">
        <v>0</v>
      </c>
      <c r="E12" s="634">
        <v>0</v>
      </c>
      <c r="F12" s="634">
        <v>0</v>
      </c>
      <c r="G12" s="634">
        <v>0</v>
      </c>
      <c r="H12" s="634">
        <v>0</v>
      </c>
      <c r="I12" s="634">
        <v>0</v>
      </c>
      <c r="J12" s="634">
        <v>0</v>
      </c>
      <c r="K12" s="634">
        <v>0</v>
      </c>
      <c r="L12" s="634">
        <v>0</v>
      </c>
      <c r="M12" s="649">
        <v>0</v>
      </c>
      <c r="N12" s="645">
        <f t="shared" si="0"/>
        <v>0</v>
      </c>
    </row>
    <row r="13" spans="1:14" x14ac:dyDescent="0.2">
      <c r="A13" s="460" t="s">
        <v>187</v>
      </c>
      <c r="B13" s="458">
        <v>17.975999999999999</v>
      </c>
      <c r="C13" s="634">
        <v>0</v>
      </c>
      <c r="D13" s="634">
        <v>0</v>
      </c>
      <c r="E13" s="634">
        <v>0</v>
      </c>
      <c r="F13" s="634">
        <v>0</v>
      </c>
      <c r="G13" s="634">
        <v>0</v>
      </c>
      <c r="H13" s="634">
        <v>0</v>
      </c>
      <c r="I13" s="634">
        <v>0</v>
      </c>
      <c r="J13" s="634">
        <v>0</v>
      </c>
      <c r="K13" s="634">
        <v>0</v>
      </c>
      <c r="L13" s="634">
        <v>0</v>
      </c>
      <c r="M13" s="649">
        <v>0</v>
      </c>
      <c r="N13" s="645">
        <f t="shared" si="0"/>
        <v>17.975999999999999</v>
      </c>
    </row>
    <row r="14" spans="1:14" ht="14.25" x14ac:dyDescent="0.2">
      <c r="A14" s="461" t="s">
        <v>251</v>
      </c>
      <c r="B14" s="458">
        <v>-0.19400000000000001</v>
      </c>
      <c r="C14" s="634">
        <v>0</v>
      </c>
      <c r="D14" s="634">
        <v>0</v>
      </c>
      <c r="E14" s="634">
        <v>0</v>
      </c>
      <c r="F14" s="634">
        <v>0</v>
      </c>
      <c r="G14" s="634">
        <v>0</v>
      </c>
      <c r="H14" s="634">
        <v>0</v>
      </c>
      <c r="I14" s="634">
        <v>0</v>
      </c>
      <c r="J14" s="634">
        <v>0</v>
      </c>
      <c r="K14" s="634">
        <v>0</v>
      </c>
      <c r="L14" s="634">
        <v>0</v>
      </c>
      <c r="M14" s="649">
        <v>0</v>
      </c>
      <c r="N14" s="645">
        <f t="shared" si="0"/>
        <v>-0.19400000000000001</v>
      </c>
    </row>
    <row r="15" spans="1:14" x14ac:dyDescent="0.2">
      <c r="A15" s="460" t="s">
        <v>252</v>
      </c>
      <c r="B15" s="458">
        <v>9.7260000000000009</v>
      </c>
      <c r="C15" s="634">
        <v>0</v>
      </c>
      <c r="D15" s="634">
        <v>0</v>
      </c>
      <c r="E15" s="634">
        <v>0</v>
      </c>
      <c r="F15" s="634">
        <v>0</v>
      </c>
      <c r="G15" s="634">
        <v>0</v>
      </c>
      <c r="H15" s="634">
        <v>0</v>
      </c>
      <c r="I15" s="634">
        <v>0</v>
      </c>
      <c r="J15" s="634">
        <v>0</v>
      </c>
      <c r="K15" s="634">
        <v>0</v>
      </c>
      <c r="L15" s="634">
        <v>0</v>
      </c>
      <c r="M15" s="649">
        <v>0</v>
      </c>
      <c r="N15" s="645">
        <f t="shared" si="0"/>
        <v>9.7260000000000009</v>
      </c>
    </row>
    <row r="16" spans="1:14" x14ac:dyDescent="0.2">
      <c r="A16" s="460" t="s">
        <v>253</v>
      </c>
      <c r="B16" s="458">
        <v>13.273</v>
      </c>
      <c r="C16" s="634">
        <v>0</v>
      </c>
      <c r="D16" s="634">
        <v>0</v>
      </c>
      <c r="E16" s="634">
        <v>0</v>
      </c>
      <c r="F16" s="634">
        <v>0</v>
      </c>
      <c r="G16" s="634">
        <v>0</v>
      </c>
      <c r="H16" s="634">
        <v>0</v>
      </c>
      <c r="I16" s="634">
        <v>0</v>
      </c>
      <c r="J16" s="634">
        <v>0</v>
      </c>
      <c r="K16" s="634">
        <v>0</v>
      </c>
      <c r="L16" s="634">
        <v>0</v>
      </c>
      <c r="M16" s="649">
        <v>0</v>
      </c>
      <c r="N16" s="645">
        <f t="shared" si="0"/>
        <v>13.273</v>
      </c>
    </row>
    <row r="17" spans="1:15" x14ac:dyDescent="0.2">
      <c r="A17" s="460" t="s">
        <v>254</v>
      </c>
      <c r="B17" s="458">
        <v>21.32</v>
      </c>
      <c r="C17" s="634">
        <v>0</v>
      </c>
      <c r="D17" s="634">
        <v>0</v>
      </c>
      <c r="E17" s="634">
        <v>0</v>
      </c>
      <c r="F17" s="634">
        <v>0</v>
      </c>
      <c r="G17" s="634">
        <v>0</v>
      </c>
      <c r="H17" s="634">
        <v>0</v>
      </c>
      <c r="I17" s="634">
        <v>0</v>
      </c>
      <c r="J17" s="634">
        <v>0</v>
      </c>
      <c r="K17" s="634">
        <v>0</v>
      </c>
      <c r="L17" s="634">
        <v>0</v>
      </c>
      <c r="M17" s="649">
        <v>0</v>
      </c>
      <c r="N17" s="645">
        <f t="shared" si="0"/>
        <v>21.32</v>
      </c>
    </row>
    <row r="18" spans="1:15" x14ac:dyDescent="0.2">
      <c r="A18" s="460" t="s">
        <v>189</v>
      </c>
      <c r="B18" s="458">
        <v>79.647999999999996</v>
      </c>
      <c r="C18" s="634">
        <v>0</v>
      </c>
      <c r="D18" s="634">
        <v>0</v>
      </c>
      <c r="E18" s="634">
        <v>0</v>
      </c>
      <c r="F18" s="634">
        <v>0</v>
      </c>
      <c r="G18" s="634">
        <v>0</v>
      </c>
      <c r="H18" s="634">
        <v>0</v>
      </c>
      <c r="I18" s="634">
        <v>0</v>
      </c>
      <c r="J18" s="634">
        <v>0</v>
      </c>
      <c r="K18" s="634">
        <v>0</v>
      </c>
      <c r="L18" s="634">
        <v>0</v>
      </c>
      <c r="M18" s="649">
        <v>0</v>
      </c>
      <c r="N18" s="645">
        <f t="shared" si="0"/>
        <v>79.647999999999996</v>
      </c>
    </row>
    <row r="19" spans="1:15" x14ac:dyDescent="0.2">
      <c r="A19" s="460" t="s">
        <v>255</v>
      </c>
      <c r="B19" s="458">
        <v>0</v>
      </c>
      <c r="C19" s="634">
        <v>0</v>
      </c>
      <c r="D19" s="634">
        <v>0</v>
      </c>
      <c r="E19" s="634">
        <v>0</v>
      </c>
      <c r="F19" s="634">
        <v>0</v>
      </c>
      <c r="G19" s="634">
        <v>0</v>
      </c>
      <c r="H19" s="634">
        <v>0</v>
      </c>
      <c r="I19" s="634">
        <v>0</v>
      </c>
      <c r="J19" s="634">
        <v>0</v>
      </c>
      <c r="K19" s="634">
        <v>0</v>
      </c>
      <c r="L19" s="634">
        <v>0</v>
      </c>
      <c r="M19" s="649">
        <v>0</v>
      </c>
      <c r="N19" s="645">
        <f t="shared" si="0"/>
        <v>0</v>
      </c>
    </row>
    <row r="20" spans="1:15" x14ac:dyDescent="0.2">
      <c r="A20" s="460" t="s">
        <v>256</v>
      </c>
      <c r="B20" s="458">
        <v>4.1109999999999998</v>
      </c>
      <c r="C20" s="634">
        <v>0</v>
      </c>
      <c r="D20" s="634">
        <v>0</v>
      </c>
      <c r="E20" s="634">
        <v>0</v>
      </c>
      <c r="F20" s="634">
        <v>0</v>
      </c>
      <c r="G20" s="634">
        <v>0</v>
      </c>
      <c r="H20" s="634">
        <v>0</v>
      </c>
      <c r="I20" s="634">
        <v>0</v>
      </c>
      <c r="J20" s="634">
        <v>0</v>
      </c>
      <c r="K20" s="634">
        <v>0</v>
      </c>
      <c r="L20" s="634">
        <v>0</v>
      </c>
      <c r="M20" s="649">
        <v>0</v>
      </c>
      <c r="N20" s="645">
        <f t="shared" si="0"/>
        <v>4.1109999999999998</v>
      </c>
    </row>
    <row r="21" spans="1:15" ht="12.75" x14ac:dyDescent="0.2">
      <c r="A21" s="430" t="s">
        <v>257</v>
      </c>
      <c r="B21" s="458">
        <v>3.1850000000000001</v>
      </c>
      <c r="C21" s="634">
        <v>0</v>
      </c>
      <c r="D21" s="634">
        <v>0</v>
      </c>
      <c r="E21" s="634">
        <v>0</v>
      </c>
      <c r="F21" s="634">
        <v>0</v>
      </c>
      <c r="G21" s="634">
        <v>0</v>
      </c>
      <c r="H21" s="634">
        <v>0</v>
      </c>
      <c r="I21" s="634">
        <v>0</v>
      </c>
      <c r="J21" s="634">
        <v>0</v>
      </c>
      <c r="K21" s="634">
        <v>0</v>
      </c>
      <c r="L21" s="634">
        <v>0</v>
      </c>
      <c r="M21" s="649">
        <v>0</v>
      </c>
      <c r="N21" s="645">
        <f t="shared" si="0"/>
        <v>3.1850000000000001</v>
      </c>
    </row>
    <row r="22" spans="1:15" ht="12.75" x14ac:dyDescent="0.2">
      <c r="A22" s="430" t="s">
        <v>258</v>
      </c>
      <c r="B22" s="458">
        <v>0</v>
      </c>
      <c r="C22" s="634">
        <v>0</v>
      </c>
      <c r="D22" s="634">
        <v>0</v>
      </c>
      <c r="E22" s="634">
        <v>0</v>
      </c>
      <c r="F22" s="634">
        <v>0</v>
      </c>
      <c r="G22" s="634">
        <v>0</v>
      </c>
      <c r="H22" s="634">
        <v>0</v>
      </c>
      <c r="I22" s="634">
        <v>0</v>
      </c>
      <c r="J22" s="634">
        <v>0</v>
      </c>
      <c r="K22" s="634">
        <v>0</v>
      </c>
      <c r="L22" s="634">
        <v>0</v>
      </c>
      <c r="M22" s="649">
        <v>0</v>
      </c>
      <c r="N22" s="645">
        <f t="shared" si="0"/>
        <v>0</v>
      </c>
    </row>
    <row r="23" spans="1:15" x14ac:dyDescent="0.2">
      <c r="A23" s="460" t="s">
        <v>259</v>
      </c>
      <c r="B23" s="458">
        <v>123.34699999999999</v>
      </c>
      <c r="C23" s="634">
        <v>0</v>
      </c>
      <c r="D23" s="634">
        <v>0</v>
      </c>
      <c r="E23" s="634">
        <v>0</v>
      </c>
      <c r="F23" s="634">
        <v>0</v>
      </c>
      <c r="G23" s="634">
        <v>0</v>
      </c>
      <c r="H23" s="634">
        <v>0</v>
      </c>
      <c r="I23" s="634">
        <v>0</v>
      </c>
      <c r="J23" s="634">
        <v>0</v>
      </c>
      <c r="K23" s="634">
        <v>0</v>
      </c>
      <c r="L23" s="634">
        <v>0</v>
      </c>
      <c r="M23" s="649">
        <v>0</v>
      </c>
      <c r="N23" s="645">
        <f t="shared" si="0"/>
        <v>123.34699999999999</v>
      </c>
    </row>
    <row r="24" spans="1:15" x14ac:dyDescent="0.2">
      <c r="A24" s="460" t="s">
        <v>260</v>
      </c>
      <c r="B24" s="458">
        <v>31.242000000000001</v>
      </c>
      <c r="C24" s="634">
        <v>0</v>
      </c>
      <c r="D24" s="634">
        <v>0</v>
      </c>
      <c r="E24" s="634">
        <v>0</v>
      </c>
      <c r="F24" s="634">
        <v>0</v>
      </c>
      <c r="G24" s="634">
        <v>0</v>
      </c>
      <c r="H24" s="634">
        <v>0</v>
      </c>
      <c r="I24" s="634">
        <v>0</v>
      </c>
      <c r="J24" s="634">
        <v>0</v>
      </c>
      <c r="K24" s="634">
        <v>0</v>
      </c>
      <c r="L24" s="634">
        <v>0</v>
      </c>
      <c r="M24" s="649">
        <v>0</v>
      </c>
      <c r="N24" s="645">
        <f t="shared" si="0"/>
        <v>31.242000000000001</v>
      </c>
    </row>
    <row r="25" spans="1:15" x14ac:dyDescent="0.2">
      <c r="A25" s="460" t="s">
        <v>261</v>
      </c>
      <c r="B25" s="458">
        <v>43.570999999999998</v>
      </c>
      <c r="C25" s="634">
        <v>0</v>
      </c>
      <c r="D25" s="634">
        <v>0</v>
      </c>
      <c r="E25" s="634">
        <v>0</v>
      </c>
      <c r="F25" s="634">
        <v>0</v>
      </c>
      <c r="G25" s="634">
        <v>0</v>
      </c>
      <c r="H25" s="634">
        <v>0</v>
      </c>
      <c r="I25" s="634">
        <v>0</v>
      </c>
      <c r="J25" s="634">
        <v>0</v>
      </c>
      <c r="K25" s="634">
        <v>0</v>
      </c>
      <c r="L25" s="634">
        <v>0</v>
      </c>
      <c r="M25" s="649">
        <v>0</v>
      </c>
      <c r="N25" s="645">
        <f t="shared" si="0"/>
        <v>43.570999999999998</v>
      </c>
    </row>
    <row r="26" spans="1:15" x14ac:dyDescent="0.2">
      <c r="A26" s="460" t="s">
        <v>191</v>
      </c>
      <c r="B26" s="458">
        <v>67.688000000000002</v>
      </c>
      <c r="C26" s="634">
        <v>0</v>
      </c>
      <c r="D26" s="634">
        <v>0</v>
      </c>
      <c r="E26" s="634">
        <v>0</v>
      </c>
      <c r="F26" s="634">
        <v>0</v>
      </c>
      <c r="G26" s="634">
        <v>0</v>
      </c>
      <c r="H26" s="634">
        <v>0</v>
      </c>
      <c r="I26" s="634">
        <v>0</v>
      </c>
      <c r="J26" s="634">
        <v>0</v>
      </c>
      <c r="K26" s="634">
        <v>0</v>
      </c>
      <c r="L26" s="634">
        <v>0</v>
      </c>
      <c r="M26" s="649">
        <v>0</v>
      </c>
      <c r="N26" s="645">
        <f t="shared" si="0"/>
        <v>67.688000000000002</v>
      </c>
    </row>
    <row r="27" spans="1:15" s="261" customFormat="1" x14ac:dyDescent="0.2">
      <c r="A27" s="460" t="s">
        <v>159</v>
      </c>
      <c r="B27" s="458">
        <v>0</v>
      </c>
      <c r="C27" s="634">
        <v>0</v>
      </c>
      <c r="D27" s="634">
        <v>0</v>
      </c>
      <c r="E27" s="634">
        <v>0</v>
      </c>
      <c r="F27" s="634">
        <v>0</v>
      </c>
      <c r="G27" s="634">
        <v>0</v>
      </c>
      <c r="H27" s="634">
        <v>0</v>
      </c>
      <c r="I27" s="634">
        <v>0</v>
      </c>
      <c r="J27" s="634">
        <v>0</v>
      </c>
      <c r="K27" s="634">
        <v>0</v>
      </c>
      <c r="L27" s="634">
        <v>0</v>
      </c>
      <c r="M27" s="649">
        <v>0</v>
      </c>
      <c r="N27" s="645">
        <f t="shared" si="0"/>
        <v>0</v>
      </c>
      <c r="O27" s="246"/>
    </row>
    <row r="28" spans="1:15" s="261" customFormat="1" ht="13.5" x14ac:dyDescent="0.2">
      <c r="A28" s="460" t="s">
        <v>262</v>
      </c>
      <c r="B28" s="458">
        <v>112.672</v>
      </c>
      <c r="C28" s="634">
        <v>0</v>
      </c>
      <c r="D28" s="634">
        <v>0</v>
      </c>
      <c r="E28" s="634">
        <v>0</v>
      </c>
      <c r="F28" s="634">
        <v>0</v>
      </c>
      <c r="G28" s="634">
        <v>0</v>
      </c>
      <c r="H28" s="634">
        <v>0</v>
      </c>
      <c r="I28" s="634">
        <v>0</v>
      </c>
      <c r="J28" s="634">
        <v>0</v>
      </c>
      <c r="K28" s="634">
        <v>0</v>
      </c>
      <c r="L28" s="634">
        <v>0</v>
      </c>
      <c r="M28" s="649">
        <v>0</v>
      </c>
      <c r="N28" s="645">
        <f t="shared" si="0"/>
        <v>112.672</v>
      </c>
    </row>
    <row r="29" spans="1:15" s="261" customFormat="1" ht="14.25" x14ac:dyDescent="0.2">
      <c r="A29" s="460" t="s">
        <v>263</v>
      </c>
      <c r="B29" s="458">
        <v>-7.625</v>
      </c>
      <c r="C29" s="634">
        <v>0</v>
      </c>
      <c r="D29" s="634">
        <v>0</v>
      </c>
      <c r="E29" s="634">
        <v>0</v>
      </c>
      <c r="F29" s="634">
        <v>0</v>
      </c>
      <c r="G29" s="634">
        <v>0</v>
      </c>
      <c r="H29" s="634">
        <v>0</v>
      </c>
      <c r="I29" s="634">
        <v>0</v>
      </c>
      <c r="J29" s="634">
        <v>0</v>
      </c>
      <c r="K29" s="634">
        <v>0</v>
      </c>
      <c r="L29" s="634">
        <v>0</v>
      </c>
      <c r="M29" s="649">
        <v>0</v>
      </c>
      <c r="N29" s="645">
        <f t="shared" si="0"/>
        <v>-7.625</v>
      </c>
    </row>
    <row r="30" spans="1:15" s="261" customFormat="1" ht="13.5" x14ac:dyDescent="0.2">
      <c r="A30" s="460" t="s">
        <v>264</v>
      </c>
      <c r="B30" s="458">
        <v>1.3660000000000001</v>
      </c>
      <c r="C30" s="634">
        <v>0</v>
      </c>
      <c r="D30" s="634">
        <v>0</v>
      </c>
      <c r="E30" s="634">
        <v>0</v>
      </c>
      <c r="F30" s="634">
        <v>0</v>
      </c>
      <c r="G30" s="634">
        <v>0</v>
      </c>
      <c r="H30" s="634">
        <v>0</v>
      </c>
      <c r="I30" s="634">
        <v>0</v>
      </c>
      <c r="J30" s="634">
        <v>0</v>
      </c>
      <c r="K30" s="634">
        <v>0</v>
      </c>
      <c r="L30" s="634">
        <v>0</v>
      </c>
      <c r="M30" s="649">
        <v>0</v>
      </c>
      <c r="N30" s="645">
        <f t="shared" si="0"/>
        <v>1.3660000000000001</v>
      </c>
    </row>
    <row r="31" spans="1:15" s="261" customFormat="1" x14ac:dyDescent="0.2">
      <c r="A31" s="460" t="s">
        <v>265</v>
      </c>
      <c r="B31" s="458">
        <v>42.610999999999997</v>
      </c>
      <c r="C31" s="634">
        <v>0</v>
      </c>
      <c r="D31" s="634">
        <v>0</v>
      </c>
      <c r="E31" s="634">
        <v>0</v>
      </c>
      <c r="F31" s="634">
        <v>0</v>
      </c>
      <c r="G31" s="634">
        <v>0</v>
      </c>
      <c r="H31" s="634">
        <v>0</v>
      </c>
      <c r="I31" s="634">
        <v>0</v>
      </c>
      <c r="J31" s="634">
        <v>0</v>
      </c>
      <c r="K31" s="634">
        <v>0</v>
      </c>
      <c r="L31" s="634">
        <v>0</v>
      </c>
      <c r="M31" s="649">
        <v>0</v>
      </c>
      <c r="N31" s="645">
        <f t="shared" si="0"/>
        <v>42.610999999999997</v>
      </c>
    </row>
    <row r="32" spans="1:15" s="261" customFormat="1" x14ac:dyDescent="0.2">
      <c r="A32" s="460" t="s">
        <v>266</v>
      </c>
      <c r="B32" s="650">
        <v>100.67400000000001</v>
      </c>
      <c r="C32" s="651">
        <v>0</v>
      </c>
      <c r="D32" s="651">
        <v>0</v>
      </c>
      <c r="E32" s="651">
        <v>0</v>
      </c>
      <c r="F32" s="651">
        <v>0</v>
      </c>
      <c r="G32" s="651">
        <v>0</v>
      </c>
      <c r="H32" s="651">
        <v>0</v>
      </c>
      <c r="I32" s="651">
        <v>0</v>
      </c>
      <c r="J32" s="651">
        <v>0</v>
      </c>
      <c r="K32" s="651">
        <v>0</v>
      </c>
      <c r="L32" s="651">
        <v>0</v>
      </c>
      <c r="M32" s="652">
        <v>0</v>
      </c>
      <c r="N32" s="645">
        <f t="shared" si="0"/>
        <v>100.67400000000001</v>
      </c>
    </row>
    <row r="33" spans="1:15" ht="12.75" thickBot="1" x14ac:dyDescent="0.25">
      <c r="A33" s="493" t="s">
        <v>267</v>
      </c>
      <c r="B33" s="641">
        <f t="shared" ref="B33:N33" si="1">SUM(B9:B32)</f>
        <v>673.48399999999992</v>
      </c>
      <c r="C33" s="642">
        <f t="shared" si="1"/>
        <v>0</v>
      </c>
      <c r="D33" s="642">
        <f t="shared" si="1"/>
        <v>0</v>
      </c>
      <c r="E33" s="642">
        <f t="shared" si="1"/>
        <v>0</v>
      </c>
      <c r="F33" s="642">
        <f t="shared" si="1"/>
        <v>0</v>
      </c>
      <c r="G33" s="642">
        <f t="shared" si="1"/>
        <v>0</v>
      </c>
      <c r="H33" s="642">
        <f t="shared" si="1"/>
        <v>0</v>
      </c>
      <c r="I33" s="642">
        <f t="shared" si="1"/>
        <v>0</v>
      </c>
      <c r="J33" s="642">
        <f t="shared" si="1"/>
        <v>0</v>
      </c>
      <c r="K33" s="642">
        <f t="shared" si="1"/>
        <v>0</v>
      </c>
      <c r="L33" s="642">
        <f t="shared" si="1"/>
        <v>0</v>
      </c>
      <c r="M33" s="644">
        <f t="shared" si="1"/>
        <v>0</v>
      </c>
      <c r="N33" s="643">
        <f t="shared" si="1"/>
        <v>673.48399999999992</v>
      </c>
    </row>
    <row r="34" spans="1:15" x14ac:dyDescent="0.2">
      <c r="A34" s="460"/>
      <c r="B34" s="458"/>
      <c r="C34" s="260"/>
      <c r="D34" s="260"/>
      <c r="E34" s="260"/>
      <c r="F34" s="260"/>
      <c r="G34" s="260"/>
      <c r="H34" s="260"/>
      <c r="I34" s="260"/>
      <c r="J34" s="260"/>
      <c r="K34" s="260"/>
      <c r="L34" s="260"/>
      <c r="M34" s="260"/>
      <c r="N34" s="323"/>
    </row>
    <row r="35" spans="1:15" s="261" customFormat="1" x14ac:dyDescent="0.2">
      <c r="A35" s="459" t="s">
        <v>268</v>
      </c>
      <c r="B35" s="458"/>
      <c r="C35" s="260"/>
      <c r="D35" s="260"/>
      <c r="E35" s="260"/>
      <c r="F35" s="260"/>
      <c r="G35" s="260"/>
      <c r="H35" s="260"/>
      <c r="I35" s="260"/>
      <c r="J35" s="260"/>
      <c r="K35" s="260"/>
      <c r="L35" s="260"/>
      <c r="M35" s="260"/>
      <c r="N35" s="323"/>
      <c r="O35" s="246"/>
    </row>
    <row r="36" spans="1:15" x14ac:dyDescent="0.2">
      <c r="A36" s="460" t="s">
        <v>248</v>
      </c>
      <c r="B36" s="458">
        <v>46.45</v>
      </c>
      <c r="C36" s="260">
        <v>0</v>
      </c>
      <c r="D36" s="260">
        <v>0</v>
      </c>
      <c r="E36" s="260">
        <v>0</v>
      </c>
      <c r="F36" s="260">
        <v>0</v>
      </c>
      <c r="G36" s="260">
        <v>0</v>
      </c>
      <c r="H36" s="260">
        <v>0</v>
      </c>
      <c r="I36" s="260">
        <v>0</v>
      </c>
      <c r="J36" s="260">
        <v>0</v>
      </c>
      <c r="K36" s="260">
        <v>0</v>
      </c>
      <c r="L36" s="260">
        <v>0</v>
      </c>
      <c r="M36" s="260">
        <v>0</v>
      </c>
      <c r="N36" s="323">
        <f t="shared" ref="N36:N47" si="2">B36+C36+D36+E36+F36+G36+H36+I36+J36+K36+L36+M36</f>
        <v>46.45</v>
      </c>
    </row>
    <row r="37" spans="1:15" x14ac:dyDescent="0.2">
      <c r="A37" s="460" t="s">
        <v>269</v>
      </c>
      <c r="B37" s="458">
        <v>0</v>
      </c>
      <c r="C37" s="260">
        <v>0</v>
      </c>
      <c r="D37" s="260">
        <v>0</v>
      </c>
      <c r="E37" s="260">
        <v>0</v>
      </c>
      <c r="F37" s="260">
        <v>0</v>
      </c>
      <c r="G37" s="260">
        <v>0</v>
      </c>
      <c r="H37" s="260">
        <v>0</v>
      </c>
      <c r="I37" s="260">
        <v>0</v>
      </c>
      <c r="J37" s="260">
        <v>0</v>
      </c>
      <c r="K37" s="260">
        <v>0</v>
      </c>
      <c r="L37" s="260">
        <v>0</v>
      </c>
      <c r="M37" s="260">
        <v>0</v>
      </c>
      <c r="N37" s="323">
        <f t="shared" si="2"/>
        <v>0</v>
      </c>
    </row>
    <row r="38" spans="1:15" x14ac:dyDescent="0.2">
      <c r="A38" s="460" t="s">
        <v>270</v>
      </c>
      <c r="B38" s="458">
        <v>2.98</v>
      </c>
      <c r="C38" s="260">
        <v>0</v>
      </c>
      <c r="D38" s="260">
        <v>0</v>
      </c>
      <c r="E38" s="260">
        <v>0</v>
      </c>
      <c r="F38" s="260">
        <v>0</v>
      </c>
      <c r="G38" s="260">
        <v>0</v>
      </c>
      <c r="H38" s="260">
        <v>0</v>
      </c>
      <c r="I38" s="260">
        <v>0</v>
      </c>
      <c r="J38" s="260">
        <v>0</v>
      </c>
      <c r="K38" s="260">
        <v>0</v>
      </c>
      <c r="L38" s="260">
        <v>0</v>
      </c>
      <c r="M38" s="260">
        <v>0</v>
      </c>
      <c r="N38" s="323">
        <f t="shared" si="2"/>
        <v>2.98</v>
      </c>
    </row>
    <row r="39" spans="1:15" x14ac:dyDescent="0.2">
      <c r="A39" s="460" t="s">
        <v>187</v>
      </c>
      <c r="B39" s="458">
        <v>0</v>
      </c>
      <c r="C39" s="260">
        <v>0</v>
      </c>
      <c r="D39" s="260">
        <v>0</v>
      </c>
      <c r="E39" s="260">
        <v>0</v>
      </c>
      <c r="F39" s="260">
        <v>0</v>
      </c>
      <c r="G39" s="260">
        <v>0</v>
      </c>
      <c r="H39" s="260">
        <v>0</v>
      </c>
      <c r="I39" s="260">
        <v>0</v>
      </c>
      <c r="J39" s="260">
        <v>0</v>
      </c>
      <c r="K39" s="260">
        <v>0</v>
      </c>
      <c r="L39" s="260">
        <v>0</v>
      </c>
      <c r="M39" s="260">
        <v>0</v>
      </c>
      <c r="N39" s="323">
        <f t="shared" si="2"/>
        <v>0</v>
      </c>
    </row>
    <row r="40" spans="1:15" x14ac:dyDescent="0.2">
      <c r="A40" s="460" t="str">
        <f>A15</f>
        <v>Demand Response Auction Mechanism (DRAM)</v>
      </c>
      <c r="B40" s="458">
        <v>87.307000000000002</v>
      </c>
      <c r="C40" s="260">
        <v>0</v>
      </c>
      <c r="D40" s="260">
        <v>0</v>
      </c>
      <c r="E40" s="260">
        <v>0</v>
      </c>
      <c r="F40" s="260">
        <v>0</v>
      </c>
      <c r="G40" s="260">
        <v>0</v>
      </c>
      <c r="H40" s="260">
        <v>0</v>
      </c>
      <c r="I40" s="260">
        <v>0</v>
      </c>
      <c r="J40" s="260">
        <v>0</v>
      </c>
      <c r="K40" s="260">
        <v>0</v>
      </c>
      <c r="L40" s="260">
        <v>0</v>
      </c>
      <c r="M40" s="260">
        <v>0</v>
      </c>
      <c r="N40" s="323">
        <f t="shared" si="2"/>
        <v>87.307000000000002</v>
      </c>
    </row>
    <row r="41" spans="1:15" x14ac:dyDescent="0.2">
      <c r="A41" s="461" t="s">
        <v>254</v>
      </c>
      <c r="B41" s="458">
        <v>21.524999999999999</v>
      </c>
      <c r="C41" s="260">
        <v>0</v>
      </c>
      <c r="D41" s="260">
        <v>0</v>
      </c>
      <c r="E41" s="260">
        <v>0</v>
      </c>
      <c r="F41" s="260">
        <v>0</v>
      </c>
      <c r="G41" s="260">
        <v>0</v>
      </c>
      <c r="H41" s="260">
        <v>0</v>
      </c>
      <c r="I41" s="260">
        <v>0</v>
      </c>
      <c r="J41" s="260">
        <v>0</v>
      </c>
      <c r="K41" s="260">
        <v>0</v>
      </c>
      <c r="L41" s="260">
        <v>0</v>
      </c>
      <c r="M41" s="260">
        <v>0</v>
      </c>
      <c r="N41" s="323">
        <f t="shared" si="2"/>
        <v>21.524999999999999</v>
      </c>
    </row>
    <row r="42" spans="1:15" x14ac:dyDescent="0.2">
      <c r="A42" s="460" t="s">
        <v>189</v>
      </c>
      <c r="B42" s="458">
        <v>13.416</v>
      </c>
      <c r="C42" s="260">
        <v>0</v>
      </c>
      <c r="D42" s="260">
        <v>0</v>
      </c>
      <c r="E42" s="260">
        <v>0</v>
      </c>
      <c r="F42" s="260">
        <v>0</v>
      </c>
      <c r="G42" s="260">
        <v>0</v>
      </c>
      <c r="H42" s="260">
        <v>0</v>
      </c>
      <c r="I42" s="260">
        <v>0</v>
      </c>
      <c r="J42" s="260">
        <v>0</v>
      </c>
      <c r="K42" s="260">
        <v>0</v>
      </c>
      <c r="L42" s="260">
        <v>0</v>
      </c>
      <c r="M42" s="260">
        <v>0</v>
      </c>
      <c r="N42" s="323">
        <f t="shared" si="2"/>
        <v>13.416</v>
      </c>
    </row>
    <row r="43" spans="1:15" x14ac:dyDescent="0.2">
      <c r="A43" s="460" t="s">
        <v>255</v>
      </c>
      <c r="B43" s="458">
        <v>0</v>
      </c>
      <c r="C43" s="260">
        <v>0</v>
      </c>
      <c r="D43" s="260">
        <v>0</v>
      </c>
      <c r="E43" s="260">
        <v>0</v>
      </c>
      <c r="F43" s="260">
        <v>0</v>
      </c>
      <c r="G43" s="260">
        <v>0</v>
      </c>
      <c r="H43" s="260">
        <v>0</v>
      </c>
      <c r="I43" s="260">
        <v>0</v>
      </c>
      <c r="J43" s="260">
        <v>0</v>
      </c>
      <c r="K43" s="260">
        <v>0</v>
      </c>
      <c r="L43" s="260">
        <v>0</v>
      </c>
      <c r="M43" s="260">
        <v>0</v>
      </c>
      <c r="N43" s="323">
        <f t="shared" si="2"/>
        <v>0</v>
      </c>
    </row>
    <row r="44" spans="1:15" ht="12.75" x14ac:dyDescent="0.2">
      <c r="A44" s="430" t="s">
        <v>257</v>
      </c>
      <c r="B44" s="458">
        <v>0</v>
      </c>
      <c r="C44" s="260">
        <v>0</v>
      </c>
      <c r="D44" s="260">
        <v>0</v>
      </c>
      <c r="E44" s="260">
        <v>0</v>
      </c>
      <c r="F44" s="260">
        <v>0</v>
      </c>
      <c r="G44" s="260">
        <v>0</v>
      </c>
      <c r="H44" s="260">
        <v>0</v>
      </c>
      <c r="I44" s="260">
        <v>0</v>
      </c>
      <c r="J44" s="260">
        <v>0</v>
      </c>
      <c r="K44" s="260">
        <v>0</v>
      </c>
      <c r="L44" s="260">
        <v>0</v>
      </c>
      <c r="M44" s="260">
        <v>0</v>
      </c>
      <c r="N44" s="323">
        <f t="shared" si="2"/>
        <v>0</v>
      </c>
    </row>
    <row r="45" spans="1:15" x14ac:dyDescent="0.2">
      <c r="A45" s="460" t="s">
        <v>271</v>
      </c>
      <c r="B45" s="458">
        <v>0</v>
      </c>
      <c r="C45" s="260">
        <v>0</v>
      </c>
      <c r="D45" s="260">
        <v>0</v>
      </c>
      <c r="E45" s="260">
        <v>0</v>
      </c>
      <c r="F45" s="260">
        <v>0</v>
      </c>
      <c r="G45" s="260">
        <v>0</v>
      </c>
      <c r="H45" s="260">
        <v>0</v>
      </c>
      <c r="I45" s="260">
        <v>0</v>
      </c>
      <c r="J45" s="260">
        <v>0</v>
      </c>
      <c r="K45" s="260">
        <v>0</v>
      </c>
      <c r="L45" s="260">
        <v>0</v>
      </c>
      <c r="M45" s="260">
        <v>0</v>
      </c>
      <c r="N45" s="323">
        <f t="shared" si="2"/>
        <v>0</v>
      </c>
    </row>
    <row r="46" spans="1:15" x14ac:dyDescent="0.2">
      <c r="A46" s="461" t="s">
        <v>272</v>
      </c>
      <c r="B46" s="458">
        <v>0</v>
      </c>
      <c r="C46" s="260">
        <v>0</v>
      </c>
      <c r="D46" s="260">
        <v>0</v>
      </c>
      <c r="E46" s="260">
        <v>0</v>
      </c>
      <c r="F46" s="260">
        <v>0</v>
      </c>
      <c r="G46" s="260">
        <v>0</v>
      </c>
      <c r="H46" s="260">
        <v>0</v>
      </c>
      <c r="I46" s="260">
        <v>0</v>
      </c>
      <c r="J46" s="260">
        <v>0</v>
      </c>
      <c r="K46" s="260">
        <v>0</v>
      </c>
      <c r="L46" s="260">
        <v>0</v>
      </c>
      <c r="M46" s="260">
        <v>0</v>
      </c>
      <c r="N46" s="323">
        <f t="shared" si="2"/>
        <v>0</v>
      </c>
    </row>
    <row r="47" spans="1:15" ht="14.25" x14ac:dyDescent="0.2">
      <c r="A47" s="461" t="s">
        <v>273</v>
      </c>
      <c r="B47" s="458">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x14ac:dyDescent="0.25">
      <c r="A48" s="455" t="s">
        <v>274</v>
      </c>
      <c r="B48" s="462">
        <f t="shared" ref="B48:N48" si="3">SUM(B36:B47)</f>
        <v>49.878</v>
      </c>
      <c r="C48" s="462">
        <f t="shared" si="3"/>
        <v>0</v>
      </c>
      <c r="D48" s="462">
        <f t="shared" si="3"/>
        <v>0</v>
      </c>
      <c r="E48" s="462">
        <f t="shared" si="3"/>
        <v>0</v>
      </c>
      <c r="F48" s="462">
        <f t="shared" si="3"/>
        <v>0</v>
      </c>
      <c r="G48" s="462">
        <f t="shared" si="3"/>
        <v>0</v>
      </c>
      <c r="H48" s="462">
        <f t="shared" si="3"/>
        <v>0</v>
      </c>
      <c r="I48" s="462">
        <f t="shared" si="3"/>
        <v>0</v>
      </c>
      <c r="J48" s="462">
        <f t="shared" si="3"/>
        <v>0</v>
      </c>
      <c r="K48" s="462">
        <f t="shared" si="3"/>
        <v>0</v>
      </c>
      <c r="L48" s="462">
        <f t="shared" si="3"/>
        <v>0</v>
      </c>
      <c r="M48" s="635">
        <f t="shared" si="3"/>
        <v>0</v>
      </c>
      <c r="N48" s="463">
        <f t="shared" si="3"/>
        <v>49.878</v>
      </c>
    </row>
    <row r="49" spans="1:14" ht="20.25" customHeight="1" thickBot="1" x14ac:dyDescent="0.25">
      <c r="A49" s="263" t="s">
        <v>275</v>
      </c>
      <c r="B49" s="262">
        <f t="shared" ref="B49:N49" si="4">B48+B33</f>
        <v>723.36199999999997</v>
      </c>
      <c r="C49" s="262">
        <f t="shared" si="4"/>
        <v>0</v>
      </c>
      <c r="D49" s="262">
        <f t="shared" si="4"/>
        <v>0</v>
      </c>
      <c r="E49" s="262">
        <f t="shared" si="4"/>
        <v>0</v>
      </c>
      <c r="F49" s="262">
        <f t="shared" si="4"/>
        <v>0</v>
      </c>
      <c r="G49" s="262">
        <f t="shared" si="4"/>
        <v>0</v>
      </c>
      <c r="H49" s="262">
        <f t="shared" si="4"/>
        <v>0</v>
      </c>
      <c r="I49" s="262">
        <f t="shared" si="4"/>
        <v>0</v>
      </c>
      <c r="J49" s="262">
        <f t="shared" si="4"/>
        <v>0</v>
      </c>
      <c r="K49" s="262">
        <f t="shared" si="4"/>
        <v>0</v>
      </c>
      <c r="L49" s="462">
        <f t="shared" si="4"/>
        <v>0</v>
      </c>
      <c r="M49" s="262">
        <f t="shared" si="4"/>
        <v>0</v>
      </c>
      <c r="N49" s="457">
        <f t="shared" si="4"/>
        <v>723.36199999999997</v>
      </c>
    </row>
    <row r="50" spans="1:14" ht="16.149999999999999" customHeight="1" x14ac:dyDescent="0.2">
      <c r="A50" s="264"/>
      <c r="B50" s="262"/>
      <c r="C50" s="262"/>
      <c r="D50" s="262"/>
      <c r="E50" s="262"/>
      <c r="F50" s="262"/>
      <c r="G50" s="262"/>
      <c r="H50" s="262"/>
      <c r="I50" s="262"/>
      <c r="J50" s="265"/>
      <c r="K50" s="262"/>
      <c r="L50" s="262"/>
      <c r="M50" s="262"/>
      <c r="N50" s="456"/>
    </row>
    <row r="51" spans="1:14" ht="30.4" customHeight="1" thickBot="1" x14ac:dyDescent="0.25">
      <c r="A51" s="266" t="s">
        <v>276</v>
      </c>
      <c r="B51" s="267">
        <f>0.76+B49</f>
        <v>724.12199999999996</v>
      </c>
      <c r="C51" s="268">
        <v>0</v>
      </c>
      <c r="D51" s="268">
        <v>0</v>
      </c>
      <c r="E51" s="544">
        <v>0</v>
      </c>
      <c r="F51" s="268">
        <v>0</v>
      </c>
      <c r="G51" s="268">
        <v>0</v>
      </c>
      <c r="H51" s="268">
        <v>0</v>
      </c>
      <c r="I51" s="268">
        <v>0</v>
      </c>
      <c r="J51" s="268">
        <v>0</v>
      </c>
      <c r="K51" s="268">
        <v>0</v>
      </c>
      <c r="L51" s="268">
        <v>0</v>
      </c>
      <c r="M51" s="268">
        <v>0</v>
      </c>
      <c r="N51" s="324">
        <f>SUM(B51:M51)</f>
        <v>724.12199999999996</v>
      </c>
    </row>
    <row r="52" spans="1:14" ht="12.75" customHeight="1" x14ac:dyDescent="0.2">
      <c r="A52" s="311"/>
      <c r="B52" s="312"/>
      <c r="C52" s="312"/>
      <c r="D52" s="312"/>
      <c r="E52" s="312"/>
      <c r="F52" s="312"/>
      <c r="G52" s="312"/>
      <c r="H52" s="312"/>
      <c r="I52" s="312"/>
      <c r="J52" s="312"/>
      <c r="K52" s="312"/>
      <c r="L52" s="312"/>
      <c r="M52" s="312"/>
      <c r="N52" s="313"/>
    </row>
    <row r="53" spans="1:14" s="261" customFormat="1" ht="16.5" x14ac:dyDescent="0.2">
      <c r="A53" s="407" t="s">
        <v>162</v>
      </c>
      <c r="G53" s="260"/>
      <c r="H53" s="260"/>
      <c r="J53" s="386"/>
    </row>
    <row r="54" spans="1:14" s="261" customFormat="1" ht="16.5" x14ac:dyDescent="0.2">
      <c r="A54" s="421" t="s">
        <v>277</v>
      </c>
      <c r="G54" s="260"/>
      <c r="H54" s="260"/>
      <c r="J54" s="386"/>
    </row>
    <row r="55" spans="1:14" s="248" customFormat="1" ht="16.5" x14ac:dyDescent="0.2">
      <c r="A55" s="421" t="s">
        <v>278</v>
      </c>
      <c r="J55" s="350"/>
    </row>
    <row r="56" spans="1:14" s="248" customFormat="1" ht="14.25" x14ac:dyDescent="0.2">
      <c r="A56" s="421"/>
      <c r="J56" s="350"/>
    </row>
    <row r="57" spans="1:14" ht="12.75" x14ac:dyDescent="0.2">
      <c r="A57" s="284" t="s">
        <v>50</v>
      </c>
    </row>
  </sheetData>
  <printOptions horizontalCentered="1"/>
  <pageMargins left="0" right="0" top="0.55000000000000004" bottom="0" header="0.3" footer="0.15"/>
  <pageSetup paperSize="5" scale="80" orientation="landscape" cellComments="atEnd" r:id="rId1"/>
  <headerFooter alignWithMargins="0">
    <oddHeader xml:space="preserve">&amp;C&amp;"Arial,Bold"
</oddHeader>
    <oddFooter>&amp;Rpage 10 of 12
&amp;A
&amp;D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zoomScaleNormal="100" zoomScaleSheetLayoutView="75" workbookViewId="0">
      <selection sqref="A1:N36"/>
    </sheetView>
  </sheetViews>
  <sheetFormatPr defaultColWidth="9.140625" defaultRowHeight="12.75" x14ac:dyDescent="0.2"/>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x14ac:dyDescent="0.2">
      <c r="E2" s="175" t="s">
        <v>0</v>
      </c>
    </row>
    <row r="3" spans="1:14" x14ac:dyDescent="0.2">
      <c r="C3" s="187"/>
      <c r="D3" s="187"/>
      <c r="E3" s="188" t="s">
        <v>279</v>
      </c>
      <c r="F3" s="187"/>
      <c r="G3" s="187"/>
    </row>
    <row r="4" spans="1:14" x14ac:dyDescent="0.2">
      <c r="A4" s="26"/>
      <c r="D4" s="187"/>
      <c r="E4" s="178" t="str">
        <f>'Program MW '!H3</f>
        <v>January 2019</v>
      </c>
      <c r="F4" s="187"/>
    </row>
    <row r="5" spans="1:14" x14ac:dyDescent="0.2">
      <c r="A5" s="26"/>
      <c r="E5" s="178"/>
    </row>
    <row r="6" spans="1:14" ht="13.5" thickBot="1" x14ac:dyDescent="0.25">
      <c r="A6" s="26"/>
      <c r="E6" s="178"/>
    </row>
    <row r="7" spans="1:14" ht="31.9" customHeight="1" x14ac:dyDescent="0.2">
      <c r="A7" s="27" t="s">
        <v>245</v>
      </c>
      <c r="B7" s="28" t="s">
        <v>3</v>
      </c>
      <c r="C7" s="28" t="s">
        <v>4</v>
      </c>
      <c r="D7" s="28" t="s">
        <v>5</v>
      </c>
      <c r="E7" s="28" t="s">
        <v>6</v>
      </c>
      <c r="F7" s="28" t="s">
        <v>7</v>
      </c>
      <c r="G7" s="28" t="s">
        <v>8</v>
      </c>
      <c r="H7" s="28" t="s">
        <v>37</v>
      </c>
      <c r="I7" s="28" t="s">
        <v>88</v>
      </c>
      <c r="J7" s="28" t="s">
        <v>89</v>
      </c>
      <c r="K7" s="28" t="s">
        <v>40</v>
      </c>
      <c r="L7" s="28" t="s">
        <v>90</v>
      </c>
      <c r="M7" s="28" t="s">
        <v>42</v>
      </c>
      <c r="N7" s="29" t="s">
        <v>280</v>
      </c>
    </row>
    <row r="8" spans="1:14" ht="16.5" x14ac:dyDescent="0.25">
      <c r="A8" s="30" t="s">
        <v>281</v>
      </c>
      <c r="N8" s="31"/>
    </row>
    <row r="9" spans="1:14" ht="6" customHeight="1" x14ac:dyDescent="0.2">
      <c r="A9" s="32"/>
      <c r="N9" s="31"/>
    </row>
    <row r="10" spans="1:14" x14ac:dyDescent="0.2">
      <c r="A10" s="32" t="s">
        <v>247</v>
      </c>
      <c r="N10" s="31"/>
    </row>
    <row r="11" spans="1:14" x14ac:dyDescent="0.2">
      <c r="A11" s="33" t="s">
        <v>282</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x14ac:dyDescent="0.2">
      <c r="A12" s="33" t="s">
        <v>283</v>
      </c>
      <c r="B12" s="34">
        <v>2.5299999999999998</v>
      </c>
      <c r="C12" s="34">
        <v>0</v>
      </c>
      <c r="D12" s="285">
        <v>0</v>
      </c>
      <c r="E12" s="285">
        <v>0</v>
      </c>
      <c r="F12" s="285">
        <v>0</v>
      </c>
      <c r="G12" s="285">
        <v>0</v>
      </c>
      <c r="H12" s="285">
        <v>0</v>
      </c>
      <c r="I12" s="285">
        <v>0</v>
      </c>
      <c r="J12" s="285">
        <v>0</v>
      </c>
      <c r="K12" s="285">
        <v>0</v>
      </c>
      <c r="L12" s="285">
        <v>0</v>
      </c>
      <c r="M12" s="285">
        <v>0</v>
      </c>
      <c r="N12" s="35">
        <f>SUM(B12:M12)</f>
        <v>2.5299999999999998</v>
      </c>
    </row>
    <row r="13" spans="1:14" x14ac:dyDescent="0.2">
      <c r="A13" s="33" t="s">
        <v>84</v>
      </c>
      <c r="B13" s="34">
        <v>0</v>
      </c>
      <c r="C13" s="34">
        <v>0</v>
      </c>
      <c r="D13" s="285">
        <v>0</v>
      </c>
      <c r="E13" s="285">
        <v>0</v>
      </c>
      <c r="F13" s="285">
        <v>0</v>
      </c>
      <c r="G13" s="285">
        <v>0</v>
      </c>
      <c r="H13" s="285">
        <v>0</v>
      </c>
      <c r="I13" s="285">
        <v>0</v>
      </c>
      <c r="J13" s="285">
        <v>0</v>
      </c>
      <c r="K13" s="285">
        <v>0</v>
      </c>
      <c r="L13" s="285">
        <v>0</v>
      </c>
      <c r="M13" s="285">
        <v>0</v>
      </c>
      <c r="N13" s="35">
        <f>SUM(B13:M13)</f>
        <v>0</v>
      </c>
    </row>
    <row r="14" spans="1:14" x14ac:dyDescent="0.2">
      <c r="A14" s="33" t="s">
        <v>284</v>
      </c>
      <c r="B14" s="34">
        <v>0</v>
      </c>
      <c r="C14" s="34">
        <v>0</v>
      </c>
      <c r="D14" s="285">
        <v>0</v>
      </c>
      <c r="E14" s="285">
        <v>0</v>
      </c>
      <c r="F14" s="285">
        <v>0</v>
      </c>
      <c r="G14" s="285">
        <v>0</v>
      </c>
      <c r="H14" s="285">
        <v>0</v>
      </c>
      <c r="I14" s="285">
        <v>0</v>
      </c>
      <c r="J14" s="285">
        <v>0</v>
      </c>
      <c r="K14" s="285">
        <v>0</v>
      </c>
      <c r="L14" s="285">
        <v>0</v>
      </c>
      <c r="M14" s="285">
        <v>0</v>
      </c>
      <c r="N14" s="35">
        <f>SUM(B14:M14)</f>
        <v>0</v>
      </c>
    </row>
    <row r="15" spans="1:14" x14ac:dyDescent="0.2">
      <c r="A15" s="24" t="s">
        <v>285</v>
      </c>
      <c r="B15" s="36">
        <f t="shared" ref="B15:M15" si="0">SUM(B11:B14)</f>
        <v>2.5299999999999998</v>
      </c>
      <c r="C15" s="36">
        <f t="shared" si="0"/>
        <v>0</v>
      </c>
      <c r="D15" s="286">
        <f t="shared" si="0"/>
        <v>0</v>
      </c>
      <c r="E15" s="286">
        <f t="shared" si="0"/>
        <v>0</v>
      </c>
      <c r="F15" s="286">
        <f t="shared" si="0"/>
        <v>0</v>
      </c>
      <c r="G15" s="286">
        <f t="shared" si="0"/>
        <v>0</v>
      </c>
      <c r="H15" s="286">
        <f t="shared" si="0"/>
        <v>0</v>
      </c>
      <c r="I15" s="286">
        <f t="shared" si="0"/>
        <v>0</v>
      </c>
      <c r="J15" s="286">
        <f t="shared" si="0"/>
        <v>0</v>
      </c>
      <c r="K15" s="286">
        <f t="shared" si="0"/>
        <v>0</v>
      </c>
      <c r="L15" s="286">
        <f t="shared" si="0"/>
        <v>0</v>
      </c>
      <c r="M15" s="286">
        <f t="shared" si="0"/>
        <v>0</v>
      </c>
      <c r="N15" s="37">
        <f>SUM(B15:M15)</f>
        <v>2.5299999999999998</v>
      </c>
    </row>
    <row r="16" spans="1:14" x14ac:dyDescent="0.2">
      <c r="A16" s="33"/>
      <c r="B16" s="34"/>
      <c r="C16" s="34"/>
      <c r="D16" s="285"/>
      <c r="E16" s="285"/>
      <c r="F16" s="285"/>
      <c r="G16" s="285"/>
      <c r="H16" s="285"/>
      <c r="I16" s="285"/>
      <c r="J16" s="285"/>
      <c r="K16" s="285"/>
      <c r="L16" s="285"/>
      <c r="M16" s="285"/>
      <c r="N16" s="35"/>
    </row>
    <row r="17" spans="1:19" x14ac:dyDescent="0.2">
      <c r="A17" s="32" t="s">
        <v>286</v>
      </c>
      <c r="B17" s="34"/>
      <c r="C17" s="34"/>
      <c r="D17" s="285"/>
      <c r="E17" s="285"/>
      <c r="F17" s="285"/>
      <c r="G17" s="285"/>
      <c r="H17" s="285"/>
      <c r="I17" s="285"/>
      <c r="J17" s="285"/>
      <c r="K17" s="285"/>
      <c r="L17" s="285"/>
      <c r="M17" s="285"/>
      <c r="N17" s="35"/>
    </row>
    <row r="18" spans="1:19" ht="14.25" x14ac:dyDescent="0.2">
      <c r="A18" s="33" t="s">
        <v>287</v>
      </c>
      <c r="B18" s="34">
        <v>0</v>
      </c>
      <c r="C18" s="34">
        <v>0</v>
      </c>
      <c r="D18" s="285">
        <v>0</v>
      </c>
      <c r="E18" s="285">
        <v>0</v>
      </c>
      <c r="F18" s="285">
        <v>0</v>
      </c>
      <c r="G18" s="285">
        <v>0</v>
      </c>
      <c r="H18" s="291">
        <v>0</v>
      </c>
      <c r="I18" s="291">
        <v>0</v>
      </c>
      <c r="J18" s="291">
        <v>0</v>
      </c>
      <c r="K18" s="291">
        <v>0</v>
      </c>
      <c r="L18" s="291">
        <v>0</v>
      </c>
      <c r="M18" s="291">
        <v>0</v>
      </c>
      <c r="N18" s="35">
        <f>SUM(B18:M18)</f>
        <v>0</v>
      </c>
    </row>
    <row r="19" spans="1:19" x14ac:dyDescent="0.2">
      <c r="A19" s="24" t="s">
        <v>288</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x14ac:dyDescent="0.2">
      <c r="A20" s="38"/>
      <c r="B20" s="34"/>
      <c r="C20" s="34"/>
      <c r="D20" s="285"/>
      <c r="E20" s="285"/>
      <c r="F20" s="285"/>
      <c r="G20" s="285"/>
      <c r="H20" s="285"/>
      <c r="I20" s="285"/>
      <c r="J20" s="285"/>
      <c r="K20" s="285"/>
      <c r="L20" s="285"/>
      <c r="M20" s="285"/>
      <c r="N20" s="35"/>
    </row>
    <row r="21" spans="1:19" x14ac:dyDescent="0.2">
      <c r="A21" s="32" t="s">
        <v>289</v>
      </c>
      <c r="B21" s="34" t="s">
        <v>83</v>
      </c>
      <c r="C21" s="34" t="s">
        <v>83</v>
      </c>
      <c r="D21" s="285" t="s">
        <v>83</v>
      </c>
      <c r="E21" s="285"/>
      <c r="F21" s="285" t="s">
        <v>83</v>
      </c>
      <c r="G21" s="292"/>
      <c r="H21" s="285" t="s">
        <v>83</v>
      </c>
      <c r="I21" s="285" t="s">
        <v>83</v>
      </c>
      <c r="J21" s="285" t="s">
        <v>83</v>
      </c>
      <c r="K21" s="285" t="s">
        <v>83</v>
      </c>
      <c r="L21" s="285" t="s">
        <v>83</v>
      </c>
      <c r="M21" s="285" t="s">
        <v>83</v>
      </c>
      <c r="N21" s="35" t="s">
        <v>83</v>
      </c>
    </row>
    <row r="22" spans="1:19" x14ac:dyDescent="0.2">
      <c r="A22" s="33" t="s">
        <v>290</v>
      </c>
      <c r="B22" s="34">
        <v>0</v>
      </c>
      <c r="C22" s="34">
        <v>0</v>
      </c>
      <c r="D22" s="285">
        <v>0</v>
      </c>
      <c r="E22" s="285">
        <v>0</v>
      </c>
      <c r="F22" s="285">
        <v>0</v>
      </c>
      <c r="G22" s="285">
        <v>0</v>
      </c>
      <c r="H22" s="291">
        <v>0</v>
      </c>
      <c r="I22" s="291">
        <v>0</v>
      </c>
      <c r="J22" s="291">
        <v>0</v>
      </c>
      <c r="K22" s="291">
        <v>0</v>
      </c>
      <c r="L22" s="291">
        <v>0</v>
      </c>
      <c r="M22" s="291">
        <v>0</v>
      </c>
      <c r="N22" s="35">
        <f>SUM(B22:M22)</f>
        <v>0</v>
      </c>
    </row>
    <row r="23" spans="1:19" x14ac:dyDescent="0.2">
      <c r="A23" s="242" t="s">
        <v>291</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x14ac:dyDescent="0.2">
      <c r="A24" s="40"/>
      <c r="B24" s="34"/>
      <c r="C24" s="34"/>
      <c r="D24" s="285"/>
      <c r="E24" s="285"/>
      <c r="F24" s="285"/>
      <c r="G24" s="287"/>
      <c r="H24" s="285"/>
      <c r="I24" s="287"/>
      <c r="J24" s="285"/>
      <c r="K24" s="285"/>
      <c r="L24" s="287"/>
      <c r="M24" s="285"/>
      <c r="N24" s="35"/>
    </row>
    <row r="25" spans="1:19" x14ac:dyDescent="0.2">
      <c r="A25" s="42" t="s">
        <v>268</v>
      </c>
      <c r="B25" s="34"/>
      <c r="C25" s="34"/>
      <c r="D25" s="285"/>
      <c r="E25" s="285"/>
      <c r="F25" s="285"/>
      <c r="G25" s="285"/>
      <c r="H25" s="285"/>
      <c r="I25" s="285"/>
      <c r="J25" s="285"/>
      <c r="K25" s="285"/>
      <c r="L25" s="285"/>
      <c r="M25" s="285"/>
      <c r="N25" s="35"/>
    </row>
    <row r="26" spans="1:19" x14ac:dyDescent="0.2">
      <c r="A26" s="33" t="s">
        <v>292</v>
      </c>
      <c r="B26" s="39">
        <v>0</v>
      </c>
      <c r="C26" s="39">
        <v>0</v>
      </c>
      <c r="D26" s="285">
        <v>0</v>
      </c>
      <c r="E26" s="285">
        <v>0</v>
      </c>
      <c r="F26" s="285">
        <v>0</v>
      </c>
      <c r="G26" s="285">
        <v>0</v>
      </c>
      <c r="H26" s="291">
        <v>0</v>
      </c>
      <c r="I26" s="291">
        <v>0</v>
      </c>
      <c r="J26" s="291">
        <v>0</v>
      </c>
      <c r="K26" s="291">
        <v>0</v>
      </c>
      <c r="L26" s="291">
        <v>0</v>
      </c>
      <c r="M26" s="291">
        <v>0</v>
      </c>
      <c r="N26" s="35">
        <f>SUM(B26:M26)</f>
        <v>0</v>
      </c>
    </row>
    <row r="27" spans="1:19" x14ac:dyDescent="0.2">
      <c r="A27" s="33" t="s">
        <v>82</v>
      </c>
      <c r="B27" s="39">
        <v>0</v>
      </c>
      <c r="C27" s="39">
        <v>0</v>
      </c>
      <c r="D27" s="285">
        <v>0</v>
      </c>
      <c r="E27" s="285">
        <v>0</v>
      </c>
      <c r="F27" s="285">
        <v>0</v>
      </c>
      <c r="G27" s="285">
        <v>0</v>
      </c>
      <c r="H27" s="291">
        <v>0</v>
      </c>
      <c r="I27" s="291">
        <v>0</v>
      </c>
      <c r="J27" s="291">
        <v>0</v>
      </c>
      <c r="K27" s="291">
        <v>0</v>
      </c>
      <c r="L27" s="291">
        <v>0</v>
      </c>
      <c r="M27" s="291">
        <v>0</v>
      </c>
      <c r="N27" s="35">
        <f>SUM(B27:M27)</f>
        <v>0</v>
      </c>
    </row>
    <row r="28" spans="1:19" x14ac:dyDescent="0.2">
      <c r="A28" s="33" t="s">
        <v>84</v>
      </c>
      <c r="B28" s="39">
        <v>0</v>
      </c>
      <c r="C28" s="39">
        <v>0</v>
      </c>
      <c r="D28" s="285">
        <v>0</v>
      </c>
      <c r="E28" s="285">
        <v>0</v>
      </c>
      <c r="F28" s="285">
        <v>0</v>
      </c>
      <c r="G28" s="285">
        <v>0</v>
      </c>
      <c r="H28" s="291">
        <v>0</v>
      </c>
      <c r="I28" s="291">
        <v>0</v>
      </c>
      <c r="J28" s="291">
        <v>0</v>
      </c>
      <c r="K28" s="291">
        <v>0</v>
      </c>
      <c r="L28" s="291">
        <v>0</v>
      </c>
      <c r="M28" s="291">
        <v>0</v>
      </c>
      <c r="N28" s="35">
        <f>SUM(B28:M28)</f>
        <v>0</v>
      </c>
    </row>
    <row r="29" spans="1:19" x14ac:dyDescent="0.2">
      <c r="A29" s="33" t="s">
        <v>284</v>
      </c>
      <c r="B29" s="39">
        <v>0</v>
      </c>
      <c r="C29" s="39">
        <v>0</v>
      </c>
      <c r="D29" s="285">
        <v>0</v>
      </c>
      <c r="E29" s="285">
        <v>0</v>
      </c>
      <c r="F29" s="285">
        <v>0</v>
      </c>
      <c r="G29" s="285">
        <v>0</v>
      </c>
      <c r="H29" s="291">
        <v>0</v>
      </c>
      <c r="I29" s="291">
        <v>0</v>
      </c>
      <c r="J29" s="291">
        <v>0</v>
      </c>
      <c r="K29" s="291">
        <v>0</v>
      </c>
      <c r="L29" s="291">
        <v>0</v>
      </c>
      <c r="M29" s="293">
        <v>0</v>
      </c>
      <c r="N29" s="35">
        <f>SUM(B29:M29)</f>
        <v>0</v>
      </c>
    </row>
    <row r="30" spans="1:19" x14ac:dyDescent="0.2">
      <c r="A30" s="43" t="s">
        <v>274</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x14ac:dyDescent="0.2">
      <c r="A31" s="44"/>
      <c r="B31" s="41"/>
      <c r="C31" s="41"/>
      <c r="D31" s="287"/>
      <c r="E31" s="287"/>
      <c r="F31" s="287"/>
      <c r="G31" s="287"/>
      <c r="H31" s="287"/>
      <c r="I31" s="287"/>
      <c r="J31" s="287"/>
      <c r="K31" s="287"/>
      <c r="L31" s="287"/>
      <c r="M31" s="287"/>
      <c r="N31" s="45"/>
    </row>
    <row r="32" spans="1:19" ht="15" customHeight="1" x14ac:dyDescent="0.2">
      <c r="A32" s="24" t="s">
        <v>293</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x14ac:dyDescent="0.25">
      <c r="A33" s="25" t="s">
        <v>294</v>
      </c>
      <c r="B33" s="50">
        <f t="shared" ref="B33:M33" si="4">B15+B19+B23+B30+B32</f>
        <v>2.5299999999999998</v>
      </c>
      <c r="C33" s="50">
        <f t="shared" si="4"/>
        <v>0</v>
      </c>
      <c r="D33" s="289">
        <f t="shared" si="4"/>
        <v>0</v>
      </c>
      <c r="E33" s="289">
        <f t="shared" si="4"/>
        <v>0</v>
      </c>
      <c r="F33" s="289">
        <f t="shared" si="4"/>
        <v>0</v>
      </c>
      <c r="G33" s="289">
        <f t="shared" si="4"/>
        <v>0</v>
      </c>
      <c r="H33" s="289">
        <f t="shared" si="4"/>
        <v>0</v>
      </c>
      <c r="I33" s="289">
        <f t="shared" si="4"/>
        <v>0</v>
      </c>
      <c r="J33" s="289">
        <f t="shared" si="4"/>
        <v>0</v>
      </c>
      <c r="K33" s="289">
        <f t="shared" si="4"/>
        <v>0</v>
      </c>
      <c r="L33" s="289">
        <f t="shared" si="4"/>
        <v>0</v>
      </c>
      <c r="M33" s="289">
        <f t="shared" si="4"/>
        <v>0</v>
      </c>
      <c r="N33" s="51">
        <f>SUM(B33:M33)</f>
        <v>2.5299999999999998</v>
      </c>
      <c r="O33" s="34"/>
    </row>
    <row r="34" spans="1:15" ht="11.65" customHeight="1" x14ac:dyDescent="0.2">
      <c r="A34" s="52"/>
      <c r="B34" s="53"/>
      <c r="C34" s="53"/>
      <c r="D34" s="290"/>
      <c r="E34" s="53"/>
      <c r="F34" s="53"/>
      <c r="G34" s="53"/>
      <c r="H34" s="53"/>
      <c r="I34" s="290"/>
      <c r="J34" s="290"/>
      <c r="K34" s="290"/>
      <c r="L34" s="290"/>
      <c r="M34" s="290"/>
      <c r="N34" s="53"/>
    </row>
    <row r="36" spans="1:15" ht="11.65" customHeight="1" x14ac:dyDescent="0.2">
      <c r="A36" s="283" t="s">
        <v>50</v>
      </c>
      <c r="B36" s="34"/>
      <c r="C36" s="34"/>
      <c r="D36" s="34"/>
      <c r="E36" s="34"/>
      <c r="F36" s="34"/>
      <c r="G36" s="34"/>
      <c r="H36" s="34"/>
      <c r="I36" s="34"/>
      <c r="J36" s="34"/>
      <c r="K36" s="34"/>
      <c r="L36" s="34"/>
      <c r="M36" s="34"/>
      <c r="N36" s="34"/>
    </row>
    <row r="37" spans="1:15" ht="13.9" customHeight="1" x14ac:dyDescent="0.2">
      <c r="A37" s="700"/>
      <c r="B37" s="700"/>
      <c r="C37" s="700"/>
      <c r="D37" s="700"/>
      <c r="E37" s="700"/>
      <c r="F37" s="700"/>
      <c r="G37" s="700"/>
      <c r="H37" s="700"/>
      <c r="I37" s="700"/>
      <c r="J37" s="700"/>
      <c r="K37" s="700"/>
      <c r="L37" s="700"/>
      <c r="M37" s="700"/>
      <c r="N37" s="700"/>
    </row>
    <row r="40" spans="1:15" x14ac:dyDescent="0.2">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1"/>
  <sheetViews>
    <sheetView showGridLines="0" topLeftCell="A8" zoomScaleNormal="100" zoomScaleSheetLayoutView="75" workbookViewId="0">
      <selection sqref="A1:N39"/>
    </sheetView>
  </sheetViews>
  <sheetFormatPr defaultColWidth="9.140625" defaultRowHeight="12.75" x14ac:dyDescent="0.2"/>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x14ac:dyDescent="0.2">
      <c r="E3" s="175" t="s">
        <v>0</v>
      </c>
    </row>
    <row r="4" spans="1:15" x14ac:dyDescent="0.2">
      <c r="C4" s="187"/>
      <c r="D4" s="187"/>
      <c r="E4" s="188" t="s">
        <v>295</v>
      </c>
      <c r="F4" s="187"/>
      <c r="G4" s="187"/>
    </row>
    <row r="5" spans="1:15" x14ac:dyDescent="0.2">
      <c r="D5" s="187"/>
      <c r="E5" s="178" t="str">
        <f>'Program MW '!H3</f>
        <v>January 2019</v>
      </c>
      <c r="F5" s="187"/>
    </row>
    <row r="6" spans="1:15" x14ac:dyDescent="0.2">
      <c r="E6" s="178"/>
    </row>
    <row r="7" spans="1:15" ht="13.5" thickBot="1" x14ac:dyDescent="0.25">
      <c r="A7" s="26"/>
    </row>
    <row r="8" spans="1:15" ht="31.9" customHeight="1" thickBot="1" x14ac:dyDescent="0.25">
      <c r="A8" s="614" t="s">
        <v>245</v>
      </c>
      <c r="B8" s="513" t="s">
        <v>3</v>
      </c>
      <c r="C8" s="28" t="s">
        <v>4</v>
      </c>
      <c r="D8" s="28" t="s">
        <v>5</v>
      </c>
      <c r="E8" s="28" t="s">
        <v>6</v>
      </c>
      <c r="F8" s="28" t="s">
        <v>7</v>
      </c>
      <c r="G8" s="28" t="s">
        <v>8</v>
      </c>
      <c r="H8" s="28" t="s">
        <v>37</v>
      </c>
      <c r="I8" s="28" t="s">
        <v>88</v>
      </c>
      <c r="J8" s="28" t="s">
        <v>89</v>
      </c>
      <c r="K8" s="28" t="s">
        <v>40</v>
      </c>
      <c r="L8" s="28" t="s">
        <v>90</v>
      </c>
      <c r="M8" s="514" t="s">
        <v>42</v>
      </c>
      <c r="N8" s="506" t="s">
        <v>280</v>
      </c>
    </row>
    <row r="9" spans="1:15" ht="25.5" x14ac:dyDescent="0.2">
      <c r="A9" s="616" t="s">
        <v>296</v>
      </c>
      <c r="B9" s="613"/>
      <c r="M9" s="507"/>
      <c r="N9" s="507"/>
    </row>
    <row r="10" spans="1:15" ht="6" customHeight="1" x14ac:dyDescent="0.2">
      <c r="A10" s="495"/>
      <c r="B10" s="613"/>
      <c r="M10" s="507"/>
      <c r="N10" s="507"/>
    </row>
    <row r="11" spans="1:15" x14ac:dyDescent="0.2">
      <c r="A11" s="495" t="s">
        <v>247</v>
      </c>
      <c r="B11" s="613"/>
      <c r="M11" s="507"/>
      <c r="N11" s="507"/>
    </row>
    <row r="12" spans="1:15" x14ac:dyDescent="0.2">
      <c r="A12" s="496" t="s">
        <v>297</v>
      </c>
      <c r="B12" s="582">
        <v>0.84299999999999997</v>
      </c>
      <c r="C12" s="34">
        <v>0</v>
      </c>
      <c r="D12" s="285">
        <v>0</v>
      </c>
      <c r="E12" s="285">
        <v>0</v>
      </c>
      <c r="F12" s="285">
        <v>0</v>
      </c>
      <c r="G12" s="285">
        <v>0</v>
      </c>
      <c r="H12" s="285">
        <v>0</v>
      </c>
      <c r="I12" s="285">
        <v>0</v>
      </c>
      <c r="J12" s="285">
        <v>0</v>
      </c>
      <c r="K12" s="285">
        <v>0</v>
      </c>
      <c r="L12" s="285">
        <v>0</v>
      </c>
      <c r="M12" s="516">
        <v>0</v>
      </c>
      <c r="N12" s="508">
        <f>SUM(B12:M12)</f>
        <v>0.84299999999999997</v>
      </c>
    </row>
    <row r="13" spans="1:15" ht="14.25" x14ac:dyDescent="0.2">
      <c r="A13" s="496" t="s">
        <v>298</v>
      </c>
      <c r="B13" s="582">
        <v>11.128</v>
      </c>
      <c r="C13" s="34">
        <v>0</v>
      </c>
      <c r="D13" s="285">
        <v>0</v>
      </c>
      <c r="E13" s="285">
        <v>0</v>
      </c>
      <c r="F13" s="285">
        <v>0</v>
      </c>
      <c r="G13" s="285">
        <v>0</v>
      </c>
      <c r="H13" s="285">
        <v>0</v>
      </c>
      <c r="I13" s="285">
        <v>0</v>
      </c>
      <c r="J13" s="285">
        <v>0</v>
      </c>
      <c r="K13" s="285">
        <v>0</v>
      </c>
      <c r="L13" s="285">
        <v>0</v>
      </c>
      <c r="M13" s="516">
        <v>0</v>
      </c>
      <c r="N13" s="35">
        <f>SUM(B13:M13)</f>
        <v>11.128</v>
      </c>
    </row>
    <row r="14" spans="1:15" x14ac:dyDescent="0.2">
      <c r="A14" s="496" t="s">
        <v>299</v>
      </c>
      <c r="B14" s="582">
        <v>5.9370000000000003</v>
      </c>
      <c r="C14" s="34">
        <v>0</v>
      </c>
      <c r="D14" s="285">
        <v>0</v>
      </c>
      <c r="E14" s="285">
        <v>0</v>
      </c>
      <c r="F14" s="285">
        <v>0</v>
      </c>
      <c r="G14" s="285">
        <v>0</v>
      </c>
      <c r="H14" s="285">
        <v>0</v>
      </c>
      <c r="I14" s="285">
        <v>0</v>
      </c>
      <c r="J14" s="285">
        <v>0</v>
      </c>
      <c r="K14" s="285">
        <v>0</v>
      </c>
      <c r="L14" s="285">
        <v>0</v>
      </c>
      <c r="M14" s="516">
        <v>0</v>
      </c>
      <c r="N14" s="35">
        <f>SUM(B14:M14)</f>
        <v>5.9370000000000003</v>
      </c>
    </row>
    <row r="15" spans="1:15" ht="14.25" x14ac:dyDescent="0.2">
      <c r="A15" s="617" t="s">
        <v>300</v>
      </c>
      <c r="B15" s="582">
        <v>11.414</v>
      </c>
      <c r="C15" s="34">
        <v>0</v>
      </c>
      <c r="D15" s="285">
        <v>0</v>
      </c>
      <c r="E15" s="285">
        <v>0</v>
      </c>
      <c r="F15" s="285">
        <v>0</v>
      </c>
      <c r="G15" s="285">
        <v>0</v>
      </c>
      <c r="H15" s="285">
        <v>0</v>
      </c>
      <c r="I15" s="285">
        <v>0</v>
      </c>
      <c r="J15" s="285">
        <v>0</v>
      </c>
      <c r="K15" s="285">
        <v>0</v>
      </c>
      <c r="L15" s="285">
        <v>0</v>
      </c>
      <c r="M15" s="516">
        <v>0</v>
      </c>
      <c r="N15" s="508">
        <f>SUM(B15:M15)</f>
        <v>11.414</v>
      </c>
      <c r="O15" s="34"/>
    </row>
    <row r="16" spans="1:15" x14ac:dyDescent="0.2">
      <c r="A16" s="615" t="s">
        <v>285</v>
      </c>
      <c r="B16" s="517">
        <f t="shared" ref="B16:M16" si="0">SUM(B12:B15)</f>
        <v>29.322000000000003</v>
      </c>
      <c r="C16" s="36">
        <f t="shared" si="0"/>
        <v>0</v>
      </c>
      <c r="D16" s="286">
        <f t="shared" si="0"/>
        <v>0</v>
      </c>
      <c r="E16" s="286">
        <f t="shared" si="0"/>
        <v>0</v>
      </c>
      <c r="F16" s="286">
        <f t="shared" si="0"/>
        <v>0</v>
      </c>
      <c r="G16" s="286">
        <f t="shared" si="0"/>
        <v>0</v>
      </c>
      <c r="H16" s="286">
        <f t="shared" si="0"/>
        <v>0</v>
      </c>
      <c r="I16" s="286">
        <f t="shared" si="0"/>
        <v>0</v>
      </c>
      <c r="J16" s="286">
        <f t="shared" si="0"/>
        <v>0</v>
      </c>
      <c r="K16" s="286">
        <f t="shared" si="0"/>
        <v>0</v>
      </c>
      <c r="L16" s="286">
        <f t="shared" si="0"/>
        <v>0</v>
      </c>
      <c r="M16" s="518">
        <f t="shared" si="0"/>
        <v>0</v>
      </c>
      <c r="N16" s="509">
        <f>SUM(B16:M16)</f>
        <v>29.322000000000003</v>
      </c>
    </row>
    <row r="17" spans="1:19" x14ac:dyDescent="0.2">
      <c r="A17" s="498"/>
      <c r="B17" s="515"/>
      <c r="C17" s="34"/>
      <c r="D17" s="285"/>
      <c r="E17" s="285"/>
      <c r="F17" s="285"/>
      <c r="G17" s="285"/>
      <c r="H17" s="285"/>
      <c r="I17" s="285"/>
      <c r="J17" s="285" t="s">
        <v>83</v>
      </c>
      <c r="K17" s="285"/>
      <c r="L17" s="285"/>
      <c r="M17" s="516"/>
      <c r="N17" s="508"/>
      <c r="P17" s="581"/>
    </row>
    <row r="18" spans="1:19" x14ac:dyDescent="0.2">
      <c r="A18" s="495" t="s">
        <v>301</v>
      </c>
      <c r="B18" s="515"/>
      <c r="C18" s="34"/>
      <c r="D18" s="285"/>
      <c r="E18" s="285"/>
      <c r="F18" s="285"/>
      <c r="G18" s="285"/>
      <c r="H18" s="285"/>
      <c r="I18" s="285"/>
      <c r="J18" s="285"/>
      <c r="K18" s="285"/>
      <c r="L18" s="285"/>
      <c r="M18" s="516"/>
      <c r="N18" s="508"/>
      <c r="P18" s="581"/>
    </row>
    <row r="19" spans="1:19" x14ac:dyDescent="0.2">
      <c r="A19" s="496" t="s">
        <v>302</v>
      </c>
      <c r="B19" s="515">
        <v>43.601999999999997</v>
      </c>
      <c r="C19" s="34">
        <v>0</v>
      </c>
      <c r="D19" s="285">
        <v>0</v>
      </c>
      <c r="E19" s="285">
        <v>0</v>
      </c>
      <c r="F19" s="285">
        <v>0</v>
      </c>
      <c r="G19" s="285">
        <v>0</v>
      </c>
      <c r="H19" s="285">
        <v>0</v>
      </c>
      <c r="I19" s="285">
        <v>0</v>
      </c>
      <c r="J19" s="285">
        <v>0</v>
      </c>
      <c r="K19" s="285">
        <v>0</v>
      </c>
      <c r="L19" s="285">
        <v>0</v>
      </c>
      <c r="M19" s="516">
        <v>0</v>
      </c>
      <c r="N19" s="508">
        <f>SUM(B19:M19)</f>
        <v>43.601999999999997</v>
      </c>
      <c r="P19" s="581"/>
    </row>
    <row r="20" spans="1:19" x14ac:dyDescent="0.2">
      <c r="A20" s="499" t="s">
        <v>303</v>
      </c>
      <c r="B20" s="515">
        <v>11.589</v>
      </c>
      <c r="C20" s="34">
        <v>0</v>
      </c>
      <c r="D20" s="285">
        <v>0</v>
      </c>
      <c r="E20" s="285">
        <v>0</v>
      </c>
      <c r="F20" s="285">
        <v>0</v>
      </c>
      <c r="G20" s="285">
        <v>0</v>
      </c>
      <c r="H20" s="291">
        <v>0</v>
      </c>
      <c r="I20" s="291">
        <v>0</v>
      </c>
      <c r="J20" s="291">
        <v>0</v>
      </c>
      <c r="K20" s="291">
        <v>0</v>
      </c>
      <c r="L20" s="291">
        <v>0</v>
      </c>
      <c r="M20" s="519">
        <v>0</v>
      </c>
      <c r="N20" s="508">
        <f>SUM(B20:M20)</f>
        <v>11.589</v>
      </c>
      <c r="P20" s="581"/>
    </row>
    <row r="21" spans="1:19" x14ac:dyDescent="0.2">
      <c r="A21" s="497" t="s">
        <v>288</v>
      </c>
      <c r="B21" s="517">
        <f>SUM(B19:B20)</f>
        <v>55.190999999999995</v>
      </c>
      <c r="C21" s="36">
        <f t="shared" ref="C21:M21" si="1">SUM(C19:C20)</f>
        <v>0</v>
      </c>
      <c r="D21" s="286">
        <f t="shared" si="1"/>
        <v>0</v>
      </c>
      <c r="E21" s="286">
        <f t="shared" si="1"/>
        <v>0</v>
      </c>
      <c r="F21" s="286">
        <f t="shared" si="1"/>
        <v>0</v>
      </c>
      <c r="G21" s="286">
        <f t="shared" si="1"/>
        <v>0</v>
      </c>
      <c r="H21" s="286">
        <f t="shared" si="1"/>
        <v>0</v>
      </c>
      <c r="I21" s="286">
        <f t="shared" si="1"/>
        <v>0</v>
      </c>
      <c r="J21" s="286">
        <f t="shared" si="1"/>
        <v>0</v>
      </c>
      <c r="K21" s="286">
        <f t="shared" si="1"/>
        <v>0</v>
      </c>
      <c r="L21" s="286">
        <f t="shared" si="1"/>
        <v>0</v>
      </c>
      <c r="M21" s="518">
        <f t="shared" si="1"/>
        <v>0</v>
      </c>
      <c r="N21" s="509">
        <f>SUM(B21:M21)</f>
        <v>55.190999999999995</v>
      </c>
      <c r="P21" s="581"/>
    </row>
    <row r="22" spans="1:19" x14ac:dyDescent="0.2">
      <c r="A22" s="499"/>
      <c r="B22" s="515"/>
      <c r="C22" s="34"/>
      <c r="D22" s="285"/>
      <c r="E22" s="285"/>
      <c r="F22" s="285"/>
      <c r="G22" s="285"/>
      <c r="H22" s="285"/>
      <c r="I22" s="285"/>
      <c r="J22" s="285"/>
      <c r="K22" s="285"/>
      <c r="L22" s="285"/>
      <c r="M22" s="516"/>
      <c r="N22" s="508"/>
      <c r="P22" s="581"/>
    </row>
    <row r="23" spans="1:19" x14ac:dyDescent="0.2">
      <c r="A23" s="495"/>
      <c r="B23" s="515" t="s">
        <v>83</v>
      </c>
      <c r="C23" s="34" t="s">
        <v>83</v>
      </c>
      <c r="D23" s="285" t="s">
        <v>83</v>
      </c>
      <c r="E23" s="285"/>
      <c r="F23" s="285" t="s">
        <v>83</v>
      </c>
      <c r="G23" s="292"/>
      <c r="H23" s="291" t="s">
        <v>83</v>
      </c>
      <c r="I23" s="291" t="s">
        <v>83</v>
      </c>
      <c r="J23" s="291" t="s">
        <v>83</v>
      </c>
      <c r="K23" s="291" t="s">
        <v>83</v>
      </c>
      <c r="L23" s="291" t="s">
        <v>83</v>
      </c>
      <c r="M23" s="519" t="s">
        <v>83</v>
      </c>
      <c r="N23" s="508" t="s">
        <v>83</v>
      </c>
      <c r="P23" s="581"/>
    </row>
    <row r="24" spans="1:19" x14ac:dyDescent="0.2">
      <c r="A24" s="495" t="s">
        <v>289</v>
      </c>
      <c r="B24" s="515">
        <v>0</v>
      </c>
      <c r="C24" s="34">
        <v>0</v>
      </c>
      <c r="D24" s="285">
        <v>0</v>
      </c>
      <c r="E24" s="285">
        <v>0</v>
      </c>
      <c r="F24" s="285">
        <v>0</v>
      </c>
      <c r="G24" s="285">
        <v>0</v>
      </c>
      <c r="H24" s="291">
        <v>0</v>
      </c>
      <c r="I24" s="291">
        <v>0</v>
      </c>
      <c r="J24" s="291">
        <v>0</v>
      </c>
      <c r="K24" s="291">
        <v>0</v>
      </c>
      <c r="L24" s="291">
        <v>0</v>
      </c>
      <c r="M24" s="519">
        <v>0</v>
      </c>
      <c r="N24" s="508">
        <f>SUM(B24:M24)</f>
        <v>0</v>
      </c>
      <c r="P24" s="581"/>
    </row>
    <row r="25" spans="1:19" x14ac:dyDescent="0.2">
      <c r="A25" s="500" t="s">
        <v>291</v>
      </c>
      <c r="B25" s="517">
        <f t="shared" ref="B25:H25" si="2">SUM(B24:B24)</f>
        <v>0</v>
      </c>
      <c r="C25" s="36">
        <f t="shared" si="2"/>
        <v>0</v>
      </c>
      <c r="D25" s="286">
        <f t="shared" si="2"/>
        <v>0</v>
      </c>
      <c r="E25" s="286">
        <f>SUM(E24:E24)</f>
        <v>0</v>
      </c>
      <c r="F25" s="286">
        <f t="shared" si="2"/>
        <v>0</v>
      </c>
      <c r="G25" s="286">
        <f t="shared" si="2"/>
        <v>0</v>
      </c>
      <c r="H25" s="286">
        <f t="shared" si="2"/>
        <v>0</v>
      </c>
      <c r="I25" s="286">
        <f>SUM(I24:I24)</f>
        <v>0</v>
      </c>
      <c r="J25" s="286">
        <f>SUM(J24:J24)</f>
        <v>0</v>
      </c>
      <c r="K25" s="286">
        <f>SUM(K24:K24)</f>
        <v>0</v>
      </c>
      <c r="L25" s="286">
        <f>SUM(L24:L24)</f>
        <v>0</v>
      </c>
      <c r="M25" s="518">
        <f>SUM(M24:M24)</f>
        <v>0</v>
      </c>
      <c r="N25" s="509">
        <f>SUM(B25:M25)</f>
        <v>0</v>
      </c>
      <c r="P25" s="581"/>
    </row>
    <row r="26" spans="1:19" x14ac:dyDescent="0.2">
      <c r="A26" s="501"/>
      <c r="B26" s="515"/>
      <c r="C26" s="34"/>
      <c r="D26" s="285"/>
      <c r="E26" s="285"/>
      <c r="F26" s="285"/>
      <c r="G26" s="287"/>
      <c r="H26" s="285"/>
      <c r="I26" s="287"/>
      <c r="J26" s="285"/>
      <c r="K26" s="285"/>
      <c r="L26" s="287"/>
      <c r="M26" s="516"/>
      <c r="N26" s="508"/>
    </row>
    <row r="27" spans="1:19" x14ac:dyDescent="0.2">
      <c r="A27" s="502"/>
      <c r="B27" s="515"/>
      <c r="C27" s="34"/>
      <c r="D27" s="285"/>
      <c r="E27" s="285"/>
      <c r="F27" s="285"/>
      <c r="G27" s="285"/>
      <c r="H27" s="285"/>
      <c r="I27" s="285"/>
      <c r="J27" s="285"/>
      <c r="K27" s="285"/>
      <c r="L27" s="285"/>
      <c r="M27" s="516"/>
      <c r="N27" s="508"/>
    </row>
    <row r="28" spans="1:19" x14ac:dyDescent="0.2">
      <c r="A28" s="502" t="s">
        <v>268</v>
      </c>
      <c r="B28" s="515">
        <v>0</v>
      </c>
      <c r="C28" s="34">
        <v>0</v>
      </c>
      <c r="D28" s="285">
        <v>0</v>
      </c>
      <c r="E28" s="285">
        <v>0</v>
      </c>
      <c r="F28" s="285">
        <v>0</v>
      </c>
      <c r="G28" s="285">
        <v>0</v>
      </c>
      <c r="H28" s="291">
        <v>0</v>
      </c>
      <c r="I28" s="291">
        <v>0</v>
      </c>
      <c r="J28" s="291">
        <v>0</v>
      </c>
      <c r="K28" s="291">
        <v>0</v>
      </c>
      <c r="L28" s="291">
        <v>0</v>
      </c>
      <c r="M28" s="519">
        <v>0</v>
      </c>
      <c r="N28" s="508">
        <f>SUM(B28:M28)</f>
        <v>0</v>
      </c>
    </row>
    <row r="29" spans="1:19" x14ac:dyDescent="0.2">
      <c r="A29" s="498"/>
      <c r="B29" s="515"/>
      <c r="C29" s="34"/>
      <c r="D29" s="285"/>
      <c r="E29" s="285"/>
      <c r="F29" s="285"/>
      <c r="G29" s="285"/>
      <c r="H29" s="291"/>
      <c r="I29" s="291"/>
      <c r="J29" s="291"/>
      <c r="K29" s="291"/>
      <c r="L29" s="291"/>
      <c r="M29" s="520"/>
      <c r="N29" s="508" t="s">
        <v>83</v>
      </c>
    </row>
    <row r="30" spans="1:19" x14ac:dyDescent="0.2">
      <c r="A30" s="503" t="s">
        <v>274</v>
      </c>
      <c r="B30" s="517">
        <f t="shared" ref="B30:H30" si="3">SUM(B28:B29)</f>
        <v>0</v>
      </c>
      <c r="C30" s="36">
        <f t="shared" si="3"/>
        <v>0</v>
      </c>
      <c r="D30" s="286">
        <f t="shared" si="3"/>
        <v>0</v>
      </c>
      <c r="E30" s="286">
        <f t="shared" si="3"/>
        <v>0</v>
      </c>
      <c r="F30" s="286">
        <f t="shared" si="3"/>
        <v>0</v>
      </c>
      <c r="G30" s="286">
        <f t="shared" si="3"/>
        <v>0</v>
      </c>
      <c r="H30" s="286">
        <f t="shared" si="3"/>
        <v>0</v>
      </c>
      <c r="I30" s="286">
        <f>SUM(I27:I29)</f>
        <v>0</v>
      </c>
      <c r="J30" s="286">
        <f>SUM(J28:J29)</f>
        <v>0</v>
      </c>
      <c r="K30" s="286">
        <f>SUM(K28:K29)</f>
        <v>0</v>
      </c>
      <c r="L30" s="286">
        <f>SUM(L28:L29)</f>
        <v>0</v>
      </c>
      <c r="M30" s="518">
        <f>SUM(M28:M29)</f>
        <v>0</v>
      </c>
      <c r="N30" s="509">
        <f>SUM(B30:M30)</f>
        <v>0</v>
      </c>
      <c r="O30" s="34"/>
    </row>
    <row r="31" spans="1:19" ht="10.5" customHeight="1" x14ac:dyDescent="0.2">
      <c r="A31" s="504"/>
      <c r="B31" s="521"/>
      <c r="C31" s="41"/>
      <c r="D31" s="287"/>
      <c r="E31" s="287"/>
      <c r="F31" s="287"/>
      <c r="G31" s="287"/>
      <c r="H31" s="287"/>
      <c r="I31" s="287"/>
      <c r="J31" s="287"/>
      <c r="K31" s="287"/>
      <c r="L31" s="287"/>
      <c r="M31" s="522"/>
      <c r="N31" s="510"/>
    </row>
    <row r="32" spans="1:19" ht="15" customHeight="1" x14ac:dyDescent="0.2">
      <c r="A32" s="497" t="s">
        <v>293</v>
      </c>
      <c r="B32" s="523">
        <v>0</v>
      </c>
      <c r="C32" s="47">
        <v>0</v>
      </c>
      <c r="D32" s="288">
        <v>0</v>
      </c>
      <c r="E32" s="288">
        <v>0</v>
      </c>
      <c r="F32" s="288">
        <v>0</v>
      </c>
      <c r="G32" s="288">
        <v>0</v>
      </c>
      <c r="H32" s="288">
        <v>0</v>
      </c>
      <c r="I32" s="288">
        <v>0</v>
      </c>
      <c r="J32" s="286">
        <v>0</v>
      </c>
      <c r="K32" s="286">
        <v>0</v>
      </c>
      <c r="L32" s="288">
        <v>0</v>
      </c>
      <c r="M32" s="524">
        <v>0</v>
      </c>
      <c r="N32" s="511">
        <f>SUM(B32:M32)</f>
        <v>0</v>
      </c>
      <c r="O32" s="39"/>
      <c r="P32" s="39"/>
      <c r="Q32" s="39"/>
      <c r="R32" s="39"/>
      <c r="S32" s="49"/>
    </row>
    <row r="33" spans="1:19" ht="15" customHeight="1" thickBot="1" x14ac:dyDescent="0.25">
      <c r="A33" s="505" t="s">
        <v>304</v>
      </c>
      <c r="B33" s="525">
        <f t="shared" ref="B33:L33" si="4">B16+B21+B25+B30+B32</f>
        <v>84.513000000000005</v>
      </c>
      <c r="C33" s="50">
        <f t="shared" si="4"/>
        <v>0</v>
      </c>
      <c r="D33" s="289">
        <f t="shared" si="4"/>
        <v>0</v>
      </c>
      <c r="E33" s="289">
        <f t="shared" si="4"/>
        <v>0</v>
      </c>
      <c r="F33" s="289">
        <f t="shared" si="4"/>
        <v>0</v>
      </c>
      <c r="G33" s="289">
        <f t="shared" si="4"/>
        <v>0</v>
      </c>
      <c r="H33" s="289">
        <f t="shared" si="4"/>
        <v>0</v>
      </c>
      <c r="I33" s="289">
        <f t="shared" si="4"/>
        <v>0</v>
      </c>
      <c r="J33" s="289">
        <f t="shared" si="4"/>
        <v>0</v>
      </c>
      <c r="K33" s="289">
        <f t="shared" si="4"/>
        <v>0</v>
      </c>
      <c r="L33" s="289">
        <f t="shared" si="4"/>
        <v>0</v>
      </c>
      <c r="M33" s="526">
        <f>M16+M21+M25+M30+M32</f>
        <v>0</v>
      </c>
      <c r="N33" s="512">
        <f>SUM(B33:M33)</f>
        <v>84.513000000000005</v>
      </c>
      <c r="O33" s="39"/>
      <c r="P33" s="39"/>
      <c r="Q33" s="39"/>
      <c r="R33" s="39"/>
      <c r="S33" s="49"/>
    </row>
    <row r="34" spans="1:19" ht="28.5" customHeight="1" thickBot="1" x14ac:dyDescent="0.25">
      <c r="A34" s="505" t="s">
        <v>305</v>
      </c>
      <c r="B34" s="525">
        <f>B33+0.089</f>
        <v>84.602000000000004</v>
      </c>
      <c r="C34" s="50">
        <v>0</v>
      </c>
      <c r="D34" s="289">
        <v>0</v>
      </c>
      <c r="E34" s="289">
        <v>0</v>
      </c>
      <c r="F34" s="289">
        <v>0</v>
      </c>
      <c r="G34" s="289">
        <v>0</v>
      </c>
      <c r="H34" s="289">
        <v>0</v>
      </c>
      <c r="I34" s="289">
        <v>0</v>
      </c>
      <c r="J34" s="289">
        <v>0</v>
      </c>
      <c r="K34" s="289">
        <v>0</v>
      </c>
      <c r="L34" s="289">
        <v>0</v>
      </c>
      <c r="M34" s="526">
        <v>0</v>
      </c>
      <c r="N34" s="512">
        <f>SUM(B34:M34)</f>
        <v>84.602000000000004</v>
      </c>
      <c r="O34" s="34"/>
    </row>
    <row r="35" spans="1:19" x14ac:dyDescent="0.2">
      <c r="A35" s="52"/>
      <c r="B35" s="53"/>
      <c r="C35" s="53"/>
      <c r="D35" s="53"/>
      <c r="E35" s="53"/>
      <c r="F35" s="53"/>
      <c r="G35" s="53"/>
      <c r="H35" s="53"/>
      <c r="I35" s="53"/>
      <c r="J35" s="53"/>
      <c r="K35" s="53"/>
      <c r="L35" s="53"/>
      <c r="M35" s="53"/>
      <c r="N35" s="53"/>
    </row>
    <row r="36" spans="1:19" ht="16.5" x14ac:dyDescent="0.2">
      <c r="A36" s="399" t="s">
        <v>306</v>
      </c>
      <c r="B36" s="400"/>
      <c r="C36" s="400"/>
      <c r="D36" s="400"/>
      <c r="E36" s="400"/>
      <c r="F36" s="400"/>
      <c r="G36" s="400"/>
      <c r="H36" s="400"/>
      <c r="I36" s="400"/>
      <c r="J36" s="400"/>
      <c r="K36" s="400"/>
      <c r="L36" s="400"/>
      <c r="M36" s="400"/>
      <c r="N36" s="400"/>
    </row>
    <row r="37" spans="1:19" ht="14.45" customHeight="1" x14ac:dyDescent="0.2">
      <c r="A37" s="700" t="s">
        <v>307</v>
      </c>
      <c r="B37" s="700"/>
      <c r="C37" s="700"/>
      <c r="D37" s="700"/>
      <c r="E37" s="700"/>
      <c r="F37" s="700"/>
      <c r="G37" s="700"/>
      <c r="H37" s="700"/>
      <c r="I37" s="700"/>
      <c r="J37" s="700"/>
      <c r="K37" s="700"/>
      <c r="L37" s="700"/>
      <c r="M37" s="700"/>
      <c r="N37" s="700"/>
    </row>
    <row r="38" spans="1:19" ht="14.45" customHeight="1" x14ac:dyDescent="0.2">
      <c r="A38" s="677"/>
      <c r="B38" s="677"/>
      <c r="C38" s="677"/>
      <c r="D38" s="677"/>
      <c r="E38" s="677"/>
      <c r="F38" s="677"/>
      <c r="G38" s="677"/>
      <c r="H38" s="677"/>
      <c r="I38" s="677"/>
      <c r="J38" s="677"/>
      <c r="K38" s="677"/>
      <c r="L38" s="677"/>
      <c r="M38" s="677"/>
      <c r="N38" s="677"/>
    </row>
    <row r="39" spans="1:19" ht="15" x14ac:dyDescent="0.2">
      <c r="A39" s="283" t="s">
        <v>50</v>
      </c>
    </row>
    <row r="40" spans="1:19" ht="15" x14ac:dyDescent="0.25">
      <c r="E40" s="140"/>
    </row>
    <row r="41" spans="1:19" x14ac:dyDescent="0.2">
      <c r="H41" s="34"/>
    </row>
  </sheetData>
  <mergeCells count="1">
    <mergeCell ref="A37:N37"/>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7"/>
  <sheetViews>
    <sheetView zoomScaleNormal="100" zoomScaleSheetLayoutView="100" workbookViewId="0">
      <selection activeCell="B13" sqref="B13"/>
    </sheetView>
  </sheetViews>
  <sheetFormatPr defaultColWidth="9.140625" defaultRowHeight="12.75" x14ac:dyDescent="0.2"/>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x14ac:dyDescent="0.2">
      <c r="A2" s="54"/>
      <c r="H2" s="175" t="s">
        <v>0</v>
      </c>
      <c r="N2" s="574"/>
    </row>
    <row r="3" spans="1:15" x14ac:dyDescent="0.2">
      <c r="E3" s="575"/>
      <c r="H3" s="178" t="str">
        <f>'Program MW '!H3</f>
        <v>January 2019</v>
      </c>
      <c r="N3" s="574"/>
    </row>
    <row r="4" spans="1:15" x14ac:dyDescent="0.2">
      <c r="E4" s="177"/>
      <c r="F4" s="177"/>
      <c r="G4" s="177"/>
      <c r="I4" s="177"/>
      <c r="N4" s="574"/>
    </row>
    <row r="5" spans="1:15" x14ac:dyDescent="0.2">
      <c r="B5" s="177"/>
      <c r="C5" s="177"/>
      <c r="D5" s="177"/>
      <c r="F5" s="176"/>
      <c r="N5" s="574"/>
      <c r="O5" s="57"/>
    </row>
    <row r="6" spans="1:15" x14ac:dyDescent="0.2">
      <c r="F6" s="176"/>
      <c r="N6" s="574"/>
    </row>
    <row r="7" spans="1:15" ht="13.5" customHeight="1" x14ac:dyDescent="0.2">
      <c r="A7" s="55"/>
      <c r="B7" s="682" t="s">
        <v>51</v>
      </c>
      <c r="C7" s="682"/>
      <c r="D7" s="682"/>
      <c r="E7" s="682"/>
      <c r="F7" s="682"/>
      <c r="G7" s="682"/>
      <c r="H7" s="682"/>
      <c r="I7" s="682"/>
      <c r="J7" s="682"/>
      <c r="K7" s="682"/>
      <c r="L7" s="682"/>
      <c r="M7" s="682"/>
      <c r="N7" s="683" t="s">
        <v>52</v>
      </c>
      <c r="O7" s="55"/>
    </row>
    <row r="8" spans="1:15" ht="38.25" customHeight="1" x14ac:dyDescent="0.2">
      <c r="A8" s="56" t="s">
        <v>53</v>
      </c>
      <c r="B8" s="672" t="s">
        <v>3</v>
      </c>
      <c r="C8" s="672" t="s">
        <v>4</v>
      </c>
      <c r="D8" s="672" t="s">
        <v>5</v>
      </c>
      <c r="E8" s="672" t="s">
        <v>6</v>
      </c>
      <c r="F8" s="672" t="s">
        <v>7</v>
      </c>
      <c r="G8" s="672" t="s">
        <v>8</v>
      </c>
      <c r="H8" s="672" t="s">
        <v>37</v>
      </c>
      <c r="I8" s="672" t="s">
        <v>38</v>
      </c>
      <c r="J8" s="672" t="s">
        <v>39</v>
      </c>
      <c r="K8" s="672" t="s">
        <v>40</v>
      </c>
      <c r="L8" s="672" t="s">
        <v>41</v>
      </c>
      <c r="M8" s="672" t="s">
        <v>42</v>
      </c>
      <c r="N8" s="684"/>
      <c r="O8" s="374" t="s">
        <v>54</v>
      </c>
    </row>
    <row r="9" spans="1:15" ht="75.75" customHeight="1" x14ac:dyDescent="0.2">
      <c r="A9" s="356" t="s">
        <v>20</v>
      </c>
      <c r="B9" s="357">
        <v>17.305285739898682</v>
      </c>
      <c r="C9" s="358">
        <v>37.178096389770509</v>
      </c>
      <c r="D9" s="359">
        <v>43.253090667724607</v>
      </c>
      <c r="E9" s="358">
        <v>160.81778717041016</v>
      </c>
      <c r="F9" s="358">
        <v>143.10536460876466</v>
      </c>
      <c r="G9" s="358">
        <v>188.57231521606445</v>
      </c>
      <c r="H9" s="358">
        <v>144.63907051086426</v>
      </c>
      <c r="I9" s="358">
        <v>182.81205558776855</v>
      </c>
      <c r="J9" s="358">
        <v>246.34737854003907</v>
      </c>
      <c r="K9" s="358">
        <v>174.59637451171875</v>
      </c>
      <c r="L9" s="358">
        <v>29.343120193481447</v>
      </c>
      <c r="M9" s="358">
        <v>28.345724105834961</v>
      </c>
      <c r="N9" s="368">
        <v>5142</v>
      </c>
      <c r="O9" s="404" t="s">
        <v>55</v>
      </c>
    </row>
    <row r="10" spans="1:15" ht="75.75" customHeight="1" x14ac:dyDescent="0.2">
      <c r="A10" s="356" t="s">
        <v>23</v>
      </c>
      <c r="B10" s="357">
        <v>0.72411019504070284</v>
      </c>
      <c r="C10" s="357">
        <v>0.73440686166286473</v>
      </c>
      <c r="D10" s="360">
        <v>0.7409585565328598</v>
      </c>
      <c r="E10" s="361">
        <v>1.0870375514030457</v>
      </c>
      <c r="F10" s="361">
        <v>1.1013349056243897</v>
      </c>
      <c r="G10" s="361">
        <v>1.0797581672668457</v>
      </c>
      <c r="H10" s="361">
        <v>1.2534926772117614</v>
      </c>
      <c r="I10" s="361">
        <v>1.3130408525466919</v>
      </c>
      <c r="J10" s="361">
        <v>1.4025015234947205</v>
      </c>
      <c r="K10" s="361">
        <v>1.2503557920455932</v>
      </c>
      <c r="L10" s="361">
        <v>0.7833123654127121</v>
      </c>
      <c r="M10" s="361">
        <v>0.69800643622875214</v>
      </c>
      <c r="N10" s="368">
        <v>18466</v>
      </c>
      <c r="O10" s="404" t="s">
        <v>56</v>
      </c>
    </row>
    <row r="11" spans="1:15" ht="75.75" customHeight="1" x14ac:dyDescent="0.2">
      <c r="A11" s="356" t="s">
        <v>27</v>
      </c>
      <c r="B11" s="357">
        <v>0</v>
      </c>
      <c r="C11" s="357">
        <v>0</v>
      </c>
      <c r="D11" s="360">
        <v>0</v>
      </c>
      <c r="E11" s="361">
        <v>0.42</v>
      </c>
      <c r="F11" s="361">
        <v>0.43861816166338585</v>
      </c>
      <c r="G11" s="361">
        <v>0.42295500128711244</v>
      </c>
      <c r="H11" s="361">
        <v>0.44526769996446119</v>
      </c>
      <c r="I11" s="361">
        <v>0.46584989426762535</v>
      </c>
      <c r="J11" s="361">
        <v>0.472697574957615</v>
      </c>
      <c r="K11" s="361">
        <v>0.46498177425157367</v>
      </c>
      <c r="L11" s="361">
        <v>0</v>
      </c>
      <c r="M11" s="357">
        <v>0</v>
      </c>
      <c r="N11" s="376">
        <v>564565</v>
      </c>
      <c r="O11" s="404" t="s">
        <v>57</v>
      </c>
    </row>
    <row r="12" spans="1:15" ht="75.75" customHeight="1" x14ac:dyDescent="0.2">
      <c r="A12" s="356" t="s">
        <v>28</v>
      </c>
      <c r="B12" s="357">
        <v>0</v>
      </c>
      <c r="C12" s="357">
        <v>0</v>
      </c>
      <c r="D12" s="360">
        <v>0</v>
      </c>
      <c r="E12" s="361">
        <v>0.64588801579803756</v>
      </c>
      <c r="F12" s="361">
        <v>0.68787401195202336</v>
      </c>
      <c r="G12" s="361">
        <v>0.66802117601691902</v>
      </c>
      <c r="H12" s="361">
        <v>0.80276142042976262</v>
      </c>
      <c r="I12" s="361">
        <v>0.86381947943074999</v>
      </c>
      <c r="J12" s="361">
        <v>0.90731035941003202</v>
      </c>
      <c r="K12" s="361">
        <v>0.83198005024206267</v>
      </c>
      <c r="L12" s="361">
        <v>0</v>
      </c>
      <c r="M12" s="357">
        <v>0</v>
      </c>
      <c r="N12" s="376">
        <v>152067</v>
      </c>
      <c r="O12" s="404" t="s">
        <v>58</v>
      </c>
    </row>
    <row r="13" spans="1:15" ht="75.75" customHeight="1" x14ac:dyDescent="0.2">
      <c r="A13" s="356" t="s">
        <v>29</v>
      </c>
      <c r="B13" s="361">
        <v>0</v>
      </c>
      <c r="C13" s="361">
        <v>0</v>
      </c>
      <c r="D13" s="377">
        <v>0</v>
      </c>
      <c r="E13" s="361">
        <v>0.15598825999999999</v>
      </c>
      <c r="F13" s="361">
        <v>0.15598825999999999</v>
      </c>
      <c r="G13" s="361">
        <v>6.9643099999999999E-2</v>
      </c>
      <c r="H13" s="361">
        <v>0.39591147999999998</v>
      </c>
      <c r="I13" s="361">
        <v>0.55387323999999993</v>
      </c>
      <c r="J13" s="361">
        <v>0.66590375999999996</v>
      </c>
      <c r="K13" s="361">
        <v>0.39732190000000001</v>
      </c>
      <c r="L13" s="361">
        <v>0</v>
      </c>
      <c r="M13" s="361">
        <v>0</v>
      </c>
      <c r="N13" s="376">
        <v>564565</v>
      </c>
      <c r="O13" s="404" t="s">
        <v>59</v>
      </c>
    </row>
    <row r="14" spans="1:15" ht="75.75" customHeight="1" x14ac:dyDescent="0.2">
      <c r="A14" s="356" t="s">
        <v>30</v>
      </c>
      <c r="B14" s="361">
        <v>0</v>
      </c>
      <c r="C14" s="361">
        <v>0</v>
      </c>
      <c r="D14" s="377">
        <v>0</v>
      </c>
      <c r="E14" s="361">
        <v>0.15517215999999998</v>
      </c>
      <c r="F14" s="361">
        <v>0.15517215999999998</v>
      </c>
      <c r="G14" s="361">
        <v>7.0595999999999992E-2</v>
      </c>
      <c r="H14" s="361">
        <v>0.36164886000000002</v>
      </c>
      <c r="I14" s="361">
        <v>0.48514901999999999</v>
      </c>
      <c r="J14" s="361">
        <v>0.63324290000000005</v>
      </c>
      <c r="K14" s="361">
        <v>0.35636203999999994</v>
      </c>
      <c r="L14" s="361">
        <v>0</v>
      </c>
      <c r="M14" s="361">
        <v>0</v>
      </c>
      <c r="N14" s="376">
        <v>134989</v>
      </c>
      <c r="O14" s="404" t="s">
        <v>60</v>
      </c>
    </row>
    <row r="15" spans="1:15" ht="75.75" customHeight="1" x14ac:dyDescent="0.2">
      <c r="A15" s="362" t="s">
        <v>31</v>
      </c>
      <c r="B15" s="363">
        <v>0</v>
      </c>
      <c r="C15" s="363">
        <v>0</v>
      </c>
      <c r="D15" s="364">
        <v>0</v>
      </c>
      <c r="E15" s="361">
        <v>0</v>
      </c>
      <c r="F15" s="361">
        <v>9.8184026000000006</v>
      </c>
      <c r="G15" s="361">
        <v>9.8184026000000006</v>
      </c>
      <c r="H15" s="361">
        <v>9.8184026000000006</v>
      </c>
      <c r="I15" s="361">
        <v>9.8184026000000006</v>
      </c>
      <c r="J15" s="361">
        <v>9.8184026000000006</v>
      </c>
      <c r="K15" s="361">
        <v>9.8184026000000006</v>
      </c>
      <c r="L15" s="361">
        <v>0</v>
      </c>
      <c r="M15" s="361">
        <v>0</v>
      </c>
      <c r="N15" s="368">
        <v>44734</v>
      </c>
      <c r="O15" s="404" t="s">
        <v>61</v>
      </c>
    </row>
    <row r="16" spans="1:15" ht="75.75" customHeight="1" x14ac:dyDescent="0.2">
      <c r="A16" s="362" t="s">
        <v>32</v>
      </c>
      <c r="B16" s="365">
        <v>0</v>
      </c>
      <c r="C16" s="365">
        <v>0</v>
      </c>
      <c r="D16" s="366">
        <v>0</v>
      </c>
      <c r="E16" s="361">
        <v>0</v>
      </c>
      <c r="F16" s="361">
        <v>18.521788000000001</v>
      </c>
      <c r="G16" s="361">
        <v>18.521788000000001</v>
      </c>
      <c r="H16" s="361">
        <v>18.521788000000001</v>
      </c>
      <c r="I16" s="361">
        <v>18.521788000000001</v>
      </c>
      <c r="J16" s="361">
        <v>18.521788000000001</v>
      </c>
      <c r="K16" s="361">
        <v>18.521788000000001</v>
      </c>
      <c r="L16" s="361">
        <v>0</v>
      </c>
      <c r="M16" s="361">
        <v>0</v>
      </c>
      <c r="N16" s="368">
        <v>44734</v>
      </c>
      <c r="O16" s="404" t="s">
        <v>61</v>
      </c>
    </row>
    <row r="17" spans="1:15" ht="75.75" customHeight="1" x14ac:dyDescent="0.2">
      <c r="A17" s="356" t="s">
        <v>34</v>
      </c>
      <c r="B17" s="357">
        <v>5.1726200652774425E-2</v>
      </c>
      <c r="C17" s="357">
        <v>4.3396219768328595E-2</v>
      </c>
      <c r="D17" s="360">
        <v>3.8883740967139604E-2</v>
      </c>
      <c r="E17" s="357">
        <v>6.7524401471018791E-2</v>
      </c>
      <c r="F17" s="357">
        <v>9.2834801226854322E-2</v>
      </c>
      <c r="G17" s="357">
        <v>0.11961172074079514</v>
      </c>
      <c r="H17" s="357">
        <v>0.16141863986849786</v>
      </c>
      <c r="I17" s="357">
        <v>0.18791994079947472</v>
      </c>
      <c r="J17" s="357">
        <v>0.19407992288470269</v>
      </c>
      <c r="K17" s="357">
        <v>0.12322021797299385</v>
      </c>
      <c r="L17" s="357">
        <v>5.0490960036404429E-2</v>
      </c>
      <c r="M17" s="357">
        <v>5.1106220402289182E-2</v>
      </c>
      <c r="N17" s="368">
        <v>1129129</v>
      </c>
      <c r="O17" s="404" t="s">
        <v>62</v>
      </c>
    </row>
    <row r="18" spans="1:15" ht="160.5" customHeight="1" x14ac:dyDescent="0.2">
      <c r="A18" s="356" t="s">
        <v>33</v>
      </c>
      <c r="B18" s="357">
        <v>2.5726234823162477E-3</v>
      </c>
      <c r="C18" s="357">
        <v>2.5440464090193812E-3</v>
      </c>
      <c r="D18" s="360">
        <v>3.4262044432921295E-3</v>
      </c>
      <c r="E18" s="357">
        <v>3.0984817242084489E-2</v>
      </c>
      <c r="F18" s="357">
        <v>3.3022407993831916E-2</v>
      </c>
      <c r="G18" s="357">
        <v>3.2572929218121507E-2</v>
      </c>
      <c r="H18" s="357">
        <v>4.0002505995960128E-2</v>
      </c>
      <c r="I18" s="357">
        <v>4.2182250557716502E-2</v>
      </c>
      <c r="J18" s="357">
        <v>4.3446115410316059E-2</v>
      </c>
      <c r="K18" s="357">
        <v>3.8104650977858964E-2</v>
      </c>
      <c r="L18" s="357">
        <v>2.5298471731698851E-3</v>
      </c>
      <c r="M18" s="357">
        <v>2.4155603876361885E-3</v>
      </c>
      <c r="N18" s="368">
        <v>121723</v>
      </c>
      <c r="O18" s="404" t="s">
        <v>63</v>
      </c>
    </row>
    <row r="19" spans="1:15" x14ac:dyDescent="0.2">
      <c r="B19" s="197"/>
      <c r="C19" s="197"/>
      <c r="D19" s="197"/>
      <c r="E19" s="197"/>
      <c r="F19" s="197"/>
      <c r="G19" s="197"/>
      <c r="H19" s="197"/>
      <c r="I19" s="197"/>
      <c r="J19" s="197"/>
      <c r="K19" s="197"/>
      <c r="L19" s="197"/>
      <c r="M19" s="197"/>
      <c r="N19" s="197"/>
    </row>
    <row r="20" spans="1:15" ht="15" x14ac:dyDescent="0.25">
      <c r="A20" s="304" t="s">
        <v>44</v>
      </c>
      <c r="B20" s="576"/>
      <c r="C20" s="576"/>
      <c r="D20" s="576"/>
      <c r="E20" s="576"/>
      <c r="F20" s="577"/>
      <c r="G20" s="576"/>
      <c r="H20" s="577"/>
      <c r="I20" s="576"/>
      <c r="J20" s="576"/>
      <c r="K20" s="576"/>
      <c r="L20" s="576"/>
      <c r="M20" s="576"/>
      <c r="N20" s="574"/>
      <c r="O20" s="576"/>
    </row>
    <row r="21" spans="1:15" ht="12.75" customHeight="1" x14ac:dyDescent="0.2">
      <c r="A21" s="681" t="s">
        <v>64</v>
      </c>
      <c r="B21" s="681"/>
      <c r="C21" s="681"/>
      <c r="D21" s="681"/>
      <c r="E21" s="681"/>
      <c r="F21" s="681"/>
      <c r="G21" s="681"/>
      <c r="H21" s="681"/>
      <c r="I21" s="681"/>
      <c r="J21" s="681"/>
      <c r="K21" s="681"/>
      <c r="L21" s="681"/>
      <c r="M21" s="681"/>
      <c r="N21" s="681"/>
      <c r="O21" s="674"/>
    </row>
    <row r="22" spans="1:15" x14ac:dyDescent="0.2">
      <c r="A22" s="681" t="s">
        <v>65</v>
      </c>
      <c r="B22" s="681"/>
      <c r="C22" s="681"/>
      <c r="D22" s="681"/>
      <c r="E22" s="681"/>
      <c r="F22" s="681"/>
      <c r="G22" s="681"/>
      <c r="H22" s="681"/>
      <c r="I22" s="681"/>
      <c r="J22" s="681"/>
      <c r="K22" s="681"/>
      <c r="L22" s="681"/>
      <c r="M22" s="681"/>
      <c r="N22" s="681"/>
      <c r="O22" s="681"/>
    </row>
    <row r="23" spans="1:15" s="177" customFormat="1" ht="12.75" customHeight="1" x14ac:dyDescent="0.2">
      <c r="A23" s="685" t="s">
        <v>66</v>
      </c>
      <c r="B23" s="685"/>
      <c r="C23" s="685"/>
      <c r="D23" s="685"/>
      <c r="E23" s="685"/>
      <c r="F23" s="685"/>
      <c r="G23" s="685"/>
      <c r="H23" s="685"/>
      <c r="I23" s="685"/>
      <c r="J23" s="685"/>
      <c r="K23" s="685"/>
      <c r="L23" s="685"/>
      <c r="M23" s="685"/>
      <c r="N23" s="685"/>
      <c r="O23" s="685"/>
    </row>
    <row r="24" spans="1:15" s="177" customFormat="1" ht="12.75" customHeight="1" x14ac:dyDescent="0.2">
      <c r="A24" s="654" t="s">
        <v>67</v>
      </c>
      <c r="B24"/>
      <c r="C24"/>
      <c r="D24"/>
      <c r="E24"/>
      <c r="F24"/>
      <c r="G24"/>
      <c r="H24"/>
      <c r="I24"/>
      <c r="J24"/>
      <c r="K24"/>
      <c r="L24"/>
      <c r="M24"/>
      <c r="N24" s="574"/>
      <c r="O24"/>
    </row>
    <row r="25" spans="1:15" s="177" customFormat="1" ht="12" customHeight="1" x14ac:dyDescent="0.2">
      <c r="A25" s="654" t="s">
        <v>49</v>
      </c>
      <c r="B25"/>
      <c r="C25"/>
      <c r="D25"/>
      <c r="E25"/>
      <c r="F25"/>
      <c r="G25"/>
      <c r="H25"/>
      <c r="I25"/>
      <c r="J25"/>
      <c r="K25"/>
      <c r="L25"/>
      <c r="M25"/>
      <c r="N25" s="574"/>
      <c r="O25"/>
    </row>
    <row r="26" spans="1:15" s="177" customFormat="1" ht="12" customHeight="1" x14ac:dyDescent="0.2">
      <c r="A26" s="654"/>
      <c r="B26"/>
      <c r="C26"/>
      <c r="D26"/>
      <c r="E26"/>
      <c r="F26"/>
      <c r="G26"/>
      <c r="H26"/>
      <c r="I26"/>
      <c r="J26"/>
      <c r="K26"/>
      <c r="L26"/>
      <c r="M26"/>
      <c r="N26" s="574"/>
      <c r="O26"/>
    </row>
    <row r="27" spans="1:15" s="177" customFormat="1" ht="12" customHeight="1" x14ac:dyDescent="0.2">
      <c r="A27" s="283" t="s">
        <v>50</v>
      </c>
      <c r="B27"/>
      <c r="C27"/>
      <c r="D27"/>
      <c r="E27"/>
      <c r="F27"/>
      <c r="G27"/>
      <c r="H27"/>
      <c r="I27"/>
      <c r="J27"/>
      <c r="K27"/>
      <c r="L27"/>
      <c r="M27"/>
      <c r="N27" s="574"/>
      <c r="O27"/>
    </row>
  </sheetData>
  <mergeCells count="5">
    <mergeCell ref="A21:N21"/>
    <mergeCell ref="A22:O22"/>
    <mergeCell ref="B7:M7"/>
    <mergeCell ref="N7:N8"/>
    <mergeCell ref="A23:O23"/>
  </mergeCells>
  <phoneticPr fontId="41" type="noConversion"/>
  <printOptions horizontalCentered="1"/>
  <pageMargins left="0" right="0" top="0.55000000000000004" bottom="0.17" header="0.3" footer="0.15"/>
  <pageSetup paperSize="5" scale="48" orientation="landscape" cellComments="atEnd" r:id="rId1"/>
  <headerFooter alignWithMargins="0">
    <oddHeader xml:space="preserve">&amp;C&amp;"Arial,Bold"
</oddHeader>
    <oddFooter>&amp;Rpage 2 of 12
&amp;A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2"/>
  <sheetViews>
    <sheetView showGridLines="0" showRuler="0" topLeftCell="A8" zoomScaleNormal="100" zoomScaleSheetLayoutView="100" workbookViewId="0">
      <selection activeCell="D13" sqref="D13"/>
    </sheetView>
  </sheetViews>
  <sheetFormatPr defaultColWidth="9.140625" defaultRowHeight="40.15" customHeight="1" x14ac:dyDescent="0.2"/>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x14ac:dyDescent="0.2">
      <c r="N1" s="578"/>
    </row>
    <row r="2" spans="1:15" ht="12.75" x14ac:dyDescent="0.2">
      <c r="H2" s="175" t="s">
        <v>0</v>
      </c>
      <c r="N2" s="578"/>
    </row>
    <row r="3" spans="1:15" ht="12.75" x14ac:dyDescent="0.2">
      <c r="H3" s="231" t="str">
        <f>'Program MW '!H3</f>
        <v>January 2019</v>
      </c>
      <c r="N3" s="578"/>
    </row>
    <row r="4" spans="1:15" ht="12.75" x14ac:dyDescent="0.2">
      <c r="F4" s="177"/>
      <c r="G4" s="177"/>
      <c r="I4" s="177"/>
      <c r="N4" s="578"/>
      <c r="O4" s="57"/>
    </row>
    <row r="5" spans="1:15" ht="12.75" x14ac:dyDescent="0.2">
      <c r="B5" s="177"/>
      <c r="C5" s="177"/>
      <c r="D5" s="177"/>
      <c r="F5" s="175"/>
      <c r="N5" s="578"/>
    </row>
    <row r="6" spans="1:15" ht="12.75" x14ac:dyDescent="0.2">
      <c r="F6" s="175"/>
      <c r="N6" s="578"/>
    </row>
    <row r="7" spans="1:15" ht="40.15" customHeight="1" x14ac:dyDescent="0.2">
      <c r="A7" s="55"/>
      <c r="B7" s="682" t="s">
        <v>68</v>
      </c>
      <c r="C7" s="682"/>
      <c r="D7" s="682"/>
      <c r="E7" s="682"/>
      <c r="F7" s="682"/>
      <c r="G7" s="682"/>
      <c r="H7" s="682"/>
      <c r="I7" s="682"/>
      <c r="J7" s="682"/>
      <c r="K7" s="682"/>
      <c r="L7" s="682"/>
      <c r="M7" s="682"/>
      <c r="N7" s="683" t="s">
        <v>69</v>
      </c>
      <c r="O7" s="55"/>
    </row>
    <row r="8" spans="1:15" ht="40.15" customHeight="1" x14ac:dyDescent="0.2">
      <c r="A8" s="56" t="s">
        <v>53</v>
      </c>
      <c r="B8" s="672" t="s">
        <v>3</v>
      </c>
      <c r="C8" s="672" t="s">
        <v>4</v>
      </c>
      <c r="D8" s="672" t="s">
        <v>5</v>
      </c>
      <c r="E8" s="672" t="s">
        <v>6</v>
      </c>
      <c r="F8" s="672" t="s">
        <v>7</v>
      </c>
      <c r="G8" s="672" t="s">
        <v>8</v>
      </c>
      <c r="H8" s="672" t="s">
        <v>37</v>
      </c>
      <c r="I8" s="672" t="s">
        <v>38</v>
      </c>
      <c r="J8" s="672" t="s">
        <v>39</v>
      </c>
      <c r="K8" s="672" t="s">
        <v>40</v>
      </c>
      <c r="L8" s="672" t="s">
        <v>41</v>
      </c>
      <c r="M8" s="672" t="s">
        <v>42</v>
      </c>
      <c r="N8" s="684"/>
      <c r="O8" s="374" t="s">
        <v>54</v>
      </c>
    </row>
    <row r="9" spans="1:15" ht="75.75" customHeight="1" x14ac:dyDescent="0.2">
      <c r="A9" s="356" t="s">
        <v>20</v>
      </c>
      <c r="B9" s="357">
        <v>423.79489135742188</v>
      </c>
      <c r="C9" s="357">
        <v>423.79489135742188</v>
      </c>
      <c r="D9" s="360">
        <v>423.79489135742188</v>
      </c>
      <c r="E9" s="367">
        <v>423.79489135742188</v>
      </c>
      <c r="F9" s="367">
        <v>423.79489135742188</v>
      </c>
      <c r="G9" s="367">
        <v>423.79489135742188</v>
      </c>
      <c r="H9" s="367">
        <v>423.79489135742188</v>
      </c>
      <c r="I9" s="367">
        <v>423.79489135742188</v>
      </c>
      <c r="J9" s="367">
        <v>423.79489135742188</v>
      </c>
      <c r="K9" s="367">
        <v>423.79489135742188</v>
      </c>
      <c r="L9" s="367">
        <v>423.79489135742188</v>
      </c>
      <c r="M9" s="367">
        <v>423.79489135742188</v>
      </c>
      <c r="N9" s="376">
        <f>+'Ex ante LI &amp; Eligibility Stats'!N9</f>
        <v>5142</v>
      </c>
      <c r="O9" s="375" t="str">
        <f>+'Ex ante LI &amp; Eligibility Stats'!O9</f>
        <v xml:space="preserve">Applicable to all non-residential time-of-use metered customers who can commit to curtail at least 15% of Monthly Average Peak Demand, with a minimum load reduction of 100 kW and who request service per the BIP Schedule and comply with Special Condition 3. The BIP Schedule is available to bundled, Direct Access, and Community Choice Aggregation (CCA) customers. Qualifying customers are required to complete a Base Interruptible Program Contract with SDG&amp;E in order to participate in BIP Tariff. </v>
      </c>
    </row>
    <row r="10" spans="1:15" ht="75.75" customHeight="1" x14ac:dyDescent="0.2">
      <c r="A10" s="356" t="s">
        <v>23</v>
      </c>
      <c r="B10" s="357">
        <v>1.455878734588623</v>
      </c>
      <c r="C10" s="357">
        <v>1.455878734588623</v>
      </c>
      <c r="D10" s="360">
        <v>1.455878734588623</v>
      </c>
      <c r="E10" s="369">
        <v>1.455878734588623</v>
      </c>
      <c r="F10" s="369">
        <v>1.455878734588623</v>
      </c>
      <c r="G10" s="369">
        <v>1.455878734588623</v>
      </c>
      <c r="H10" s="369">
        <v>1.455878734588623</v>
      </c>
      <c r="I10" s="369">
        <v>1.455878734588623</v>
      </c>
      <c r="J10" s="369">
        <v>1.455878734588623</v>
      </c>
      <c r="K10" s="369">
        <v>1.455878734588623</v>
      </c>
      <c r="L10" s="369">
        <v>1.455878734588623</v>
      </c>
      <c r="M10" s="369">
        <v>1.455878734588623</v>
      </c>
      <c r="N10" s="376">
        <f>+'Ex ante LI &amp; Eligibility Stats'!N10</f>
        <v>18466</v>
      </c>
      <c r="O10" s="375"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Direct Access (DA) or Community Choice Aggregation (CCA) customers.</v>
      </c>
    </row>
    <row r="11" spans="1:15" ht="75.75" customHeight="1" x14ac:dyDescent="0.2">
      <c r="A11" s="356" t="s">
        <v>27</v>
      </c>
      <c r="B11" s="357">
        <v>0.42622583166797401</v>
      </c>
      <c r="C11" s="357">
        <v>0.42622583166797401</v>
      </c>
      <c r="D11" s="360">
        <v>0.42622583166797401</v>
      </c>
      <c r="E11" s="357">
        <v>0.42622583166797401</v>
      </c>
      <c r="F11" s="367">
        <v>0.42622583166797401</v>
      </c>
      <c r="G11" s="367">
        <v>0.42622583166797401</v>
      </c>
      <c r="H11" s="367">
        <v>0.42622583166797401</v>
      </c>
      <c r="I11" s="367">
        <v>0.42622583166797401</v>
      </c>
      <c r="J11" s="367">
        <v>0.42622583166797401</v>
      </c>
      <c r="K11" s="367">
        <v>0.42622583166797401</v>
      </c>
      <c r="L11" s="367">
        <v>0.42622583166797401</v>
      </c>
      <c r="M11" s="367">
        <v>0.42622583166797401</v>
      </c>
      <c r="N11" s="376">
        <f>+'Ex ante LI &amp; Eligibility Stats'!N11</f>
        <v>564565</v>
      </c>
      <c r="O11" s="375"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Direct Access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x14ac:dyDescent="0.2">
      <c r="A12" s="356" t="s">
        <v>28</v>
      </c>
      <c r="B12" s="357">
        <v>1.2212848663330078</v>
      </c>
      <c r="C12" s="357">
        <v>1.2212848663330078</v>
      </c>
      <c r="D12" s="360">
        <v>1.2212848663330078</v>
      </c>
      <c r="E12" s="369">
        <v>1.2212848663330078</v>
      </c>
      <c r="F12" s="369">
        <v>1.2212848663330078</v>
      </c>
      <c r="G12" s="369">
        <v>1.2212848663330078</v>
      </c>
      <c r="H12" s="369">
        <v>1.2212848663330078</v>
      </c>
      <c r="I12" s="369">
        <v>1.2212848663330078</v>
      </c>
      <c r="J12" s="369">
        <v>1.2212848663330078</v>
      </c>
      <c r="K12" s="369">
        <v>1.2212848663330078</v>
      </c>
      <c r="L12" s="369">
        <v>1.2212848663330078</v>
      </c>
      <c r="M12" s="369">
        <v>1.2212848663330078</v>
      </c>
      <c r="N12" s="376">
        <f>+'Ex ante LI &amp; Eligibility Stats'!N12</f>
        <v>152067</v>
      </c>
      <c r="O12" s="375" t="str">
        <f>+'Ex ante LI &amp; Eligibility Stats'!O12</f>
        <v>AC Saver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v>
      </c>
    </row>
    <row r="13" spans="1:15" ht="75.75" customHeight="1" x14ac:dyDescent="0.2">
      <c r="A13" s="356" t="s">
        <v>29</v>
      </c>
      <c r="B13" s="367">
        <v>0.41538170000000002</v>
      </c>
      <c r="C13" s="367">
        <v>0.41538170000000002</v>
      </c>
      <c r="D13" s="370">
        <v>0.41538170000000002</v>
      </c>
      <c r="E13" s="367">
        <v>0.41538170000000002</v>
      </c>
      <c r="F13" s="367">
        <v>0.41538170000000002</v>
      </c>
      <c r="G13" s="367">
        <v>0.41538170000000002</v>
      </c>
      <c r="H13" s="367">
        <v>0.41538170000000002</v>
      </c>
      <c r="I13" s="367">
        <v>0.41538170000000002</v>
      </c>
      <c r="J13" s="367">
        <v>0.41538170000000002</v>
      </c>
      <c r="K13" s="367">
        <v>0.41538170000000002</v>
      </c>
      <c r="L13" s="367">
        <v>0.41538170000000002</v>
      </c>
      <c r="M13" s="367">
        <v>0.41538170000000002</v>
      </c>
      <c r="N13" s="376">
        <f>+'Ex ante LI &amp; Eligibility Stats'!N13</f>
        <v>564565</v>
      </c>
      <c r="O13" s="375"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Direct Access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x14ac:dyDescent="0.2">
      <c r="A14" s="356" t="s">
        <v>30</v>
      </c>
      <c r="B14" s="367">
        <v>0.2080882</v>
      </c>
      <c r="C14" s="367">
        <v>0.2080882</v>
      </c>
      <c r="D14" s="370">
        <v>0.2080882</v>
      </c>
      <c r="E14" s="367">
        <v>0.2080882</v>
      </c>
      <c r="F14" s="367">
        <v>0.2080882</v>
      </c>
      <c r="G14" s="367">
        <v>0.2080882</v>
      </c>
      <c r="H14" s="367">
        <v>0.2080882</v>
      </c>
      <c r="I14" s="367">
        <v>0.2080882</v>
      </c>
      <c r="J14" s="367">
        <v>0.2080882</v>
      </c>
      <c r="K14" s="367">
        <v>0.2080882</v>
      </c>
      <c r="L14" s="367">
        <v>0.2080882</v>
      </c>
      <c r="M14" s="367">
        <v>0.2080882</v>
      </c>
      <c r="N14" s="376">
        <f>+'Ex ante LI &amp; Eligibility Stats'!N14</f>
        <v>134989</v>
      </c>
      <c r="O14" s="375" t="str">
        <f>+'Ex ante LI &amp; Eligibility Stats'!O14</f>
        <v>AC Saver is a voluntary demand response program available to all commercial customers with air conditioner (AC) units installed at their premise with SDG&amp;E approved technology capable of curtailing the customers’ AC unit. The AC Saver Schedule is available to customers receiving Bundled Utility Service or, Direct Access (DA) service and billed by the Utility. Service on the AC Saver Schedule must be taken in combination with the customer’s otherwise applicable rate schedule. Note: AC Saver Day Of we used 85% based on commercial estimates.</v>
      </c>
    </row>
    <row r="15" spans="1:15" ht="75.75" customHeight="1" x14ac:dyDescent="0.2">
      <c r="A15" s="362" t="s">
        <v>31</v>
      </c>
      <c r="B15" s="367">
        <v>9.9073341911764707</v>
      </c>
      <c r="C15" s="367">
        <v>9.9073341911764707</v>
      </c>
      <c r="D15" s="370">
        <v>9.9073341911764707</v>
      </c>
      <c r="E15" s="369">
        <v>9.9073341911764707</v>
      </c>
      <c r="F15" s="369">
        <v>9.9073341911764707</v>
      </c>
      <c r="G15" s="369">
        <v>9.9073341911764707</v>
      </c>
      <c r="H15" s="369">
        <v>9.9073341911764707</v>
      </c>
      <c r="I15" s="369">
        <v>9.9073341911764707</v>
      </c>
      <c r="J15" s="369">
        <v>9.9073341911764707</v>
      </c>
      <c r="K15" s="369">
        <v>9.9073341911764707</v>
      </c>
      <c r="L15" s="369">
        <v>9.9073341911764707</v>
      </c>
      <c r="M15" s="369">
        <v>9.9073341911764707</v>
      </c>
      <c r="N15" s="376">
        <f>+'Ex ante LI &amp; Eligibility Stats'!N15</f>
        <v>44734</v>
      </c>
      <c r="O15" s="375" t="str">
        <f>+'Ex ante LI &amp; Eligibility Stats'!O15</f>
        <v xml:space="preserve">The CBP Schedule is available to commercial and industrial Utility customers receiving Bundled Utility service, Direct Access (“DA”) service or Community Choice Aggregation (“CCA”) service, and being billed on a Utility commercial, industrial or agricultural rate schedule. </v>
      </c>
    </row>
    <row r="16" spans="1:15" ht="75.75" customHeight="1" x14ac:dyDescent="0.2">
      <c r="A16" s="362" t="s">
        <v>32</v>
      </c>
      <c r="B16" s="371">
        <v>18.384060344827585</v>
      </c>
      <c r="C16" s="371">
        <v>18.384060344827585</v>
      </c>
      <c r="D16" s="372">
        <v>18.384060344827585</v>
      </c>
      <c r="E16" s="373">
        <v>18.384060344827585</v>
      </c>
      <c r="F16" s="373">
        <v>18.384060344827585</v>
      </c>
      <c r="G16" s="373">
        <v>18.384060344827585</v>
      </c>
      <c r="H16" s="373">
        <v>18.384060344827585</v>
      </c>
      <c r="I16" s="373">
        <v>18.384060344827585</v>
      </c>
      <c r="J16" s="373">
        <v>18.384060344827585</v>
      </c>
      <c r="K16" s="373">
        <v>18.384060344827585</v>
      </c>
      <c r="L16" s="373">
        <v>18.384060344827585</v>
      </c>
      <c r="M16" s="373">
        <v>18.384060344827585</v>
      </c>
      <c r="N16" s="376">
        <f>+'Ex ante LI &amp; Eligibility Stats'!N16</f>
        <v>44734</v>
      </c>
      <c r="O16" s="375" t="str">
        <f>+'Ex ante LI &amp; Eligibility Stats'!O16</f>
        <v xml:space="preserve">The CBP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x14ac:dyDescent="0.2">
      <c r="A17" s="356" t="s">
        <v>34</v>
      </c>
      <c r="B17" s="357">
        <v>0.1831938624382019</v>
      </c>
      <c r="C17" s="357">
        <v>0.1831938624382019</v>
      </c>
      <c r="D17" s="357">
        <v>0.1831938624382019</v>
      </c>
      <c r="E17" s="357">
        <v>0.1831938624382019</v>
      </c>
      <c r="F17" s="357">
        <v>0.1831938624382019</v>
      </c>
      <c r="G17" s="357">
        <v>0.1831938624382019</v>
      </c>
      <c r="H17" s="357">
        <v>0.1831938624382019</v>
      </c>
      <c r="I17" s="357">
        <v>0.1831938624382019</v>
      </c>
      <c r="J17" s="357">
        <v>0.1831938624382019</v>
      </c>
      <c r="K17" s="357">
        <v>0.1831938624382019</v>
      </c>
      <c r="L17" s="357">
        <v>0.1831938624382019</v>
      </c>
      <c r="M17" s="357">
        <v>0.1831938624382019</v>
      </c>
      <c r="N17" s="376">
        <f>+'Ex ante LI &amp; Eligibility Stats'!N17</f>
        <v>1129129</v>
      </c>
      <c r="O17" s="375"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Direct Access (DA), Transitional Bundled Service (TBS) or Community Choice Aggregation (CCA) customers. </v>
      </c>
    </row>
    <row r="18" spans="1:26" ht="160.5" customHeight="1" x14ac:dyDescent="0.2">
      <c r="A18" s="356" t="s">
        <v>33</v>
      </c>
      <c r="B18" s="357">
        <v>3.9058972150087357E-2</v>
      </c>
      <c r="C18" s="357">
        <v>3.9058972150087357E-2</v>
      </c>
      <c r="D18" s="360">
        <v>3.9058972150087357E-2</v>
      </c>
      <c r="E18" s="357">
        <v>3.9058972150087357E-2</v>
      </c>
      <c r="F18" s="357">
        <v>3.9058972150087357E-2</v>
      </c>
      <c r="G18" s="357">
        <v>3.9058972150087357E-2</v>
      </c>
      <c r="H18" s="357">
        <v>3.9058972150087357E-2</v>
      </c>
      <c r="I18" s="357">
        <v>3.9058972150087357E-2</v>
      </c>
      <c r="J18" s="357">
        <v>3.9058972150087357E-2</v>
      </c>
      <c r="K18" s="357">
        <v>3.9058972150087357E-2</v>
      </c>
      <c r="L18" s="357">
        <v>3.9058972150087357E-2</v>
      </c>
      <c r="M18" s="357">
        <v>3.9058972150087357E-2</v>
      </c>
      <c r="N18" s="376">
        <f>+'Ex ante LI &amp; Eligibility Stats'!N18</f>
        <v>121723</v>
      </c>
      <c r="O18" s="375"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Direct Access (DA), Transitional Bundled Service (TBS) or Community Choice Aggregation (CCA) customers.</v>
      </c>
    </row>
    <row r="19" spans="1:26" ht="16.5" customHeight="1" x14ac:dyDescent="0.2">
      <c r="A19" s="57"/>
      <c r="B19" s="579"/>
      <c r="C19" s="579"/>
      <c r="D19" s="580"/>
      <c r="E19" s="579"/>
      <c r="F19" s="579"/>
      <c r="G19" s="579"/>
      <c r="H19" s="579"/>
      <c r="I19" s="579"/>
      <c r="J19" s="579"/>
      <c r="K19" s="579"/>
      <c r="L19" s="579"/>
      <c r="M19" s="579"/>
      <c r="N19" s="235"/>
      <c r="O19" s="57"/>
    </row>
    <row r="20" spans="1:26" ht="15" x14ac:dyDescent="0.2">
      <c r="A20" s="686" t="s">
        <v>70</v>
      </c>
      <c r="B20" s="686"/>
      <c r="C20" s="686"/>
      <c r="D20" s="686"/>
      <c r="E20" s="686"/>
      <c r="F20" s="686"/>
      <c r="G20" s="686"/>
      <c r="H20" s="686"/>
      <c r="I20" s="686"/>
      <c r="J20" s="686"/>
      <c r="K20" s="686"/>
      <c r="L20" s="686"/>
      <c r="M20" s="686"/>
      <c r="N20" s="686"/>
      <c r="O20" s="686"/>
    </row>
    <row r="21" spans="1:26" ht="12.75" x14ac:dyDescent="0.2">
      <c r="A21" s="687" t="s">
        <v>71</v>
      </c>
      <c r="B21" s="688"/>
      <c r="C21" s="688"/>
      <c r="D21" s="688"/>
      <c r="E21" s="688"/>
      <c r="F21" s="688"/>
      <c r="G21" s="688"/>
      <c r="H21" s="688"/>
      <c r="I21" s="688"/>
      <c r="J21" s="688"/>
      <c r="K21" s="688"/>
      <c r="L21" s="688"/>
      <c r="M21" s="688"/>
      <c r="N21" s="688"/>
      <c r="O21" s="688"/>
    </row>
    <row r="22" spans="1:26" ht="12.75" x14ac:dyDescent="0.2">
      <c r="A22" s="681" t="s">
        <v>72</v>
      </c>
      <c r="B22" s="681"/>
      <c r="C22" s="681"/>
      <c r="D22" s="681"/>
      <c r="E22" s="681"/>
      <c r="F22" s="681"/>
      <c r="G22" s="681"/>
      <c r="H22" s="681"/>
      <c r="I22" s="681"/>
      <c r="J22" s="681"/>
      <c r="K22" s="681"/>
      <c r="L22" s="673"/>
      <c r="M22" s="673"/>
      <c r="N22" s="673"/>
      <c r="O22" s="673"/>
    </row>
    <row r="23" spans="1:26" s="10" customFormat="1" ht="12.75" x14ac:dyDescent="0.2">
      <c r="A23" s="679" t="s">
        <v>46</v>
      </c>
      <c r="B23" s="680"/>
      <c r="C23" s="680"/>
      <c r="D23" s="680"/>
      <c r="E23" s="680"/>
      <c r="F23" s="680"/>
      <c r="G23" s="680"/>
      <c r="H23" s="680"/>
      <c r="I23" s="680"/>
      <c r="J23" s="680"/>
      <c r="K23" s="680"/>
      <c r="L23" s="680"/>
      <c r="M23" s="680"/>
      <c r="N23" s="680"/>
      <c r="O23" s="13"/>
      <c r="P23" s="13"/>
      <c r="Q23" s="13"/>
      <c r="R23" s="13"/>
      <c r="S23" s="13"/>
      <c r="T23" s="172"/>
      <c r="U23" s="172"/>
      <c r="V23" s="172"/>
      <c r="W23" s="172"/>
      <c r="X23" s="172"/>
      <c r="Y23" s="172"/>
      <c r="Z23" s="172"/>
    </row>
    <row r="24" spans="1:26" s="10" customFormat="1" ht="12.75" x14ac:dyDescent="0.2">
      <c r="A24" s="670"/>
      <c r="B24" s="671"/>
      <c r="C24" s="671"/>
      <c r="D24" s="671"/>
      <c r="E24" s="671"/>
      <c r="F24" s="671"/>
      <c r="G24" s="671"/>
      <c r="H24" s="671"/>
      <c r="I24" s="671"/>
      <c r="J24" s="671"/>
      <c r="K24" s="671"/>
      <c r="L24" s="671"/>
      <c r="M24" s="671"/>
      <c r="N24" s="671"/>
      <c r="O24" s="13"/>
      <c r="P24" s="13"/>
      <c r="Q24" s="13"/>
      <c r="R24" s="13"/>
      <c r="S24" s="13"/>
      <c r="T24" s="172"/>
      <c r="U24" s="172"/>
      <c r="V24" s="172"/>
      <c r="W24" s="172"/>
      <c r="X24" s="172"/>
      <c r="Y24" s="172"/>
      <c r="Z24" s="172"/>
    </row>
    <row r="25" spans="1:26" ht="40.15" customHeight="1" x14ac:dyDescent="0.2">
      <c r="A25" s="305" t="s">
        <v>50</v>
      </c>
      <c r="N25" s="578"/>
    </row>
    <row r="52" spans="1:1" ht="40.15" customHeight="1" x14ac:dyDescent="0.2">
      <c r="A52" s="239"/>
    </row>
  </sheetData>
  <mergeCells count="6">
    <mergeCell ref="A22:K22"/>
    <mergeCell ref="A23:N23"/>
    <mergeCell ref="B7:M7"/>
    <mergeCell ref="N7:N8"/>
    <mergeCell ref="A20:O20"/>
    <mergeCell ref="A21:O21"/>
  </mergeCells>
  <phoneticPr fontId="0" type="noConversion"/>
  <printOptions horizontalCentered="1"/>
  <pageMargins left="0" right="0" top="0.55000000000000004" bottom="0.17" header="0.3" footer="0.15"/>
  <pageSetup paperSize="5" scale="47" orientation="landscape" cellComments="atEnd" r:id="rId1"/>
  <headerFooter alignWithMargins="0">
    <oddHeader xml:space="preserve">&amp;C&amp;"Arial,Bold"
</oddHeader>
    <oddFooter>&amp;Rpage 3 of 12
&amp;A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zoomScale="80" zoomScaleNormal="80" zoomScaleSheetLayoutView="70" workbookViewId="0">
      <selection sqref="A1:XFD1048576"/>
    </sheetView>
  </sheetViews>
  <sheetFormatPr defaultColWidth="9.140625" defaultRowHeight="12.75" x14ac:dyDescent="0.2"/>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x14ac:dyDescent="0.2">
      <c r="A1" s="59" t="s">
        <v>73</v>
      </c>
    </row>
    <row r="3" spans="1:25" ht="21.75" customHeight="1" x14ac:dyDescent="0.2">
      <c r="A3" s="111">
        <v>2016</v>
      </c>
      <c r="B3" s="689" t="s">
        <v>3</v>
      </c>
      <c r="C3" s="689"/>
      <c r="D3" s="689"/>
      <c r="E3" s="689"/>
      <c r="F3" s="690" t="s">
        <v>4</v>
      </c>
      <c r="G3" s="690"/>
      <c r="H3" s="690"/>
      <c r="I3" s="690"/>
      <c r="J3" s="690" t="s">
        <v>5</v>
      </c>
      <c r="K3" s="690"/>
      <c r="L3" s="690"/>
      <c r="M3" s="690"/>
      <c r="N3" s="690" t="s">
        <v>6</v>
      </c>
      <c r="O3" s="690"/>
      <c r="P3" s="690"/>
      <c r="Q3" s="690"/>
      <c r="R3" s="690" t="s">
        <v>7</v>
      </c>
      <c r="S3" s="690"/>
      <c r="T3" s="690"/>
      <c r="U3" s="690"/>
      <c r="V3" s="690" t="s">
        <v>8</v>
      </c>
      <c r="W3" s="690"/>
      <c r="X3" s="690"/>
      <c r="Y3" s="690"/>
    </row>
    <row r="4" spans="1:25" ht="79.5" customHeight="1" x14ac:dyDescent="0.2">
      <c r="A4" s="675" t="s">
        <v>74</v>
      </c>
      <c r="B4" s="70" t="s">
        <v>75</v>
      </c>
      <c r="C4" s="70" t="s">
        <v>76</v>
      </c>
      <c r="D4" s="70" t="s">
        <v>77</v>
      </c>
      <c r="E4" s="70" t="s">
        <v>78</v>
      </c>
      <c r="F4" s="70" t="s">
        <v>75</v>
      </c>
      <c r="G4" s="70" t="s">
        <v>76</v>
      </c>
      <c r="H4" s="70" t="s">
        <v>77</v>
      </c>
      <c r="I4" s="70" t="s">
        <v>78</v>
      </c>
      <c r="J4" s="70" t="s">
        <v>75</v>
      </c>
      <c r="K4" s="70" t="s">
        <v>76</v>
      </c>
      <c r="L4" s="70" t="s">
        <v>77</v>
      </c>
      <c r="M4" s="70" t="s">
        <v>78</v>
      </c>
      <c r="N4" s="70" t="s">
        <v>75</v>
      </c>
      <c r="O4" s="70" t="s">
        <v>76</v>
      </c>
      <c r="P4" s="70" t="s">
        <v>77</v>
      </c>
      <c r="Q4" s="70" t="s">
        <v>78</v>
      </c>
      <c r="R4" s="70" t="s">
        <v>75</v>
      </c>
      <c r="S4" s="70" t="s">
        <v>76</v>
      </c>
      <c r="T4" s="70" t="s">
        <v>77</v>
      </c>
      <c r="U4" s="70" t="s">
        <v>78</v>
      </c>
      <c r="V4" s="70" t="s">
        <v>75</v>
      </c>
      <c r="W4" s="70" t="s">
        <v>76</v>
      </c>
      <c r="X4" s="70" t="s">
        <v>77</v>
      </c>
      <c r="Y4" s="70" t="s">
        <v>78</v>
      </c>
    </row>
    <row r="5" spans="1:25" x14ac:dyDescent="0.2">
      <c r="A5" s="112" t="s">
        <v>79</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x14ac:dyDescent="0.2">
      <c r="A6" s="112" t="s">
        <v>80</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x14ac:dyDescent="0.2">
      <c r="A7" s="113" t="s">
        <v>81</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x14ac:dyDescent="0.2">
      <c r="A8" s="113"/>
      <c r="B8" s="79"/>
      <c r="C8" s="124"/>
      <c r="D8" s="124"/>
      <c r="E8" s="125"/>
      <c r="F8" s="79"/>
      <c r="G8" s="78"/>
      <c r="H8" s="78"/>
      <c r="I8" s="76"/>
      <c r="J8" s="80"/>
      <c r="K8" s="78"/>
      <c r="L8" s="78"/>
      <c r="M8" s="76"/>
      <c r="N8" s="80"/>
      <c r="O8" s="78"/>
      <c r="P8" s="78"/>
      <c r="Q8" s="76"/>
      <c r="R8" s="80"/>
      <c r="S8" s="78"/>
      <c r="T8" s="78"/>
      <c r="U8" s="76"/>
      <c r="V8" s="80"/>
      <c r="W8" s="78"/>
      <c r="X8" s="78"/>
      <c r="Y8" s="76"/>
    </row>
    <row r="9" spans="1:25" x14ac:dyDescent="0.2">
      <c r="A9" s="114" t="s">
        <v>19</v>
      </c>
      <c r="B9" s="81"/>
      <c r="C9" s="70"/>
      <c r="D9" s="70"/>
      <c r="E9" s="676"/>
      <c r="F9" s="81"/>
      <c r="G9" s="82"/>
      <c r="H9" s="83"/>
      <c r="I9" s="83"/>
      <c r="J9" s="84"/>
      <c r="K9" s="82"/>
      <c r="L9" s="83"/>
      <c r="M9" s="76"/>
      <c r="N9" s="84"/>
      <c r="O9" s="82"/>
      <c r="P9" s="83"/>
      <c r="Q9" s="76"/>
      <c r="R9" s="84"/>
      <c r="S9" s="82"/>
      <c r="T9" s="83"/>
      <c r="U9" s="76"/>
      <c r="V9" s="84"/>
      <c r="W9" s="82"/>
      <c r="X9" s="83"/>
      <c r="Y9" s="76">
        <f>SUM(W9:X9)</f>
        <v>0</v>
      </c>
    </row>
    <row r="10" spans="1:25" x14ac:dyDescent="0.2">
      <c r="A10" s="112" t="s">
        <v>82</v>
      </c>
      <c r="B10" s="120"/>
      <c r="C10" s="120"/>
      <c r="D10" s="73"/>
      <c r="E10" s="75"/>
      <c r="F10" s="71"/>
      <c r="G10" s="74"/>
      <c r="H10" s="73"/>
      <c r="I10" s="75"/>
      <c r="J10" s="78"/>
      <c r="K10" s="73" t="s">
        <v>83</v>
      </c>
      <c r="L10" s="73"/>
      <c r="M10" s="76"/>
      <c r="N10" s="78"/>
      <c r="O10" s="73" t="s">
        <v>83</v>
      </c>
      <c r="P10" s="73"/>
      <c r="Q10" s="76"/>
      <c r="R10" s="78"/>
      <c r="S10" s="73" t="s">
        <v>83</v>
      </c>
      <c r="T10" s="73"/>
      <c r="U10" s="76"/>
      <c r="V10" s="78"/>
      <c r="W10" s="73" t="s">
        <v>83</v>
      </c>
      <c r="X10" s="73"/>
      <c r="Y10" s="76">
        <f>SUM(W10:X10)</f>
        <v>0</v>
      </c>
    </row>
    <row r="11" spans="1:25" x14ac:dyDescent="0.2">
      <c r="A11" s="112" t="s">
        <v>84</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x14ac:dyDescent="0.2">
      <c r="A12" s="112"/>
      <c r="B12" s="72"/>
      <c r="C12" s="73"/>
      <c r="D12" s="73"/>
      <c r="E12" s="126"/>
      <c r="F12" s="71"/>
      <c r="G12" s="74"/>
      <c r="H12" s="74"/>
      <c r="I12" s="78"/>
      <c r="J12" s="78"/>
      <c r="K12" s="74"/>
      <c r="L12" s="74"/>
      <c r="M12" s="76" t="s">
        <v>83</v>
      </c>
      <c r="N12" s="78"/>
      <c r="O12" s="74"/>
      <c r="P12" s="74"/>
      <c r="Q12" s="76" t="s">
        <v>83</v>
      </c>
      <c r="R12" s="78"/>
      <c r="S12" s="74"/>
      <c r="T12" s="74"/>
      <c r="U12" s="76" t="s">
        <v>83</v>
      </c>
      <c r="V12" s="78"/>
      <c r="W12" s="74"/>
      <c r="X12" s="74"/>
      <c r="Y12" s="76" t="s">
        <v>83</v>
      </c>
    </row>
    <row r="13" spans="1:25" s="59" customFormat="1" x14ac:dyDescent="0.2">
      <c r="A13" s="113" t="s">
        <v>81</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x14ac:dyDescent="0.2">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x14ac:dyDescent="0.2">
      <c r="A15" s="113" t="s">
        <v>78</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x14ac:dyDescent="0.2">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x14ac:dyDescent="0.2">
      <c r="A17" s="675" t="s">
        <v>85</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x14ac:dyDescent="0.2">
      <c r="A18" s="116" t="s">
        <v>86</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x14ac:dyDescent="0.2">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x14ac:dyDescent="0.2">
      <c r="A20" s="117" t="s">
        <v>81</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x14ac:dyDescent="0.2">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x14ac:dyDescent="0.2">
      <c r="A22" s="113" t="s">
        <v>87</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x14ac:dyDescent="0.2">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x14ac:dyDescent="0.2">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x14ac:dyDescent="0.2">
      <c r="A25" s="118"/>
      <c r="B25" s="690" t="s">
        <v>37</v>
      </c>
      <c r="C25" s="690"/>
      <c r="D25" s="690"/>
      <c r="E25" s="690"/>
      <c r="F25" s="690" t="s">
        <v>88</v>
      </c>
      <c r="G25" s="690"/>
      <c r="H25" s="690"/>
      <c r="I25" s="690" t="s">
        <v>37</v>
      </c>
      <c r="J25" s="690" t="s">
        <v>89</v>
      </c>
      <c r="K25" s="690"/>
      <c r="L25" s="690"/>
      <c r="M25" s="690" t="s">
        <v>37</v>
      </c>
      <c r="N25" s="690" t="s">
        <v>40</v>
      </c>
      <c r="O25" s="690"/>
      <c r="P25" s="690"/>
      <c r="Q25" s="690" t="s">
        <v>37</v>
      </c>
      <c r="R25" s="690" t="s">
        <v>90</v>
      </c>
      <c r="S25" s="690"/>
      <c r="T25" s="690"/>
      <c r="U25" s="690" t="s">
        <v>37</v>
      </c>
      <c r="V25" s="690" t="s">
        <v>42</v>
      </c>
      <c r="W25" s="690"/>
      <c r="X25" s="690"/>
      <c r="Y25" s="690" t="s">
        <v>37</v>
      </c>
    </row>
    <row r="26" spans="1:25" ht="38.25" x14ac:dyDescent="0.2">
      <c r="A26" s="675" t="s">
        <v>74</v>
      </c>
      <c r="B26" s="70" t="s">
        <v>75</v>
      </c>
      <c r="C26" s="70" t="s">
        <v>76</v>
      </c>
      <c r="D26" s="70" t="s">
        <v>77</v>
      </c>
      <c r="E26" s="70" t="s">
        <v>78</v>
      </c>
      <c r="F26" s="70" t="s">
        <v>75</v>
      </c>
      <c r="G26" s="70" t="s">
        <v>76</v>
      </c>
      <c r="H26" s="70" t="s">
        <v>77</v>
      </c>
      <c r="I26" s="70" t="s">
        <v>78</v>
      </c>
      <c r="J26" s="70" t="s">
        <v>75</v>
      </c>
      <c r="K26" s="70" t="s">
        <v>76</v>
      </c>
      <c r="L26" s="70" t="s">
        <v>77</v>
      </c>
      <c r="M26" s="70" t="s">
        <v>78</v>
      </c>
      <c r="N26" s="70" t="s">
        <v>75</v>
      </c>
      <c r="O26" s="70" t="s">
        <v>76</v>
      </c>
      <c r="P26" s="70" t="s">
        <v>77</v>
      </c>
      <c r="Q26" s="70" t="s">
        <v>78</v>
      </c>
      <c r="R26" s="70" t="s">
        <v>75</v>
      </c>
      <c r="S26" s="70" t="s">
        <v>76</v>
      </c>
      <c r="T26" s="70" t="s">
        <v>77</v>
      </c>
      <c r="U26" s="70" t="s">
        <v>78</v>
      </c>
      <c r="V26" s="70" t="s">
        <v>75</v>
      </c>
      <c r="W26" s="70" t="s">
        <v>76</v>
      </c>
      <c r="X26" s="70" t="s">
        <v>77</v>
      </c>
      <c r="Y26" s="70" t="s">
        <v>78</v>
      </c>
    </row>
    <row r="27" spans="1:25" x14ac:dyDescent="0.2">
      <c r="A27" s="112" t="s">
        <v>91</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x14ac:dyDescent="0.2">
      <c r="A28" s="112" t="s">
        <v>80</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x14ac:dyDescent="0.2">
      <c r="A29" s="112" t="s">
        <v>92</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x14ac:dyDescent="0.2">
      <c r="A30" s="112" t="s">
        <v>93</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x14ac:dyDescent="0.2">
      <c r="A31" s="112" t="s">
        <v>94</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x14ac:dyDescent="0.2">
      <c r="A32" s="112" t="s">
        <v>95</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x14ac:dyDescent="0.2">
      <c r="A33" s="113" t="s">
        <v>81</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x14ac:dyDescent="0.2">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x14ac:dyDescent="0.2">
      <c r="A35" s="114" t="s">
        <v>19</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x14ac:dyDescent="0.2">
      <c r="A36" s="112" t="s">
        <v>82</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x14ac:dyDescent="0.2">
      <c r="A37" s="112" t="s">
        <v>96</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x14ac:dyDescent="0.2">
      <c r="A38" s="112" t="s">
        <v>84</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x14ac:dyDescent="0.2">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x14ac:dyDescent="0.2">
      <c r="A40" s="113" t="s">
        <v>81</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x14ac:dyDescent="0.2">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x14ac:dyDescent="0.2">
      <c r="A42" s="113" t="s">
        <v>78</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x14ac:dyDescent="0.2">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x14ac:dyDescent="0.2">
      <c r="A44" s="675" t="s">
        <v>85</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x14ac:dyDescent="0.2">
      <c r="A45" s="116" t="s">
        <v>86</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x14ac:dyDescent="0.2">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x14ac:dyDescent="0.2">
      <c r="A47" s="117" t="s">
        <v>81</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x14ac:dyDescent="0.2">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x14ac:dyDescent="0.2">
      <c r="A49" s="113" t="s">
        <v>87</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x14ac:dyDescent="0.2">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x14ac:dyDescent="0.2">
      <c r="A51" s="59" t="s">
        <v>44</v>
      </c>
      <c r="B51" s="59"/>
      <c r="C51" s="61" t="s">
        <v>97</v>
      </c>
      <c r="D51" s="61"/>
      <c r="E51" s="61"/>
      <c r="F51" s="59"/>
      <c r="G51" s="61"/>
      <c r="H51" s="61"/>
      <c r="I51" s="59"/>
      <c r="J51" s="59"/>
      <c r="K51" s="61"/>
      <c r="L51" s="61"/>
      <c r="M51" s="59"/>
      <c r="N51" s="59"/>
      <c r="O51" s="61"/>
      <c r="P51" s="61"/>
      <c r="Q51" s="59"/>
      <c r="R51" s="59"/>
      <c r="S51" s="61"/>
      <c r="T51" s="61"/>
      <c r="V51" s="59"/>
      <c r="W51" s="61"/>
      <c r="X51" s="61"/>
      <c r="Y51" s="59"/>
    </row>
    <row r="52" spans="1:25" x14ac:dyDescent="0.2">
      <c r="W52" s="61"/>
      <c r="X52" s="61"/>
    </row>
    <row r="53" spans="1:25" x14ac:dyDescent="0.2">
      <c r="A53" s="59" t="s">
        <v>98</v>
      </c>
      <c r="B53" s="59" t="s">
        <v>99</v>
      </c>
      <c r="D53" s="61"/>
      <c r="G53" s="61"/>
      <c r="I53" s="59"/>
      <c r="K53" s="61"/>
      <c r="M53" s="59"/>
      <c r="O53" s="61"/>
      <c r="P53" s="61"/>
      <c r="S53" s="61"/>
      <c r="T53" s="61"/>
      <c r="W53" s="61"/>
      <c r="X53" s="61"/>
    </row>
    <row r="54" spans="1:25" x14ac:dyDescent="0.2">
      <c r="A54" s="59" t="s">
        <v>100</v>
      </c>
      <c r="B54" s="59" t="s">
        <v>101</v>
      </c>
      <c r="D54" s="61"/>
      <c r="G54" s="61"/>
      <c r="I54" s="59"/>
      <c r="K54" s="61"/>
      <c r="M54" s="59"/>
      <c r="O54" s="61"/>
      <c r="P54" s="61"/>
      <c r="S54" s="61"/>
      <c r="T54" s="61"/>
    </row>
    <row r="55" spans="1:25" x14ac:dyDescent="0.2">
      <c r="A55" s="59" t="s">
        <v>102</v>
      </c>
      <c r="B55" s="59" t="s">
        <v>103</v>
      </c>
      <c r="D55" s="61"/>
      <c r="G55" s="61"/>
      <c r="I55" s="59"/>
      <c r="K55" s="61"/>
      <c r="M55" s="59"/>
      <c r="U55" s="68"/>
      <c r="V55" s="68"/>
      <c r="Y55" s="68"/>
    </row>
    <row r="56" spans="1:25" x14ac:dyDescent="0.2">
      <c r="A56" s="59" t="s">
        <v>104</v>
      </c>
      <c r="B56" s="59" t="s">
        <v>105</v>
      </c>
      <c r="D56" s="61"/>
      <c r="F56" s="68"/>
      <c r="I56" s="68"/>
      <c r="J56" s="68"/>
      <c r="M56" s="68"/>
      <c r="N56" s="68"/>
      <c r="Q56" s="68"/>
      <c r="R56" s="68"/>
      <c r="W56" s="61"/>
      <c r="X56" s="61"/>
    </row>
    <row r="57" spans="1:25" x14ac:dyDescent="0.2">
      <c r="A57" s="59"/>
      <c r="B57" s="59"/>
      <c r="D57" s="61"/>
      <c r="G57" s="61"/>
      <c r="I57" s="59"/>
      <c r="K57" s="61"/>
      <c r="M57" s="59"/>
      <c r="O57" s="61"/>
      <c r="P57" s="61"/>
      <c r="S57" s="61"/>
      <c r="T57" s="61"/>
      <c r="U57" s="68"/>
      <c r="V57" s="68"/>
      <c r="Y57" s="68"/>
    </row>
    <row r="58" spans="1:25" x14ac:dyDescent="0.2">
      <c r="A58" s="68"/>
      <c r="B58" s="68"/>
      <c r="F58" s="68"/>
      <c r="I58" s="68"/>
      <c r="J58" s="68"/>
      <c r="M58" s="68"/>
      <c r="N58" s="68"/>
      <c r="Q58" s="68"/>
      <c r="R58" s="68"/>
      <c r="U58" s="68"/>
      <c r="V58" s="68"/>
      <c r="Y58" s="68"/>
    </row>
    <row r="59" spans="1:25" x14ac:dyDescent="0.2">
      <c r="A59" s="68"/>
      <c r="B59" s="68"/>
      <c r="F59" s="68"/>
      <c r="I59" s="68"/>
      <c r="J59" s="68"/>
      <c r="M59" s="68"/>
      <c r="N59" s="68"/>
      <c r="Q59" s="68"/>
      <c r="R59" s="68"/>
      <c r="U59" s="68"/>
      <c r="V59" s="68"/>
      <c r="Y59" s="68"/>
    </row>
    <row r="60" spans="1:25" x14ac:dyDescent="0.2">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50"/>
  <sheetViews>
    <sheetView showRuler="0" showWhiteSpace="0" topLeftCell="A39" zoomScale="80" zoomScaleNormal="80" workbookViewId="0">
      <selection sqref="A1:N46"/>
    </sheetView>
  </sheetViews>
  <sheetFormatPr defaultColWidth="9.140625" defaultRowHeight="12.75" x14ac:dyDescent="0.2"/>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x14ac:dyDescent="0.2">
      <c r="B2" s="541" t="s">
        <v>0</v>
      </c>
      <c r="C2" s="59"/>
      <c r="D2" s="59"/>
      <c r="E2" s="542"/>
      <c r="F2" s="542"/>
      <c r="G2" s="542"/>
      <c r="H2" s="542"/>
      <c r="I2" s="542"/>
      <c r="J2" s="542"/>
      <c r="K2" s="542"/>
      <c r="L2" s="542"/>
      <c r="M2" s="542"/>
      <c r="N2" s="59"/>
    </row>
    <row r="3" spans="1:14" ht="18" x14ac:dyDescent="0.25">
      <c r="B3" s="691" t="s">
        <v>106</v>
      </c>
      <c r="C3" s="691"/>
      <c r="D3" s="691"/>
      <c r="E3" s="691"/>
      <c r="F3" s="691"/>
      <c r="G3" s="691"/>
      <c r="H3" s="691"/>
      <c r="I3" s="691"/>
      <c r="J3" s="691"/>
      <c r="K3" s="691"/>
      <c r="L3" s="691"/>
      <c r="M3" s="691"/>
      <c r="N3" s="691"/>
    </row>
    <row r="4" spans="1:14" ht="18" x14ac:dyDescent="0.25">
      <c r="A4" s="191"/>
      <c r="B4" s="59"/>
      <c r="C4" s="59"/>
      <c r="D4" s="59"/>
      <c r="E4" s="59"/>
      <c r="F4" s="543"/>
      <c r="G4" s="692" t="str">
        <f>'Program MW '!H3</f>
        <v>January 2019</v>
      </c>
      <c r="H4" s="692"/>
      <c r="I4" s="543"/>
      <c r="J4" s="59"/>
      <c r="K4" s="59"/>
      <c r="L4" s="59"/>
      <c r="M4" s="59"/>
      <c r="N4" s="59"/>
    </row>
    <row r="5" spans="1:14" x14ac:dyDescent="0.2">
      <c r="B5" s="232"/>
      <c r="C5" s="232"/>
      <c r="D5" s="232"/>
    </row>
    <row r="7" spans="1:14" ht="21.75" customHeight="1" x14ac:dyDescent="0.2">
      <c r="A7" s="111"/>
      <c r="B7" s="192" t="s">
        <v>107</v>
      </c>
      <c r="C7" s="192" t="s">
        <v>108</v>
      </c>
      <c r="D7" s="192" t="s">
        <v>5</v>
      </c>
      <c r="E7" s="192" t="s">
        <v>6</v>
      </c>
      <c r="F7" s="192" t="s">
        <v>109</v>
      </c>
      <c r="G7" s="192" t="s">
        <v>8</v>
      </c>
      <c r="H7" s="192" t="s">
        <v>37</v>
      </c>
      <c r="I7" s="192" t="s">
        <v>88</v>
      </c>
      <c r="J7" s="192" t="s">
        <v>89</v>
      </c>
      <c r="K7" s="192" t="s">
        <v>40</v>
      </c>
      <c r="L7" s="192" t="s">
        <v>90</v>
      </c>
      <c r="M7" s="193" t="s">
        <v>42</v>
      </c>
    </row>
    <row r="8" spans="1:14" ht="38.25" x14ac:dyDescent="0.2">
      <c r="A8" s="379" t="s">
        <v>110</v>
      </c>
      <c r="B8" s="435" t="s">
        <v>76</v>
      </c>
      <c r="C8" s="145" t="s">
        <v>76</v>
      </c>
      <c r="D8" s="145" t="s">
        <v>76</v>
      </c>
      <c r="E8" s="145" t="s">
        <v>76</v>
      </c>
      <c r="F8" s="145" t="s">
        <v>76</v>
      </c>
      <c r="G8" s="145" t="s">
        <v>76</v>
      </c>
      <c r="H8" s="145" t="s">
        <v>76</v>
      </c>
      <c r="I8" s="145" t="s">
        <v>76</v>
      </c>
      <c r="J8" s="145" t="s">
        <v>76</v>
      </c>
      <c r="K8" s="145" t="s">
        <v>76</v>
      </c>
      <c r="L8" s="145" t="s">
        <v>111</v>
      </c>
      <c r="M8" s="145" t="s">
        <v>111</v>
      </c>
    </row>
    <row r="9" spans="1:14" x14ac:dyDescent="0.2">
      <c r="A9" s="434" t="s">
        <v>79</v>
      </c>
      <c r="B9" s="436">
        <v>0</v>
      </c>
      <c r="C9" s="436">
        <v>0</v>
      </c>
      <c r="D9" s="436">
        <v>0</v>
      </c>
      <c r="E9" s="436">
        <v>0</v>
      </c>
      <c r="F9" s="436">
        <v>0</v>
      </c>
      <c r="G9" s="436">
        <v>0</v>
      </c>
      <c r="H9" s="436">
        <v>0</v>
      </c>
      <c r="I9" s="436">
        <v>0</v>
      </c>
      <c r="J9" s="436">
        <v>0</v>
      </c>
      <c r="K9" s="436">
        <v>0</v>
      </c>
      <c r="L9" s="436">
        <v>0</v>
      </c>
      <c r="M9" s="436">
        <v>0</v>
      </c>
    </row>
    <row r="10" spans="1:14" x14ac:dyDescent="0.2">
      <c r="A10" s="434" t="s">
        <v>80</v>
      </c>
      <c r="B10" s="436">
        <v>0</v>
      </c>
      <c r="C10" s="436">
        <v>0</v>
      </c>
      <c r="D10" s="436">
        <v>0</v>
      </c>
      <c r="E10" s="436">
        <v>0</v>
      </c>
      <c r="F10" s="436">
        <v>0</v>
      </c>
      <c r="G10" s="436">
        <v>0</v>
      </c>
      <c r="H10" s="436">
        <v>0</v>
      </c>
      <c r="I10" s="436">
        <v>0</v>
      </c>
      <c r="J10" s="436">
        <v>0</v>
      </c>
      <c r="K10" s="436">
        <v>0</v>
      </c>
      <c r="L10" s="436">
        <v>0</v>
      </c>
      <c r="M10" s="436">
        <v>0</v>
      </c>
    </row>
    <row r="11" spans="1:14" x14ac:dyDescent="0.2">
      <c r="A11" s="195" t="s">
        <v>112</v>
      </c>
      <c r="B11" s="73">
        <v>0</v>
      </c>
      <c r="C11" s="73">
        <v>0</v>
      </c>
      <c r="D11" s="73">
        <v>0</v>
      </c>
      <c r="E11" s="73">
        <v>0</v>
      </c>
      <c r="F11" s="73">
        <v>0</v>
      </c>
      <c r="G11" s="73">
        <v>0</v>
      </c>
      <c r="H11" s="73">
        <v>0</v>
      </c>
      <c r="I11" s="73">
        <v>0</v>
      </c>
      <c r="J11" s="73">
        <v>0</v>
      </c>
      <c r="K11" s="73">
        <v>0</v>
      </c>
      <c r="L11" s="73">
        <v>0</v>
      </c>
      <c r="M11" s="73">
        <v>0</v>
      </c>
    </row>
    <row r="12" spans="1:14" x14ac:dyDescent="0.2">
      <c r="A12" s="195" t="s">
        <v>113</v>
      </c>
      <c r="B12" s="121">
        <v>0</v>
      </c>
      <c r="C12" s="121">
        <v>0</v>
      </c>
      <c r="D12" s="121">
        <v>0</v>
      </c>
      <c r="E12" s="121">
        <v>0</v>
      </c>
      <c r="F12" s="121">
        <v>0</v>
      </c>
      <c r="G12" s="121">
        <v>0</v>
      </c>
      <c r="H12" s="121">
        <v>0</v>
      </c>
      <c r="I12" s="121">
        <v>0</v>
      </c>
      <c r="J12" s="121">
        <v>0</v>
      </c>
      <c r="K12" s="121">
        <v>0</v>
      </c>
      <c r="L12" s="121">
        <v>0</v>
      </c>
      <c r="M12" s="121">
        <v>0</v>
      </c>
    </row>
    <row r="13" spans="1:14" s="59" customFormat="1" x14ac:dyDescent="0.2">
      <c r="A13" s="194" t="s">
        <v>81</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6">
        <f t="shared" si="2"/>
        <v>0</v>
      </c>
      <c r="K13" s="76">
        <f t="shared" ref="K13" si="3">SUM(K9:K12)</f>
        <v>0</v>
      </c>
      <c r="L13" s="76">
        <f t="shared" ref="L13" si="4">SUM(L9:L12)</f>
        <v>0</v>
      </c>
      <c r="M13" s="76">
        <f t="shared" si="2"/>
        <v>0</v>
      </c>
    </row>
    <row r="14" spans="1:14" s="67" customFormat="1" x14ac:dyDescent="0.2">
      <c r="A14" s="59"/>
      <c r="B14" s="63"/>
      <c r="C14" s="65"/>
      <c r="D14" s="65"/>
      <c r="E14" s="65"/>
      <c r="F14" s="65"/>
      <c r="G14" s="65"/>
    </row>
    <row r="15" spans="1:14" ht="15" x14ac:dyDescent="0.25">
      <c r="A15" s="308" t="s">
        <v>44</v>
      </c>
      <c r="G15" s="61"/>
    </row>
    <row r="16" spans="1:14" ht="15" x14ac:dyDescent="0.2">
      <c r="A16" s="658" t="s">
        <v>114</v>
      </c>
      <c r="B16" s="232"/>
      <c r="C16" s="232"/>
      <c r="D16" s="405"/>
      <c r="E16" s="405"/>
      <c r="F16" s="405"/>
      <c r="G16" s="232"/>
      <c r="H16" s="232"/>
      <c r="I16" s="232"/>
      <c r="J16" s="232"/>
      <c r="K16" s="232"/>
    </row>
    <row r="20" spans="1:17" ht="21.75" customHeight="1" x14ac:dyDescent="0.2">
      <c r="A20" s="111"/>
      <c r="B20" s="192" t="s">
        <v>107</v>
      </c>
      <c r="C20" s="192" t="s">
        <v>108</v>
      </c>
      <c r="D20" s="192" t="s">
        <v>5</v>
      </c>
      <c r="E20" s="192" t="s">
        <v>6</v>
      </c>
      <c r="F20" s="192" t="s">
        <v>109</v>
      </c>
      <c r="G20" s="192" t="s">
        <v>8</v>
      </c>
      <c r="H20" s="192" t="s">
        <v>37</v>
      </c>
      <c r="I20" s="192" t="s">
        <v>88</v>
      </c>
      <c r="J20" s="192" t="s">
        <v>89</v>
      </c>
      <c r="K20" s="192" t="s">
        <v>40</v>
      </c>
      <c r="L20" s="192" t="s">
        <v>90</v>
      </c>
      <c r="M20" s="193" t="s">
        <v>42</v>
      </c>
      <c r="P20" s="547"/>
      <c r="Q20" s="547"/>
    </row>
    <row r="21" spans="1:17" ht="51" x14ac:dyDescent="0.2">
      <c r="A21" s="378" t="s">
        <v>110</v>
      </c>
      <c r="B21" s="145" t="s">
        <v>115</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47"/>
    </row>
    <row r="22" spans="1:17" x14ac:dyDescent="0.2">
      <c r="A22" s="195" t="s">
        <v>27</v>
      </c>
      <c r="B22" s="73">
        <f>'Program MW '!B16*'Ex post LI &amp; Eligibility Stats'!B11/1000</f>
        <v>7.1981018452087451</v>
      </c>
      <c r="C22" s="73">
        <f>'Program MW '!E16*'Ex post LI &amp; Eligibility Stats'!C11/1000</f>
        <v>0</v>
      </c>
      <c r="D22" s="73">
        <f>'Program MW '!H16*'Ex post LI &amp; Eligibility Stats'!D11/1000</f>
        <v>0</v>
      </c>
      <c r="E22" s="73">
        <f>'Program MW '!E16*'Ex post LI &amp; Eligibility Stats'!E11/1000</f>
        <v>0</v>
      </c>
      <c r="F22" s="73">
        <f>'Program MW '!F16*'Ex post LI &amp; Eligibility Stats'!F11/1000</f>
        <v>0</v>
      </c>
      <c r="G22" s="73">
        <f>'Program MW '!G16*'Ex post LI &amp; Eligibility Stats'!G11/1000</f>
        <v>0</v>
      </c>
      <c r="H22" s="73">
        <f>'Program MW '!H16*'Ex post LI &amp; Eligibility Stats'!H11/1000</f>
        <v>0</v>
      </c>
      <c r="I22" s="73">
        <f>'Program MW '!I16*'Ex post LI &amp; Eligibility Stats'!I11/1000</f>
        <v>0</v>
      </c>
      <c r="J22" s="73">
        <f>'Program MW '!J16*'Ex post LI &amp; Eligibility Stats'!J11/1000</f>
        <v>0</v>
      </c>
      <c r="K22" s="73">
        <f>'Program MW '!K16*'Ex post LI &amp; Eligibility Stats'!K11/1000</f>
        <v>0</v>
      </c>
      <c r="L22" s="73">
        <f>'Program MW '!L16*'Ex post LI &amp; Eligibility Stats'!L11/1000</f>
        <v>0</v>
      </c>
      <c r="M22" s="73">
        <f>'Program MW '!M16*'Ex post LI &amp; Eligibility Stats'!M11/1000</f>
        <v>0</v>
      </c>
      <c r="Q22" s="547"/>
    </row>
    <row r="23" spans="1:17" x14ac:dyDescent="0.2">
      <c r="A23" s="195" t="s">
        <v>34</v>
      </c>
      <c r="B23" s="73">
        <f>'Ex post LI &amp; Eligibility Stats'!B11/1000*825</f>
        <v>0.35163631112607852</v>
      </c>
      <c r="C23" s="73">
        <f>'Ex post LI &amp; Eligibility Stats'!C13/1000</f>
        <v>4.1538170000000001E-4</v>
      </c>
      <c r="D23" s="73">
        <f>'Ex post LI &amp; Eligibility Stats'!D13/1000</f>
        <v>4.1538170000000001E-4</v>
      </c>
      <c r="E23" s="73">
        <f>'Ex post LI &amp; Eligibility Stats'!E13/1000</f>
        <v>4.1538170000000001E-4</v>
      </c>
      <c r="F23" s="73">
        <f>'Ex post LI &amp; Eligibility Stats'!F13/1000</f>
        <v>4.1538170000000001E-4</v>
      </c>
      <c r="G23" s="73">
        <f>'Ex post LI &amp; Eligibility Stats'!G13/1000</f>
        <v>4.1538170000000001E-4</v>
      </c>
      <c r="H23" s="73">
        <f>'Ex post LI &amp; Eligibility Stats'!H13/1000</f>
        <v>4.1538170000000001E-4</v>
      </c>
      <c r="I23" s="73">
        <f>'Ex post LI &amp; Eligibility Stats'!I13/1000</f>
        <v>4.1538170000000001E-4</v>
      </c>
      <c r="J23" s="73">
        <f>'Ex post LI &amp; Eligibility Stats'!J13/1000</f>
        <v>4.1538170000000001E-4</v>
      </c>
      <c r="K23" s="73">
        <f>'Ex post LI &amp; Eligibility Stats'!K13/1000</f>
        <v>4.1538170000000001E-4</v>
      </c>
      <c r="L23" s="73">
        <f>'Ex post LI &amp; Eligibility Stats'!L13/1000</f>
        <v>4.1538170000000001E-4</v>
      </c>
      <c r="M23" s="73">
        <f>'Ex post LI &amp; Eligibility Stats'!M13/1000</f>
        <v>4.1538170000000001E-4</v>
      </c>
    </row>
    <row r="24" spans="1:17" x14ac:dyDescent="0.2">
      <c r="A24" s="183" t="s">
        <v>116</v>
      </c>
      <c r="B24" s="73">
        <v>0</v>
      </c>
      <c r="C24" s="73">
        <v>0</v>
      </c>
      <c r="D24" s="73">
        <v>0</v>
      </c>
      <c r="E24" s="73">
        <v>0</v>
      </c>
      <c r="F24" s="73">
        <v>0</v>
      </c>
      <c r="G24" s="73">
        <v>0</v>
      </c>
      <c r="H24" s="73">
        <v>0</v>
      </c>
      <c r="I24" s="73">
        <v>0</v>
      </c>
      <c r="J24" s="73">
        <v>0</v>
      </c>
      <c r="K24" s="73">
        <v>0</v>
      </c>
      <c r="L24" s="73">
        <v>0</v>
      </c>
      <c r="M24" s="73">
        <v>0</v>
      </c>
    </row>
    <row r="25" spans="1:17" x14ac:dyDescent="0.2">
      <c r="A25" s="195" t="s">
        <v>113</v>
      </c>
      <c r="B25" s="73">
        <f>'Ex post LI &amp; Eligibility Stats'!B12/1000*838</f>
        <v>1.0234367179870605</v>
      </c>
      <c r="C25" s="73">
        <f>'Ex post LI &amp; Eligibility Stats'!C12/1000</f>
        <v>1.2212848663330077E-3</v>
      </c>
      <c r="D25" s="73">
        <f>'Ex post LI &amp; Eligibility Stats'!D12/1000</f>
        <v>1.2212848663330077E-3</v>
      </c>
      <c r="E25" s="73">
        <f>'Ex post LI &amp; Eligibility Stats'!E12/1000</f>
        <v>1.2212848663330077E-3</v>
      </c>
      <c r="F25" s="73">
        <f>'Ex post LI &amp; Eligibility Stats'!F12/1000</f>
        <v>1.2212848663330077E-3</v>
      </c>
      <c r="G25" s="73">
        <f>'Ex post LI &amp; Eligibility Stats'!G12/1000</f>
        <v>1.2212848663330077E-3</v>
      </c>
      <c r="H25" s="73">
        <f>'Ex post LI &amp; Eligibility Stats'!H12/1000</f>
        <v>1.2212848663330077E-3</v>
      </c>
      <c r="I25" s="73">
        <f>'Ex post LI &amp; Eligibility Stats'!I12/1000</f>
        <v>1.2212848663330077E-3</v>
      </c>
      <c r="J25" s="73">
        <f>'Ex post LI &amp; Eligibility Stats'!J12/1000</f>
        <v>1.2212848663330077E-3</v>
      </c>
      <c r="K25" s="73">
        <f>'Ex post LI &amp; Eligibility Stats'!K12/1000</f>
        <v>1.2212848663330077E-3</v>
      </c>
      <c r="L25" s="73">
        <f>'Ex post LI &amp; Eligibility Stats'!L12/1000</f>
        <v>1.2212848663330077E-3</v>
      </c>
      <c r="M25" s="73">
        <f>'Ex post LI &amp; Eligibility Stats'!M12/1000</f>
        <v>1.2212848663330077E-3</v>
      </c>
    </row>
    <row r="26" spans="1:17" s="59" customFormat="1" x14ac:dyDescent="0.2">
      <c r="A26" s="194" t="s">
        <v>81</v>
      </c>
      <c r="B26" s="123">
        <f t="shared" ref="B26:K26" si="6">SUM(B22:B25)</f>
        <v>8.5731748743218841</v>
      </c>
      <c r="C26" s="76">
        <f t="shared" si="6"/>
        <v>1.6366665663330078E-3</v>
      </c>
      <c r="D26" s="76">
        <f t="shared" si="6"/>
        <v>1.6366665663330078E-3</v>
      </c>
      <c r="E26" s="76">
        <f t="shared" si="6"/>
        <v>1.6366665663330078E-3</v>
      </c>
      <c r="F26" s="76">
        <f t="shared" si="6"/>
        <v>1.6366665663330078E-3</v>
      </c>
      <c r="G26" s="76">
        <f>SUM(G22:G25)</f>
        <v>1.6366665663330078E-3</v>
      </c>
      <c r="H26" s="76">
        <f t="shared" si="6"/>
        <v>1.6366665663330078E-3</v>
      </c>
      <c r="I26" s="76">
        <f t="shared" si="6"/>
        <v>1.6366665663330078E-3</v>
      </c>
      <c r="J26" s="76">
        <f t="shared" si="6"/>
        <v>1.6366665663330078E-3</v>
      </c>
      <c r="K26" s="76">
        <f t="shared" si="6"/>
        <v>1.6366665663330078E-3</v>
      </c>
      <c r="L26" s="76">
        <f>SUM(L22:L25)</f>
        <v>1.6366665663330078E-3</v>
      </c>
      <c r="M26" s="76">
        <f>SUM(M22:M25)</f>
        <v>1.6366665663330078E-3</v>
      </c>
    </row>
    <row r="27" spans="1:17" s="67" customFormat="1" x14ac:dyDescent="0.2">
      <c r="A27" s="59"/>
      <c r="B27" s="63"/>
      <c r="C27" s="65"/>
      <c r="D27" s="65"/>
      <c r="E27" s="65"/>
      <c r="F27" s="65"/>
      <c r="G27" s="65"/>
    </row>
    <row r="28" spans="1:17" ht="15" x14ac:dyDescent="0.25">
      <c r="A28" s="308" t="s">
        <v>44</v>
      </c>
      <c r="G28" s="61"/>
    </row>
    <row r="29" spans="1:17" ht="15" x14ac:dyDescent="0.2">
      <c r="A29" s="655" t="s">
        <v>117</v>
      </c>
      <c r="G29" s="61"/>
    </row>
    <row r="30" spans="1:17" ht="15" x14ac:dyDescent="0.2">
      <c r="A30" s="657" t="s">
        <v>118</v>
      </c>
      <c r="C30" s="61"/>
      <c r="D30" s="61"/>
      <c r="E30" s="61"/>
      <c r="F30" s="61"/>
      <c r="G30" s="61"/>
    </row>
    <row r="31" spans="1:17" x14ac:dyDescent="0.2">
      <c r="C31" s="61"/>
      <c r="D31" s="61"/>
      <c r="E31" s="61"/>
      <c r="F31" s="61"/>
      <c r="G31" s="61"/>
    </row>
    <row r="32" spans="1:17" ht="21.75" customHeight="1" x14ac:dyDescent="0.2">
      <c r="A32" s="111"/>
      <c r="B32" s="192" t="s">
        <v>107</v>
      </c>
      <c r="C32" s="192" t="s">
        <v>108</v>
      </c>
      <c r="D32" s="192" t="s">
        <v>5</v>
      </c>
      <c r="E32" s="192" t="s">
        <v>6</v>
      </c>
      <c r="F32" s="192" t="s">
        <v>109</v>
      </c>
      <c r="G32" s="192" t="s">
        <v>8</v>
      </c>
      <c r="H32" s="192" t="s">
        <v>37</v>
      </c>
      <c r="I32" s="192" t="s">
        <v>88</v>
      </c>
      <c r="J32" s="192" t="s">
        <v>89</v>
      </c>
      <c r="K32" s="192" t="s">
        <v>40</v>
      </c>
      <c r="L32" s="192" t="s">
        <v>90</v>
      </c>
      <c r="M32" s="193" t="s">
        <v>42</v>
      </c>
    </row>
    <row r="33" spans="1:13" ht="51" x14ac:dyDescent="0.2">
      <c r="A33" s="378" t="s">
        <v>110</v>
      </c>
      <c r="B33" s="145" t="s">
        <v>119</v>
      </c>
      <c r="C33" s="145" t="str">
        <f>B33</f>
        <v>Technology Deployment- Commercial MWs</v>
      </c>
      <c r="D33" s="145" t="str">
        <f>B33</f>
        <v>Technology Deployment- Commercial MWs</v>
      </c>
      <c r="E33" s="145" t="str">
        <f t="shared" ref="E33" si="7">C33</f>
        <v>Technology Deployment- Commercial MWs</v>
      </c>
      <c r="F33" s="145" t="str">
        <f t="shared" ref="F33" si="8">D33</f>
        <v>Technology Deployment- Commercial MWs</v>
      </c>
      <c r="G33" s="145" t="str">
        <f t="shared" ref="G33" si="9">E33</f>
        <v>Technology Deployment- Commercial MWs</v>
      </c>
      <c r="H33" s="145" t="str">
        <f t="shared" ref="H33" si="10">F33</f>
        <v>Technology Deployment- Commercial MWs</v>
      </c>
      <c r="I33" s="145" t="str">
        <f t="shared" ref="I33" si="11">G33</f>
        <v>Technology Deployment- Commercial MWs</v>
      </c>
      <c r="J33" s="145" t="str">
        <f t="shared" ref="J33" si="12">H33</f>
        <v>Technology Deployment- Commercial MWs</v>
      </c>
      <c r="K33" s="145" t="str">
        <f t="shared" ref="K33" si="13">I33</f>
        <v>Technology Deployment- Commercial MWs</v>
      </c>
      <c r="L33" s="145" t="str">
        <f t="shared" ref="L33" si="14">J33</f>
        <v>Technology Deployment- Commercial MWs</v>
      </c>
      <c r="M33" s="145" t="str">
        <f t="shared" ref="M33" si="15">K33</f>
        <v>Technology Deployment- Commercial MWs</v>
      </c>
    </row>
    <row r="34" spans="1:13" x14ac:dyDescent="0.2">
      <c r="A34" s="195" t="s">
        <v>28</v>
      </c>
      <c r="B34" s="73">
        <f>'Ex post LI &amp; Eligibility Stats'!B12*'Program MW '!B17/1000</f>
        <v>1.9064256763458252</v>
      </c>
      <c r="C34" s="73">
        <f>'Ex post LI &amp; Eligibility Stats'!B12*'Program MW '!E17/1000</f>
        <v>0</v>
      </c>
      <c r="D34" s="73">
        <f>'Ex post LI &amp; Eligibility Stats'!C12*'Program MW '!F17/1000</f>
        <v>0</v>
      </c>
      <c r="E34" s="73">
        <f>'Ex post LI &amp; Eligibility Stats'!D12*'Program MW '!G17/1000</f>
        <v>0</v>
      </c>
      <c r="F34" s="73">
        <f>'Ex post LI &amp; Eligibility Stats'!E12*'Program MW '!H17/1000</f>
        <v>0</v>
      </c>
      <c r="G34" s="73">
        <f>'Ex post LI &amp; Eligibility Stats'!F12*'Program MW '!I17/1000</f>
        <v>0</v>
      </c>
      <c r="H34" s="73">
        <f>'Ex post LI &amp; Eligibility Stats'!G12*'Program MW '!J17/1000</f>
        <v>0</v>
      </c>
      <c r="I34" s="73">
        <f>'Ex post LI &amp; Eligibility Stats'!H12*'Program MW '!K17/1000</f>
        <v>0</v>
      </c>
      <c r="J34" s="73">
        <f>'Ex post LI &amp; Eligibility Stats'!I12*'Program MW '!L17/1000</f>
        <v>0</v>
      </c>
      <c r="K34" s="73">
        <f>'Ex post LI &amp; Eligibility Stats'!J12*'Program MW '!M17/1000</f>
        <v>0</v>
      </c>
      <c r="L34" s="73">
        <f>'Ex post LI &amp; Eligibility Stats'!K12*'Program MW '!N17/1000</f>
        <v>0</v>
      </c>
      <c r="M34" s="73">
        <f>'Ex post LI &amp; Eligibility Stats'!L12*'Program MW '!O17/1000</f>
        <v>0</v>
      </c>
    </row>
    <row r="35" spans="1:13" x14ac:dyDescent="0.2">
      <c r="A35" s="195" t="s">
        <v>33</v>
      </c>
      <c r="B35" s="73">
        <f>'Ex post LI &amp; Eligibility Stats'!B13*'Program MW '!B18/1000</f>
        <v>4.5243374764000004</v>
      </c>
      <c r="C35" s="73">
        <f>'Ex post LI &amp; Eligibility Stats'!B13*'Program MW '!E18/1000</f>
        <v>0</v>
      </c>
      <c r="D35" s="73">
        <f>'Ex post LI &amp; Eligibility Stats'!C13*'Program MW '!F18/1000</f>
        <v>0</v>
      </c>
      <c r="E35" s="73">
        <f>'Ex post LI &amp; Eligibility Stats'!D13*'Program MW '!G18/1000</f>
        <v>0</v>
      </c>
      <c r="F35" s="73">
        <f>'Ex post LI &amp; Eligibility Stats'!E13*'Program MW '!H18/1000</f>
        <v>0</v>
      </c>
      <c r="G35" s="73">
        <f>'Ex post LI &amp; Eligibility Stats'!F13*'Program MW '!I18/1000</f>
        <v>0</v>
      </c>
      <c r="H35" s="73">
        <f>'Ex post LI &amp; Eligibility Stats'!G13*'Program MW '!J18/1000</f>
        <v>0</v>
      </c>
      <c r="I35" s="73">
        <f>'Ex post LI &amp; Eligibility Stats'!H13*'Program MW '!K18/1000</f>
        <v>0</v>
      </c>
      <c r="J35" s="73">
        <f>'Ex post LI &amp; Eligibility Stats'!I13*'Program MW '!L18/1000</f>
        <v>0</v>
      </c>
      <c r="K35" s="73">
        <f>'Ex post LI &amp; Eligibility Stats'!J13*'Program MW '!M18/1000</f>
        <v>0</v>
      </c>
      <c r="L35" s="73">
        <f>'Ex post LI &amp; Eligibility Stats'!K13*'Program MW '!N18/1000</f>
        <v>0</v>
      </c>
      <c r="M35" s="73">
        <f>'Ex post LI &amp; Eligibility Stats'!L13*'Program MW '!O18/1000</f>
        <v>0</v>
      </c>
    </row>
    <row r="36" spans="1:13" x14ac:dyDescent="0.2">
      <c r="A36" s="195" t="s">
        <v>79</v>
      </c>
      <c r="B36" s="73">
        <f>'Ex post LI &amp; Eligibility Stats'!B14*'Program MW '!B19/1000</f>
        <v>0.83776309319999998</v>
      </c>
      <c r="C36" s="73">
        <f>'Ex post LI &amp; Eligibility Stats'!B14*'Program MW '!E19/1000</f>
        <v>0</v>
      </c>
      <c r="D36" s="73">
        <f>'Ex post LI &amp; Eligibility Stats'!C14*'Program MW '!F19/1000</f>
        <v>0</v>
      </c>
      <c r="E36" s="73">
        <f>'Ex post LI &amp; Eligibility Stats'!D14*'Program MW '!G19/1000</f>
        <v>0</v>
      </c>
      <c r="F36" s="73">
        <f>'Ex post LI &amp; Eligibility Stats'!E14*'Program MW '!H19/1000</f>
        <v>0</v>
      </c>
      <c r="G36" s="73">
        <f>'Ex post LI &amp; Eligibility Stats'!F14*'Program MW '!I19/1000</f>
        <v>0</v>
      </c>
      <c r="H36" s="73">
        <f>'Ex post LI &amp; Eligibility Stats'!G14*'Program MW '!J19/1000</f>
        <v>0</v>
      </c>
      <c r="I36" s="73">
        <f>'Ex post LI &amp; Eligibility Stats'!H14*'Program MW '!K19/1000</f>
        <v>0</v>
      </c>
      <c r="J36" s="73">
        <f>'Ex post LI &amp; Eligibility Stats'!I14*'Program MW '!L19/1000</f>
        <v>0</v>
      </c>
      <c r="K36" s="73">
        <f>'Ex post LI &amp; Eligibility Stats'!J14*'Program MW '!M19/1000</f>
        <v>0</v>
      </c>
      <c r="L36" s="73">
        <f>'Ex post LI &amp; Eligibility Stats'!K14*'Program MW '!N19/1000</f>
        <v>0</v>
      </c>
      <c r="M36" s="73">
        <f>'Ex post LI &amp; Eligibility Stats'!L14*'Program MW '!O19/1000</f>
        <v>0</v>
      </c>
    </row>
    <row r="37" spans="1:13" x14ac:dyDescent="0.2">
      <c r="A37" s="195" t="s">
        <v>80</v>
      </c>
      <c r="B37" s="73">
        <f>'Ex post LI &amp; Eligibility Stats'!B15*'Program MW '!B20/1000</f>
        <v>0</v>
      </c>
      <c r="C37" s="73">
        <f>'Ex post LI &amp; Eligibility Stats'!B15*'Program MW '!E20/1000</f>
        <v>0</v>
      </c>
      <c r="D37" s="73">
        <f>'Ex post LI &amp; Eligibility Stats'!C15*'Program MW '!F20/1000</f>
        <v>0</v>
      </c>
      <c r="E37" s="73">
        <f>'Ex post LI &amp; Eligibility Stats'!D15*'Program MW '!G20/1000</f>
        <v>0</v>
      </c>
      <c r="F37" s="73">
        <f>'Ex post LI &amp; Eligibility Stats'!E15*'Program MW '!H20/1000</f>
        <v>0</v>
      </c>
      <c r="G37" s="73">
        <f>'Ex post LI &amp; Eligibility Stats'!F15*'Program MW '!I20/1000</f>
        <v>0</v>
      </c>
      <c r="H37" s="73">
        <f>'Ex post LI &amp; Eligibility Stats'!G15*'Program MW '!J20/1000</f>
        <v>0</v>
      </c>
      <c r="I37" s="73">
        <f>'Ex post LI &amp; Eligibility Stats'!H15*'Program MW '!K20/1000</f>
        <v>0</v>
      </c>
      <c r="J37" s="73">
        <f>'Ex post LI &amp; Eligibility Stats'!I15*'Program MW '!L20/1000</f>
        <v>0</v>
      </c>
      <c r="K37" s="73">
        <f>'Ex post LI &amp; Eligibility Stats'!J15*'Program MW '!M20/1000</f>
        <v>0</v>
      </c>
      <c r="L37" s="73">
        <f>'Ex post LI &amp; Eligibility Stats'!K15*'Program MW '!N20/1000</f>
        <v>0</v>
      </c>
      <c r="M37" s="73">
        <f>'Ex post LI &amp; Eligibility Stats'!L15*'Program MW '!O20/1000</f>
        <v>0</v>
      </c>
    </row>
    <row r="38" spans="1:13" x14ac:dyDescent="0.2">
      <c r="A38" s="195" t="s">
        <v>112</v>
      </c>
      <c r="B38" s="73">
        <f>'Ex post LI &amp; Eligibility Stats'!B16*'Program MW '!B21/1000</f>
        <v>0</v>
      </c>
      <c r="C38" s="73">
        <f>'Ex post LI &amp; Eligibility Stats'!B16*'Program MW '!E21/1000</f>
        <v>0</v>
      </c>
      <c r="D38" s="73">
        <f>'Ex post LI &amp; Eligibility Stats'!C16*'Program MW '!F21/1000</f>
        <v>0</v>
      </c>
      <c r="E38" s="73">
        <f>'Ex post LI &amp; Eligibility Stats'!D16*'Program MW '!G21/1000</f>
        <v>0</v>
      </c>
      <c r="F38" s="73">
        <f>'Ex post LI &amp; Eligibility Stats'!E16*'Program MW '!H21/1000</f>
        <v>0</v>
      </c>
      <c r="G38" s="73">
        <f>'Ex post LI &amp; Eligibility Stats'!F16*'Program MW '!I21/1000</f>
        <v>0</v>
      </c>
      <c r="H38" s="73">
        <f>'Ex post LI &amp; Eligibility Stats'!G16*'Program MW '!J21/1000</f>
        <v>0</v>
      </c>
      <c r="I38" s="73">
        <f>'Ex post LI &amp; Eligibility Stats'!H16*'Program MW '!K21/1000</f>
        <v>0</v>
      </c>
      <c r="J38" s="73">
        <f>'Ex post LI &amp; Eligibility Stats'!I16*'Program MW '!L21/1000</f>
        <v>0</v>
      </c>
      <c r="K38" s="73">
        <f>'Ex post LI &amp; Eligibility Stats'!J16*'Program MW '!M21/1000</f>
        <v>0</v>
      </c>
      <c r="L38" s="73">
        <f>'Ex post LI &amp; Eligibility Stats'!K16*'Program MW '!N21/1000</f>
        <v>0</v>
      </c>
      <c r="M38" s="73">
        <f>'Ex post LI &amp; Eligibility Stats'!L16*'Program MW '!O21/1000</f>
        <v>0</v>
      </c>
    </row>
    <row r="39" spans="1:13" x14ac:dyDescent="0.2">
      <c r="A39" s="195" t="s">
        <v>113</v>
      </c>
      <c r="B39" s="73">
        <f>1*'Ex post LI &amp; Eligibility Stats'!B12/1000</f>
        <v>1.2212848663330077E-3</v>
      </c>
      <c r="C39" s="73">
        <f>1*'Ex post LI &amp; Eligibility Stats'!C12/1000</f>
        <v>1.2212848663330077E-3</v>
      </c>
      <c r="D39" s="73">
        <f>1*'Ex post LI &amp; Eligibility Stats'!D12/1000</f>
        <v>1.2212848663330077E-3</v>
      </c>
      <c r="E39" s="73">
        <f>1*'Ex post LI &amp; Eligibility Stats'!E12/1000</f>
        <v>1.2212848663330077E-3</v>
      </c>
      <c r="F39" s="73">
        <f>1*'Ex post LI &amp; Eligibility Stats'!F12/1000</f>
        <v>1.2212848663330077E-3</v>
      </c>
      <c r="G39" s="73">
        <f>1*'Ex post LI &amp; Eligibility Stats'!G12/1000</f>
        <v>1.2212848663330077E-3</v>
      </c>
      <c r="H39" s="73">
        <f>1*'Ex post LI &amp; Eligibility Stats'!H12/1000</f>
        <v>1.2212848663330077E-3</v>
      </c>
      <c r="I39" s="73">
        <f>1*'Ex post LI &amp; Eligibility Stats'!I12/1000</f>
        <v>1.2212848663330077E-3</v>
      </c>
      <c r="J39" s="73">
        <f>1*'Ex post LI &amp; Eligibility Stats'!J12/1000</f>
        <v>1.2212848663330077E-3</v>
      </c>
      <c r="K39" s="73">
        <f>1*'Ex post LI &amp; Eligibility Stats'!K12/1000</f>
        <v>1.2212848663330077E-3</v>
      </c>
      <c r="L39" s="73">
        <f>1*'Ex post LI &amp; Eligibility Stats'!L12/1000</f>
        <v>1.2212848663330077E-3</v>
      </c>
      <c r="M39" s="73">
        <f>1*'Ex post LI &amp; Eligibility Stats'!M12/1000</f>
        <v>1.2212848663330077E-3</v>
      </c>
    </row>
    <row r="40" spans="1:13" s="59" customFormat="1" x14ac:dyDescent="0.2">
      <c r="A40" s="194" t="s">
        <v>81</v>
      </c>
      <c r="B40" s="123">
        <f t="shared" ref="B40:M40" si="16">SUM(B34:B39)</f>
        <v>7.2697475308121584</v>
      </c>
      <c r="C40" s="123">
        <f t="shared" si="16"/>
        <v>1.2212848663330077E-3</v>
      </c>
      <c r="D40" s="123">
        <f t="shared" si="16"/>
        <v>1.2212848663330077E-3</v>
      </c>
      <c r="E40" s="123">
        <f t="shared" si="16"/>
        <v>1.2212848663330077E-3</v>
      </c>
      <c r="F40" s="123">
        <f t="shared" si="16"/>
        <v>1.2212848663330077E-3</v>
      </c>
      <c r="G40" s="123">
        <f t="shared" si="16"/>
        <v>1.2212848663330077E-3</v>
      </c>
      <c r="H40" s="123">
        <f t="shared" si="16"/>
        <v>1.2212848663330077E-3</v>
      </c>
      <c r="I40" s="123">
        <f t="shared" si="16"/>
        <v>1.2212848663330077E-3</v>
      </c>
      <c r="J40" s="123">
        <f t="shared" si="16"/>
        <v>1.2212848663330077E-3</v>
      </c>
      <c r="K40" s="123">
        <f t="shared" si="16"/>
        <v>1.2212848663330077E-3</v>
      </c>
      <c r="L40" s="123">
        <f t="shared" si="16"/>
        <v>1.2212848663330077E-3</v>
      </c>
      <c r="M40" s="90">
        <f t="shared" si="16"/>
        <v>1.2212848663330077E-3</v>
      </c>
    </row>
    <row r="41" spans="1:13" x14ac:dyDescent="0.2">
      <c r="C41" s="61"/>
      <c r="D41" s="61"/>
      <c r="E41" s="61"/>
      <c r="F41" s="61"/>
      <c r="G41" s="61"/>
    </row>
    <row r="42" spans="1:13" x14ac:dyDescent="0.2">
      <c r="C42" s="61"/>
      <c r="D42" s="61"/>
      <c r="E42" s="61"/>
      <c r="F42" s="61"/>
      <c r="G42" s="61"/>
      <c r="H42" s="545"/>
    </row>
    <row r="43" spans="1:13" ht="15" x14ac:dyDescent="0.25">
      <c r="A43" s="308" t="s">
        <v>44</v>
      </c>
      <c r="G43" s="61"/>
    </row>
    <row r="44" spans="1:13" ht="15" x14ac:dyDescent="0.2">
      <c r="A44" s="655" t="s">
        <v>117</v>
      </c>
      <c r="B44" s="232"/>
      <c r="C44" s="232"/>
      <c r="D44" s="405"/>
      <c r="E44" s="405"/>
      <c r="F44" s="405"/>
      <c r="G44" s="232"/>
      <c r="H44" s="232"/>
      <c r="I44" s="232"/>
      <c r="J44" s="232"/>
      <c r="K44" s="232"/>
    </row>
    <row r="45" spans="1:13" ht="14.25" x14ac:dyDescent="0.2">
      <c r="A45" s="307"/>
      <c r="D45" s="61"/>
      <c r="E45" s="61"/>
      <c r="F45" s="61"/>
    </row>
    <row r="46" spans="1:13" ht="15" x14ac:dyDescent="0.2">
      <c r="A46" s="309" t="s">
        <v>50</v>
      </c>
    </row>
    <row r="48" spans="1:13" ht="15" x14ac:dyDescent="0.2">
      <c r="A48" s="174" t="s">
        <v>83</v>
      </c>
    </row>
    <row r="50" spans="1:1" x14ac:dyDescent="0.2">
      <c r="A50" s="243"/>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58"/>
  <sheetViews>
    <sheetView showGridLines="0" zoomScale="110" zoomScaleNormal="110" zoomScaleSheetLayoutView="80" workbookViewId="0">
      <pane xSplit="1" ySplit="9" topLeftCell="H32" activePane="bottomRight" state="frozen"/>
      <selection pane="topRight" activeCell="B34" sqref="B34"/>
      <selection pane="bottomLeft" activeCell="B34" sqref="B34"/>
      <selection pane="bottomRight" activeCell="L45" sqref="L45"/>
    </sheetView>
  </sheetViews>
  <sheetFormatPr defaultColWidth="9.140625" defaultRowHeight="12.75" x14ac:dyDescent="0.2"/>
  <cols>
    <col min="1" max="1" width="88.4257812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x14ac:dyDescent="0.2">
      <c r="A2" s="146"/>
      <c r="G2" s="175" t="s">
        <v>120</v>
      </c>
      <c r="N2" s="146"/>
    </row>
    <row r="3" spans="1:19" x14ac:dyDescent="0.2">
      <c r="A3" s="146"/>
      <c r="G3" s="175" t="s">
        <v>121</v>
      </c>
      <c r="N3" s="146"/>
    </row>
    <row r="4" spans="1:19" x14ac:dyDescent="0.2">
      <c r="A4" s="146"/>
      <c r="F4" s="230"/>
      <c r="G4" s="231" t="str">
        <f>'Program MW '!H3</f>
        <v>January 2019</v>
      </c>
      <c r="H4" s="230"/>
      <c r="I4" s="230"/>
      <c r="N4" s="146"/>
    </row>
    <row r="5" spans="1:19" x14ac:dyDescent="0.2">
      <c r="A5" s="146"/>
      <c r="B5" s="230"/>
      <c r="C5" s="230"/>
      <c r="D5" s="230"/>
      <c r="N5" s="146"/>
    </row>
    <row r="6" spans="1:19" ht="13.5" thickBot="1" x14ac:dyDescent="0.25"/>
    <row r="7" spans="1:19" x14ac:dyDescent="0.2">
      <c r="A7" s="437"/>
      <c r="B7" s="149"/>
      <c r="C7" s="149"/>
      <c r="D7" s="149"/>
      <c r="E7" s="149"/>
      <c r="F7" s="149"/>
      <c r="G7" s="149"/>
      <c r="H7" s="149"/>
      <c r="I7" s="149"/>
      <c r="J7" s="149"/>
      <c r="K7" s="149"/>
      <c r="L7" s="149"/>
      <c r="M7" s="150"/>
      <c r="N7" s="620"/>
      <c r="O7" s="150"/>
      <c r="P7" s="150"/>
      <c r="Q7" s="151"/>
      <c r="R7" s="151"/>
      <c r="S7" s="422"/>
    </row>
    <row r="8" spans="1:19" ht="32.25" customHeight="1" thickBot="1" x14ac:dyDescent="0.25">
      <c r="A8" s="438"/>
      <c r="B8" s="153"/>
      <c r="C8" s="153"/>
      <c r="D8" s="153"/>
      <c r="E8" s="153"/>
      <c r="F8" s="153"/>
      <c r="G8" s="153"/>
      <c r="H8" s="153"/>
      <c r="I8" s="153"/>
      <c r="J8" s="153"/>
      <c r="K8" s="153"/>
      <c r="L8" s="153"/>
      <c r="M8" s="154"/>
      <c r="N8" s="623"/>
      <c r="O8" s="154"/>
      <c r="P8" s="154"/>
      <c r="Q8" s="155"/>
      <c r="R8" s="155"/>
      <c r="S8" s="423"/>
    </row>
    <row r="9" spans="1:19" ht="57.75" customHeight="1" x14ac:dyDescent="0.2">
      <c r="A9" s="621" t="s">
        <v>122</v>
      </c>
      <c r="B9" s="659" t="s">
        <v>3</v>
      </c>
      <c r="C9" s="336" t="s">
        <v>4</v>
      </c>
      <c r="D9" s="336" t="s">
        <v>5</v>
      </c>
      <c r="E9" s="336" t="s">
        <v>6</v>
      </c>
      <c r="F9" s="336" t="s">
        <v>7</v>
      </c>
      <c r="G9" s="336" t="s">
        <v>8</v>
      </c>
      <c r="H9" s="336" t="s">
        <v>37</v>
      </c>
      <c r="I9" s="337" t="s">
        <v>38</v>
      </c>
      <c r="J9" s="337" t="s">
        <v>89</v>
      </c>
      <c r="K9" s="336" t="s">
        <v>40</v>
      </c>
      <c r="L9" s="336" t="s">
        <v>90</v>
      </c>
      <c r="M9" s="336" t="s">
        <v>42</v>
      </c>
      <c r="N9" s="624" t="s">
        <v>123</v>
      </c>
      <c r="O9" s="157" t="s">
        <v>124</v>
      </c>
      <c r="P9" s="157" t="s">
        <v>125</v>
      </c>
      <c r="Q9" s="464" t="s">
        <v>126</v>
      </c>
      <c r="R9" s="157" t="s">
        <v>127</v>
      </c>
      <c r="S9" s="424" t="s">
        <v>128</v>
      </c>
    </row>
    <row r="10" spans="1:19" x14ac:dyDescent="0.2">
      <c r="A10" s="439" t="s">
        <v>129</v>
      </c>
      <c r="B10" s="660"/>
      <c r="C10" s="15"/>
      <c r="D10" s="15"/>
      <c r="E10" s="15"/>
      <c r="F10" s="159"/>
      <c r="G10" s="317"/>
      <c r="H10" s="159"/>
      <c r="I10" s="159"/>
      <c r="J10" s="159"/>
      <c r="K10" s="159"/>
      <c r="L10" s="159"/>
      <c r="M10" s="159"/>
      <c r="N10" s="625"/>
      <c r="O10" s="17"/>
      <c r="P10" s="160" t="s">
        <v>83</v>
      </c>
      <c r="Q10" s="465"/>
      <c r="R10" s="161"/>
      <c r="S10" s="425"/>
    </row>
    <row r="11" spans="1:19" x14ac:dyDescent="0.2">
      <c r="A11" s="440" t="s">
        <v>130</v>
      </c>
      <c r="B11" s="661">
        <v>50441.83</v>
      </c>
      <c r="C11" s="622">
        <v>0</v>
      </c>
      <c r="D11" s="622">
        <v>0</v>
      </c>
      <c r="E11" s="622">
        <v>0</v>
      </c>
      <c r="F11" s="622">
        <v>0</v>
      </c>
      <c r="G11" s="622">
        <v>0</v>
      </c>
      <c r="H11" s="622">
        <v>0</v>
      </c>
      <c r="I11" s="622">
        <v>0</v>
      </c>
      <c r="J11" s="622">
        <v>0</v>
      </c>
      <c r="K11" s="622">
        <v>0</v>
      </c>
      <c r="L11" s="622">
        <v>0</v>
      </c>
      <c r="M11" s="622">
        <v>0</v>
      </c>
      <c r="N11" s="625">
        <v>241024.22999999998</v>
      </c>
      <c r="O11" s="17">
        <f>SUM(B11:M11)</f>
        <v>50441.83</v>
      </c>
      <c r="P11" s="15">
        <f>O11+N11</f>
        <v>291466.06</v>
      </c>
      <c r="Q11" s="466">
        <v>2869200</v>
      </c>
      <c r="R11" s="17"/>
      <c r="S11" s="426">
        <f>+P11/Q11</f>
        <v>0.10158443468562665</v>
      </c>
    </row>
    <row r="12" spans="1:19" x14ac:dyDescent="0.2">
      <c r="A12" s="440" t="s">
        <v>131</v>
      </c>
      <c r="B12" s="661">
        <v>8796.66</v>
      </c>
      <c r="C12" s="622">
        <v>0</v>
      </c>
      <c r="D12" s="622">
        <v>0</v>
      </c>
      <c r="E12" s="622">
        <v>0</v>
      </c>
      <c r="F12" s="622">
        <v>0</v>
      </c>
      <c r="G12" s="622">
        <v>0</v>
      </c>
      <c r="H12" s="622">
        <v>0</v>
      </c>
      <c r="I12" s="622">
        <v>0</v>
      </c>
      <c r="J12" s="622">
        <v>0</v>
      </c>
      <c r="K12" s="622">
        <v>0</v>
      </c>
      <c r="L12" s="622">
        <v>0</v>
      </c>
      <c r="M12" s="622">
        <v>0</v>
      </c>
      <c r="N12" s="625">
        <v>1433436.43</v>
      </c>
      <c r="O12" s="17">
        <f t="shared" ref="O12:O15" si="0">SUM(B12:M12)</f>
        <v>8796.66</v>
      </c>
      <c r="P12" s="15">
        <f>O12+N12</f>
        <v>1442233.0899999999</v>
      </c>
      <c r="Q12" s="466">
        <v>9020700</v>
      </c>
      <c r="R12" s="17"/>
      <c r="S12" s="426">
        <f t="shared" ref="S12:S15" si="1">+P12/Q12</f>
        <v>0.15988039619985145</v>
      </c>
    </row>
    <row r="13" spans="1:19" ht="14.25" x14ac:dyDescent="0.2">
      <c r="A13" s="440" t="s">
        <v>132</v>
      </c>
      <c r="B13" s="661">
        <v>-916.80999999999858</v>
      </c>
      <c r="C13" s="622">
        <v>0</v>
      </c>
      <c r="D13" s="622">
        <v>0</v>
      </c>
      <c r="E13" s="622">
        <v>0</v>
      </c>
      <c r="F13" s="622">
        <v>0</v>
      </c>
      <c r="G13" s="622">
        <v>0</v>
      </c>
      <c r="H13" s="622">
        <v>0</v>
      </c>
      <c r="I13" s="622">
        <v>0</v>
      </c>
      <c r="J13" s="622">
        <v>0</v>
      </c>
      <c r="K13" s="622">
        <v>0</v>
      </c>
      <c r="L13" s="622">
        <v>0</v>
      </c>
      <c r="M13" s="622">
        <v>0</v>
      </c>
      <c r="N13" s="625">
        <v>197875.51</v>
      </c>
      <c r="O13" s="17">
        <f t="shared" si="0"/>
        <v>-916.80999999999858</v>
      </c>
      <c r="P13" s="15">
        <f>O13+N13</f>
        <v>196958.7</v>
      </c>
      <c r="Q13" s="466">
        <v>4664400</v>
      </c>
      <c r="R13" s="17"/>
      <c r="S13" s="426">
        <f t="shared" si="1"/>
        <v>4.2225945459223056E-2</v>
      </c>
    </row>
    <row r="14" spans="1:19" x14ac:dyDescent="0.2">
      <c r="A14" s="440" t="s">
        <v>133</v>
      </c>
      <c r="B14" s="661">
        <v>17975.71</v>
      </c>
      <c r="C14" s="622">
        <v>0</v>
      </c>
      <c r="D14" s="622">
        <v>0</v>
      </c>
      <c r="E14" s="622">
        <v>0</v>
      </c>
      <c r="F14" s="622">
        <v>0</v>
      </c>
      <c r="G14" s="622">
        <v>0</v>
      </c>
      <c r="H14" s="622">
        <v>0</v>
      </c>
      <c r="I14" s="622">
        <v>0</v>
      </c>
      <c r="J14" s="622">
        <v>0</v>
      </c>
      <c r="K14" s="622">
        <v>0</v>
      </c>
      <c r="L14" s="622">
        <v>0</v>
      </c>
      <c r="M14" s="622">
        <v>0</v>
      </c>
      <c r="N14" s="625">
        <v>444057.25999999995</v>
      </c>
      <c r="O14" s="17">
        <f t="shared" si="0"/>
        <v>17975.71</v>
      </c>
      <c r="P14" s="15">
        <f>O14+N14</f>
        <v>462032.97</v>
      </c>
      <c r="Q14" s="17">
        <f>(10535700)+R14</f>
        <v>10301202</v>
      </c>
      <c r="R14" s="17">
        <v>-234498</v>
      </c>
      <c r="S14" s="426">
        <f t="shared" si="1"/>
        <v>4.4852335678884851E-2</v>
      </c>
    </row>
    <row r="15" spans="1:19" ht="14.25" x14ac:dyDescent="0.2">
      <c r="A15" s="441" t="s">
        <v>134</v>
      </c>
      <c r="B15" s="661">
        <v>-193.62</v>
      </c>
      <c r="C15" s="622">
        <v>0</v>
      </c>
      <c r="D15" s="622">
        <v>0</v>
      </c>
      <c r="E15" s="622">
        <v>0</v>
      </c>
      <c r="F15" s="622">
        <v>0</v>
      </c>
      <c r="G15" s="622">
        <v>0</v>
      </c>
      <c r="H15" s="622">
        <v>0</v>
      </c>
      <c r="I15" s="622">
        <v>0</v>
      </c>
      <c r="J15" s="622">
        <v>0</v>
      </c>
      <c r="K15" s="622">
        <v>0</v>
      </c>
      <c r="L15" s="622">
        <v>0</v>
      </c>
      <c r="M15" s="622">
        <v>0</v>
      </c>
      <c r="N15" s="626">
        <v>15520.07</v>
      </c>
      <c r="O15" s="274">
        <f t="shared" si="0"/>
        <v>-193.62</v>
      </c>
      <c r="P15" s="15">
        <f>O15+N15</f>
        <v>15326.449999999999</v>
      </c>
      <c r="Q15" s="466">
        <v>19800</v>
      </c>
      <c r="R15" s="17"/>
      <c r="S15" s="426">
        <f t="shared" si="1"/>
        <v>0.7740631313131312</v>
      </c>
    </row>
    <row r="16" spans="1:19" x14ac:dyDescent="0.2">
      <c r="A16" s="442" t="s">
        <v>135</v>
      </c>
      <c r="B16" s="662">
        <f>SUM(B11:B15)</f>
        <v>76103.770000000019</v>
      </c>
      <c r="C16" s="18">
        <f t="shared" ref="C16:M16" si="2">SUM(C11:C15)</f>
        <v>0</v>
      </c>
      <c r="D16" s="18">
        <f t="shared" si="2"/>
        <v>0</v>
      </c>
      <c r="E16" s="18">
        <f t="shared" si="2"/>
        <v>0</v>
      </c>
      <c r="F16" s="18">
        <f t="shared" si="2"/>
        <v>0</v>
      </c>
      <c r="G16" s="18">
        <f t="shared" si="2"/>
        <v>0</v>
      </c>
      <c r="H16" s="18">
        <f t="shared" si="2"/>
        <v>0</v>
      </c>
      <c r="I16" s="18">
        <f t="shared" si="2"/>
        <v>0</v>
      </c>
      <c r="J16" s="18">
        <f t="shared" si="2"/>
        <v>0</v>
      </c>
      <c r="K16" s="18">
        <f>SUM(K11:K15)</f>
        <v>0</v>
      </c>
      <c r="L16" s="18">
        <f t="shared" si="2"/>
        <v>0</v>
      </c>
      <c r="M16" s="18">
        <f t="shared" si="2"/>
        <v>0</v>
      </c>
      <c r="N16" s="627">
        <v>2331913.4999999995</v>
      </c>
      <c r="O16" s="19">
        <f>SUM(O11:O15)</f>
        <v>76103.770000000019</v>
      </c>
      <c r="P16" s="18">
        <f>SUM(P11:P15)</f>
        <v>2408017.27</v>
      </c>
      <c r="Q16" s="467">
        <f>SUM(Q11:Q15)</f>
        <v>26875302</v>
      </c>
      <c r="R16" s="19">
        <f>SUM(R11:R15)</f>
        <v>-234498</v>
      </c>
      <c r="S16" s="427">
        <f>P16/Q16</f>
        <v>8.9599635754790768E-2</v>
      </c>
    </row>
    <row r="17" spans="1:19" x14ac:dyDescent="0.2">
      <c r="A17" s="441"/>
      <c r="B17" s="661"/>
      <c r="C17" s="15"/>
      <c r="D17" s="15"/>
      <c r="E17" s="15"/>
      <c r="F17" s="159"/>
      <c r="G17" s="339"/>
      <c r="H17" s="159"/>
      <c r="I17" s="159"/>
      <c r="J17" s="159"/>
      <c r="K17" s="159"/>
      <c r="L17" s="159"/>
      <c r="M17" s="159"/>
      <c r="N17" s="628"/>
      <c r="O17" s="16"/>
      <c r="P17" s="16"/>
      <c r="Q17" s="466"/>
      <c r="R17" s="17"/>
      <c r="S17" s="426"/>
    </row>
    <row r="18" spans="1:19" x14ac:dyDescent="0.2">
      <c r="A18" s="439" t="s">
        <v>136</v>
      </c>
      <c r="B18" s="661"/>
      <c r="C18" s="15"/>
      <c r="D18" s="15"/>
      <c r="E18" s="15"/>
      <c r="F18" s="159"/>
      <c r="G18" s="339"/>
      <c r="H18" s="159"/>
      <c r="I18" s="159"/>
      <c r="J18" s="159"/>
      <c r="K18" s="159"/>
      <c r="L18" s="159"/>
      <c r="M18" s="159"/>
      <c r="N18" s="628"/>
      <c r="O18" s="16"/>
      <c r="P18" s="16"/>
      <c r="Q18" s="466"/>
      <c r="R18" s="17"/>
      <c r="S18" s="426"/>
    </row>
    <row r="19" spans="1:19" x14ac:dyDescent="0.2">
      <c r="A19" s="440"/>
      <c r="B19" s="661">
        <v>0</v>
      </c>
      <c r="C19" s="15">
        <v>0</v>
      </c>
      <c r="D19" s="15">
        <v>0</v>
      </c>
      <c r="E19" s="15">
        <v>0</v>
      </c>
      <c r="F19" s="15">
        <v>0</v>
      </c>
      <c r="G19" s="15">
        <v>0</v>
      </c>
      <c r="H19" s="15">
        <v>0</v>
      </c>
      <c r="I19" s="15">
        <v>0</v>
      </c>
      <c r="J19" s="15">
        <v>0</v>
      </c>
      <c r="K19" s="15">
        <v>0</v>
      </c>
      <c r="L19" s="15">
        <v>0</v>
      </c>
      <c r="M19" s="15">
        <v>0</v>
      </c>
      <c r="N19" s="628">
        <v>0</v>
      </c>
      <c r="O19" s="16">
        <f>SUM(B19:M19)</f>
        <v>0</v>
      </c>
      <c r="P19" s="15">
        <f>O19+N19</f>
        <v>0</v>
      </c>
      <c r="Q19" s="468">
        <v>0</v>
      </c>
      <c r="R19" s="16">
        <v>0</v>
      </c>
      <c r="S19" s="426">
        <v>0</v>
      </c>
    </row>
    <row r="20" spans="1:19" x14ac:dyDescent="0.2">
      <c r="A20" s="442" t="s">
        <v>137</v>
      </c>
      <c r="B20" s="663">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627">
        <v>0</v>
      </c>
      <c r="O20" s="19">
        <f t="shared" si="3"/>
        <v>0</v>
      </c>
      <c r="P20" s="19">
        <f>SUM(B20:M20)</f>
        <v>0</v>
      </c>
      <c r="Q20" s="467">
        <f>SUM(Q19:Q19)</f>
        <v>0</v>
      </c>
      <c r="R20" s="19">
        <f>SUM(R19:R19)</f>
        <v>0</v>
      </c>
      <c r="S20" s="428">
        <v>0</v>
      </c>
    </row>
    <row r="21" spans="1:19" x14ac:dyDescent="0.2">
      <c r="A21" s="443"/>
      <c r="B21" s="661"/>
      <c r="C21" s="15"/>
      <c r="D21" s="15"/>
      <c r="E21" s="15"/>
      <c r="F21" s="15"/>
      <c r="G21" s="339"/>
      <c r="H21" s="15"/>
      <c r="I21" s="15"/>
      <c r="J21" s="15"/>
      <c r="K21" s="15"/>
      <c r="L21" s="15"/>
      <c r="M21" s="15"/>
      <c r="N21" s="628"/>
      <c r="O21" s="16"/>
      <c r="P21" s="16"/>
      <c r="Q21" s="468"/>
      <c r="R21" s="16"/>
      <c r="S21" s="429"/>
    </row>
    <row r="22" spans="1:19" x14ac:dyDescent="0.2">
      <c r="A22" s="439" t="s">
        <v>138</v>
      </c>
      <c r="B22" s="661"/>
      <c r="C22" s="15"/>
      <c r="D22" s="15"/>
      <c r="E22" s="15"/>
      <c r="F22" s="159"/>
      <c r="G22" s="339"/>
      <c r="H22" s="159"/>
      <c r="I22" s="159"/>
      <c r="J22" s="159"/>
      <c r="K22" s="159"/>
      <c r="L22" s="159"/>
      <c r="M22" s="159"/>
      <c r="N22" s="628"/>
      <c r="O22" s="16"/>
      <c r="P22" s="16"/>
      <c r="Q22" s="466"/>
      <c r="R22" s="17"/>
      <c r="S22" s="426"/>
    </row>
    <row r="23" spans="1:19" x14ac:dyDescent="0.2">
      <c r="A23" s="440" t="s">
        <v>139</v>
      </c>
      <c r="B23" s="661">
        <v>97032.799999999988</v>
      </c>
      <c r="C23" s="622">
        <v>0</v>
      </c>
      <c r="D23" s="622">
        <v>0</v>
      </c>
      <c r="E23" s="622">
        <v>0</v>
      </c>
      <c r="F23" s="622">
        <v>0</v>
      </c>
      <c r="G23" s="622">
        <v>0</v>
      </c>
      <c r="H23" s="622">
        <v>0</v>
      </c>
      <c r="I23" s="622">
        <v>0</v>
      </c>
      <c r="J23" s="622">
        <v>0</v>
      </c>
      <c r="K23" s="622">
        <v>0</v>
      </c>
      <c r="L23" s="622">
        <v>0</v>
      </c>
      <c r="M23" s="622">
        <v>0</v>
      </c>
      <c r="N23" s="628">
        <v>866776.02</v>
      </c>
      <c r="O23" s="16">
        <f>SUM(B23:M23)</f>
        <v>97032.799999999988</v>
      </c>
      <c r="P23" s="15">
        <f>O23+N23</f>
        <v>963808.82000000007</v>
      </c>
      <c r="Q23" s="468">
        <v>3000000</v>
      </c>
      <c r="R23" s="16">
        <v>0</v>
      </c>
      <c r="S23" s="426">
        <f t="shared" ref="S23" si="4">+P23/Q23</f>
        <v>0.32126960666666671</v>
      </c>
    </row>
    <row r="24" spans="1:19" x14ac:dyDescent="0.2">
      <c r="A24" s="442" t="s">
        <v>140</v>
      </c>
      <c r="B24" s="663">
        <f t="shared" ref="B24:O24" si="5">SUM(B23:B23)</f>
        <v>97032.799999999988</v>
      </c>
      <c r="C24" s="18">
        <f t="shared" si="5"/>
        <v>0</v>
      </c>
      <c r="D24" s="18">
        <f t="shared" si="5"/>
        <v>0</v>
      </c>
      <c r="E24" s="18">
        <f t="shared" si="5"/>
        <v>0</v>
      </c>
      <c r="F24" s="18">
        <f t="shared" si="5"/>
        <v>0</v>
      </c>
      <c r="G24" s="340">
        <f t="shared" si="5"/>
        <v>0</v>
      </c>
      <c r="H24" s="18">
        <f t="shared" si="5"/>
        <v>0</v>
      </c>
      <c r="I24" s="18">
        <f t="shared" si="5"/>
        <v>0</v>
      </c>
      <c r="J24" s="18">
        <f t="shared" si="5"/>
        <v>0</v>
      </c>
      <c r="K24" s="18">
        <f t="shared" si="5"/>
        <v>0</v>
      </c>
      <c r="L24" s="18">
        <f t="shared" si="5"/>
        <v>0</v>
      </c>
      <c r="M24" s="18">
        <f t="shared" si="5"/>
        <v>0</v>
      </c>
      <c r="N24" s="627">
        <v>866776.02</v>
      </c>
      <c r="O24" s="19">
        <f t="shared" si="5"/>
        <v>97032.799999999988</v>
      </c>
      <c r="P24" s="19">
        <f>P23</f>
        <v>963808.82000000007</v>
      </c>
      <c r="Q24" s="467">
        <f>SUM(Q23:Q23)</f>
        <v>3000000</v>
      </c>
      <c r="R24" s="19">
        <f>SUM(R23:R23)</f>
        <v>0</v>
      </c>
      <c r="S24" s="428">
        <f>P24/Q24</f>
        <v>0.32126960666666671</v>
      </c>
    </row>
    <row r="25" spans="1:19" x14ac:dyDescent="0.2">
      <c r="A25" s="439"/>
      <c r="B25" s="661"/>
      <c r="C25" s="15"/>
      <c r="D25" s="15"/>
      <c r="E25" s="15"/>
      <c r="F25" s="159"/>
      <c r="G25" s="339"/>
      <c r="H25" s="159"/>
      <c r="I25" s="159"/>
      <c r="J25" s="159"/>
      <c r="K25" s="159"/>
      <c r="L25" s="159"/>
      <c r="M25" s="159"/>
      <c r="N25" s="628"/>
      <c r="O25" s="16"/>
      <c r="P25" s="16"/>
      <c r="Q25" s="466"/>
      <c r="R25" s="17"/>
      <c r="S25" s="426"/>
    </row>
    <row r="26" spans="1:19" x14ac:dyDescent="0.2">
      <c r="A26" s="439" t="s">
        <v>141</v>
      </c>
      <c r="B26" s="661"/>
      <c r="C26" s="15"/>
      <c r="D26" s="15"/>
      <c r="E26" s="15"/>
      <c r="F26" s="159"/>
      <c r="G26" s="339"/>
      <c r="H26" s="159"/>
      <c r="I26" s="159"/>
      <c r="J26" s="159"/>
      <c r="K26" s="159"/>
      <c r="L26" s="159"/>
      <c r="M26" s="159"/>
      <c r="N26" s="628"/>
      <c r="O26" s="16"/>
      <c r="P26" s="16"/>
      <c r="Q26" s="466"/>
      <c r="R26" s="17"/>
      <c r="S26" s="426"/>
    </row>
    <row r="27" spans="1:19" x14ac:dyDescent="0.2">
      <c r="A27" s="440" t="s">
        <v>142</v>
      </c>
      <c r="B27" s="661">
        <v>13272.64</v>
      </c>
      <c r="C27" s="622">
        <v>0</v>
      </c>
      <c r="D27" s="622">
        <v>0</v>
      </c>
      <c r="E27" s="622">
        <v>0</v>
      </c>
      <c r="F27" s="622">
        <v>0</v>
      </c>
      <c r="G27" s="622">
        <v>0</v>
      </c>
      <c r="H27" s="622">
        <v>0</v>
      </c>
      <c r="I27" s="622">
        <v>0</v>
      </c>
      <c r="J27" s="622">
        <v>0</v>
      </c>
      <c r="K27" s="622">
        <v>0</v>
      </c>
      <c r="L27" s="622">
        <v>0</v>
      </c>
      <c r="M27" s="622">
        <v>0</v>
      </c>
      <c r="N27" s="628">
        <v>469609.93000000005</v>
      </c>
      <c r="O27" s="16">
        <f>SUM(B27:M27)</f>
        <v>13272.64</v>
      </c>
      <c r="P27" s="15">
        <f>O27+N27</f>
        <v>482882.57000000007</v>
      </c>
      <c r="Q27" s="468">
        <v>3483000</v>
      </c>
      <c r="R27" s="16"/>
      <c r="S27" s="426">
        <f t="shared" ref="S27:S29" si="6">+P27/Q27</f>
        <v>0.13863984209015218</v>
      </c>
    </row>
    <row r="28" spans="1:19" x14ac:dyDescent="0.2">
      <c r="A28" s="440" t="s">
        <v>143</v>
      </c>
      <c r="B28" s="661">
        <v>42845.389999999992</v>
      </c>
      <c r="C28" s="622">
        <v>0</v>
      </c>
      <c r="D28" s="622">
        <v>0</v>
      </c>
      <c r="E28" s="622">
        <v>0</v>
      </c>
      <c r="F28" s="622">
        <v>0</v>
      </c>
      <c r="G28" s="622">
        <v>0</v>
      </c>
      <c r="H28" s="622">
        <v>0</v>
      </c>
      <c r="I28" s="622">
        <v>0</v>
      </c>
      <c r="J28" s="622">
        <v>0</v>
      </c>
      <c r="K28" s="622">
        <v>0</v>
      </c>
      <c r="L28" s="622">
        <v>0</v>
      </c>
      <c r="M28" s="622">
        <v>0</v>
      </c>
      <c r="N28" s="628">
        <v>548237.77</v>
      </c>
      <c r="O28" s="16">
        <f>SUM(B28:M28)</f>
        <v>42845.389999999992</v>
      </c>
      <c r="P28" s="15">
        <f>O28+N28</f>
        <v>591083.16</v>
      </c>
      <c r="Q28" s="468">
        <v>3794000</v>
      </c>
      <c r="R28" s="16"/>
      <c r="S28" s="426">
        <f t="shared" si="6"/>
        <v>0.15579419082762258</v>
      </c>
    </row>
    <row r="29" spans="1:19" x14ac:dyDescent="0.2">
      <c r="A29" s="444" t="s">
        <v>144</v>
      </c>
      <c r="B29" s="661">
        <v>93063.64</v>
      </c>
      <c r="C29" s="622">
        <v>0</v>
      </c>
      <c r="D29" s="622">
        <v>0</v>
      </c>
      <c r="E29" s="622">
        <v>0</v>
      </c>
      <c r="F29" s="622">
        <v>0</v>
      </c>
      <c r="G29" s="622">
        <v>0</v>
      </c>
      <c r="H29" s="622">
        <v>0</v>
      </c>
      <c r="I29" s="622">
        <v>0</v>
      </c>
      <c r="J29" s="622">
        <v>0</v>
      </c>
      <c r="K29" s="622">
        <v>0</v>
      </c>
      <c r="L29" s="622">
        <v>0</v>
      </c>
      <c r="M29" s="622">
        <v>0</v>
      </c>
      <c r="N29" s="628">
        <v>308331.39999999997</v>
      </c>
      <c r="O29" s="16">
        <f>SUM(B29:M29)</f>
        <v>93063.64</v>
      </c>
      <c r="P29" s="15">
        <f>O29+N29</f>
        <v>401395.04</v>
      </c>
      <c r="Q29" s="16">
        <f>11967000+R29</f>
        <v>11267000</v>
      </c>
      <c r="R29" s="16">
        <v>-700000</v>
      </c>
      <c r="S29" s="426">
        <f t="shared" si="6"/>
        <v>3.5625724682701691E-2</v>
      </c>
    </row>
    <row r="30" spans="1:19" x14ac:dyDescent="0.2">
      <c r="A30" s="442" t="s">
        <v>145</v>
      </c>
      <c r="B30" s="663">
        <f t="shared" ref="B30:J30" si="7">SUM(B27:B29)</f>
        <v>149181.66999999998</v>
      </c>
      <c r="C30" s="18">
        <f t="shared" si="7"/>
        <v>0</v>
      </c>
      <c r="D30" s="18">
        <f t="shared" si="7"/>
        <v>0</v>
      </c>
      <c r="E30" s="18">
        <f>SUM(E27:E29)</f>
        <v>0</v>
      </c>
      <c r="F30" s="162">
        <f t="shared" si="7"/>
        <v>0</v>
      </c>
      <c r="G30" s="340">
        <f t="shared" si="7"/>
        <v>0</v>
      </c>
      <c r="H30" s="162">
        <f t="shared" si="7"/>
        <v>0</v>
      </c>
      <c r="I30" s="162">
        <f t="shared" si="7"/>
        <v>0</v>
      </c>
      <c r="J30" s="162">
        <f t="shared" si="7"/>
        <v>0</v>
      </c>
      <c r="K30" s="162">
        <f t="shared" ref="K30:R30" si="8">SUM(K27:K29)</f>
        <v>0</v>
      </c>
      <c r="L30" s="162">
        <f t="shared" si="8"/>
        <v>0</v>
      </c>
      <c r="M30" s="162">
        <f t="shared" si="8"/>
        <v>0</v>
      </c>
      <c r="N30" s="627">
        <v>1326179.1000000001</v>
      </c>
      <c r="O30" s="19">
        <f t="shared" si="8"/>
        <v>149181.66999999998</v>
      </c>
      <c r="P30" s="19">
        <f t="shared" si="8"/>
        <v>1475360.77</v>
      </c>
      <c r="Q30" s="467">
        <f>SUM(Q27:Q29)</f>
        <v>18544000</v>
      </c>
      <c r="R30" s="19">
        <f t="shared" si="8"/>
        <v>-700000</v>
      </c>
      <c r="S30" s="428">
        <f>P30/Q30</f>
        <v>7.9560007010353748E-2</v>
      </c>
    </row>
    <row r="31" spans="1:19" x14ac:dyDescent="0.2">
      <c r="A31" s="440"/>
      <c r="B31" s="661"/>
      <c r="C31" s="15"/>
      <c r="D31" s="15"/>
      <c r="E31" s="15"/>
      <c r="F31" s="159"/>
      <c r="G31" s="339"/>
      <c r="H31" s="159"/>
      <c r="I31" s="159"/>
      <c r="J31" s="159"/>
      <c r="K31" s="159"/>
      <c r="L31" s="159"/>
      <c r="M31" s="159"/>
      <c r="N31" s="628"/>
      <c r="O31" s="16"/>
      <c r="P31" s="16"/>
      <c r="Q31" s="468"/>
      <c r="R31" s="16"/>
      <c r="S31" s="426"/>
    </row>
    <row r="32" spans="1:19" x14ac:dyDescent="0.2">
      <c r="A32" s="439" t="s">
        <v>146</v>
      </c>
      <c r="B32" s="661"/>
      <c r="C32" s="15"/>
      <c r="D32" s="15"/>
      <c r="E32" s="15"/>
      <c r="F32" s="159"/>
      <c r="G32" s="339"/>
      <c r="H32" s="159"/>
      <c r="I32" s="159"/>
      <c r="J32" s="159"/>
      <c r="K32" s="159"/>
      <c r="L32" s="159"/>
      <c r="M32" s="159"/>
      <c r="N32" s="628"/>
      <c r="O32" s="16"/>
      <c r="P32" s="16"/>
      <c r="Q32" s="468"/>
      <c r="R32" s="16"/>
      <c r="S32" s="426"/>
    </row>
    <row r="33" spans="1:19" x14ac:dyDescent="0.2">
      <c r="A33" s="440" t="s">
        <v>147</v>
      </c>
      <c r="B33" s="661">
        <v>0</v>
      </c>
      <c r="C33" s="622">
        <v>0</v>
      </c>
      <c r="D33" s="622">
        <v>0</v>
      </c>
      <c r="E33" s="622">
        <v>0</v>
      </c>
      <c r="F33" s="622">
        <v>0</v>
      </c>
      <c r="G33" s="622">
        <v>0</v>
      </c>
      <c r="H33" s="622">
        <v>0</v>
      </c>
      <c r="I33" s="622">
        <v>0</v>
      </c>
      <c r="J33" s="622">
        <v>0</v>
      </c>
      <c r="K33" s="622">
        <v>0</v>
      </c>
      <c r="L33" s="622">
        <v>0</v>
      </c>
      <c r="M33" s="622">
        <v>0</v>
      </c>
      <c r="N33" s="628">
        <v>8111.66</v>
      </c>
      <c r="O33" s="16">
        <f>SUM(B33:M33)</f>
        <v>0</v>
      </c>
      <c r="P33" s="15">
        <f>O33+N33</f>
        <v>8111.66</v>
      </c>
      <c r="Q33" s="468">
        <v>2587000</v>
      </c>
      <c r="R33" s="16"/>
      <c r="S33" s="426">
        <f t="shared" ref="S33:S36" si="9">+P33/Q33</f>
        <v>3.1355469655972167E-3</v>
      </c>
    </row>
    <row r="34" spans="1:19" x14ac:dyDescent="0.2">
      <c r="A34" s="440" t="s">
        <v>148</v>
      </c>
      <c r="B34" s="661">
        <v>0</v>
      </c>
      <c r="C34" s="622">
        <v>0</v>
      </c>
      <c r="D34" s="622">
        <v>0</v>
      </c>
      <c r="E34" s="622">
        <v>0</v>
      </c>
      <c r="F34" s="622">
        <v>0</v>
      </c>
      <c r="G34" s="622">
        <v>0</v>
      </c>
      <c r="H34" s="622">
        <v>0</v>
      </c>
      <c r="I34" s="622">
        <v>0</v>
      </c>
      <c r="J34" s="622">
        <v>0</v>
      </c>
      <c r="K34" s="622">
        <v>0</v>
      </c>
      <c r="L34" s="622">
        <v>0</v>
      </c>
      <c r="M34" s="622">
        <v>0</v>
      </c>
      <c r="N34" s="628">
        <v>0</v>
      </c>
      <c r="O34" s="16">
        <f>SUM(B34:M34)</f>
        <v>0</v>
      </c>
      <c r="P34" s="15">
        <f>O34+N34</f>
        <v>0</v>
      </c>
      <c r="Q34" s="16">
        <v>50000</v>
      </c>
      <c r="R34" s="16"/>
      <c r="S34" s="426"/>
    </row>
    <row r="35" spans="1:19" x14ac:dyDescent="0.2">
      <c r="A35" s="488" t="s">
        <v>149</v>
      </c>
      <c r="B35" s="661">
        <v>4111.1399999999994</v>
      </c>
      <c r="C35" s="622">
        <v>0</v>
      </c>
      <c r="D35" s="622">
        <v>0</v>
      </c>
      <c r="E35" s="622">
        <v>0</v>
      </c>
      <c r="F35" s="622">
        <v>0</v>
      </c>
      <c r="G35" s="622">
        <v>0</v>
      </c>
      <c r="H35" s="622">
        <v>0</v>
      </c>
      <c r="I35" s="622">
        <v>0</v>
      </c>
      <c r="J35" s="622">
        <v>0</v>
      </c>
      <c r="K35" s="622">
        <v>0</v>
      </c>
      <c r="L35" s="622">
        <v>0</v>
      </c>
      <c r="M35" s="622">
        <v>0</v>
      </c>
      <c r="N35" s="628">
        <v>353293.69999999995</v>
      </c>
      <c r="O35" s="16">
        <f>SUM(B35:M35)</f>
        <v>4111.1399999999994</v>
      </c>
      <c r="P35" s="15">
        <f>O35+N35</f>
        <v>357404.83999999997</v>
      </c>
      <c r="Q35" s="468">
        <v>2148000</v>
      </c>
      <c r="R35" s="16">
        <v>0</v>
      </c>
      <c r="S35" s="426">
        <f t="shared" si="9"/>
        <v>0.16638959031657355</v>
      </c>
    </row>
    <row r="36" spans="1:19" x14ac:dyDescent="0.2">
      <c r="A36" s="489" t="s">
        <v>150</v>
      </c>
      <c r="B36" s="661">
        <v>3185.1299999999997</v>
      </c>
      <c r="C36" s="622">
        <v>0</v>
      </c>
      <c r="D36" s="622">
        <v>0</v>
      </c>
      <c r="E36" s="622">
        <v>0</v>
      </c>
      <c r="F36" s="622">
        <v>0</v>
      </c>
      <c r="G36" s="622">
        <v>0</v>
      </c>
      <c r="H36" s="622">
        <v>0</v>
      </c>
      <c r="I36" s="622">
        <v>0</v>
      </c>
      <c r="J36" s="622">
        <v>0</v>
      </c>
      <c r="K36" s="622">
        <v>0</v>
      </c>
      <c r="L36" s="622">
        <v>0</v>
      </c>
      <c r="M36" s="622">
        <v>0</v>
      </c>
      <c r="N36" s="628">
        <v>36809.949999999997</v>
      </c>
      <c r="O36" s="16">
        <f>SUM(B36:M36)</f>
        <v>3185.1299999999997</v>
      </c>
      <c r="P36" s="15">
        <f>O36+N36</f>
        <v>39995.079999999994</v>
      </c>
      <c r="Q36" s="16">
        <v>340000</v>
      </c>
      <c r="R36" s="16">
        <v>0</v>
      </c>
      <c r="S36" s="426">
        <f t="shared" si="9"/>
        <v>0.1176325882352941</v>
      </c>
    </row>
    <row r="37" spans="1:19" x14ac:dyDescent="0.2">
      <c r="A37" s="442" t="s">
        <v>151</v>
      </c>
      <c r="B37" s="663">
        <f t="shared" ref="B37:R37" si="10">SUM(B33:B36)</f>
        <v>7296.2699999999986</v>
      </c>
      <c r="C37" s="18">
        <f t="shared" si="10"/>
        <v>0</v>
      </c>
      <c r="D37" s="18">
        <f t="shared" si="10"/>
        <v>0</v>
      </c>
      <c r="E37" s="18">
        <f t="shared" si="10"/>
        <v>0</v>
      </c>
      <c r="F37" s="18">
        <f t="shared" si="10"/>
        <v>0</v>
      </c>
      <c r="G37" s="340">
        <f t="shared" si="10"/>
        <v>0</v>
      </c>
      <c r="H37" s="18">
        <f t="shared" si="10"/>
        <v>0</v>
      </c>
      <c r="I37" s="18">
        <f t="shared" si="10"/>
        <v>0</v>
      </c>
      <c r="J37" s="18">
        <f t="shared" si="10"/>
        <v>0</v>
      </c>
      <c r="K37" s="18">
        <f t="shared" si="10"/>
        <v>0</v>
      </c>
      <c r="L37" s="18">
        <f t="shared" si="10"/>
        <v>0</v>
      </c>
      <c r="M37" s="238">
        <f t="shared" si="10"/>
        <v>0</v>
      </c>
      <c r="N37" s="627">
        <v>398215.30999999994</v>
      </c>
      <c r="O37" s="238">
        <f>SUM(O33:O36)</f>
        <v>7296.2699999999986</v>
      </c>
      <c r="P37" s="19">
        <f>SUM(P33:P36)</f>
        <v>405511.57999999996</v>
      </c>
      <c r="Q37" s="467">
        <f t="shared" si="10"/>
        <v>5125000</v>
      </c>
      <c r="R37" s="19">
        <f t="shared" si="10"/>
        <v>0</v>
      </c>
      <c r="S37" s="428">
        <f>P37/Q37</f>
        <v>7.9124210731707306E-2</v>
      </c>
    </row>
    <row r="38" spans="1:19" x14ac:dyDescent="0.2">
      <c r="A38" s="440"/>
      <c r="B38" s="661"/>
      <c r="C38" s="15"/>
      <c r="D38" s="15"/>
      <c r="E38" s="15"/>
      <c r="F38" s="159"/>
      <c r="G38" s="339"/>
      <c r="H38" s="159"/>
      <c r="I38" s="159"/>
      <c r="J38" s="159"/>
      <c r="K38" s="159"/>
      <c r="L38" s="159"/>
      <c r="M38" s="159"/>
      <c r="N38" s="628"/>
      <c r="O38" s="16"/>
      <c r="P38" s="16"/>
      <c r="Q38" s="468"/>
      <c r="R38" s="16"/>
      <c r="S38" s="426"/>
    </row>
    <row r="39" spans="1:19" x14ac:dyDescent="0.2">
      <c r="A39" s="439" t="s">
        <v>152</v>
      </c>
      <c r="B39" s="661"/>
      <c r="C39" s="15"/>
      <c r="D39" s="15"/>
      <c r="E39" s="15"/>
      <c r="F39" s="159"/>
      <c r="G39" s="339"/>
      <c r="H39" s="159"/>
      <c r="I39" s="159"/>
      <c r="J39" s="159"/>
      <c r="K39" s="159"/>
      <c r="L39" s="159"/>
      <c r="M39" s="159"/>
      <c r="N39" s="628"/>
      <c r="O39" s="16"/>
      <c r="P39" s="16"/>
      <c r="Q39" s="468"/>
      <c r="R39" s="16"/>
      <c r="S39" s="426"/>
    </row>
    <row r="40" spans="1:19" x14ac:dyDescent="0.2">
      <c r="A40" s="440" t="s">
        <v>153</v>
      </c>
      <c r="B40" s="661">
        <v>123346.5</v>
      </c>
      <c r="C40" s="622">
        <v>0</v>
      </c>
      <c r="D40" s="622">
        <v>0</v>
      </c>
      <c r="E40" s="622">
        <v>0</v>
      </c>
      <c r="F40" s="622">
        <v>0</v>
      </c>
      <c r="G40" s="622">
        <v>0</v>
      </c>
      <c r="H40" s="622">
        <v>0</v>
      </c>
      <c r="I40" s="622">
        <v>0</v>
      </c>
      <c r="J40" s="622">
        <v>0</v>
      </c>
      <c r="K40" s="622">
        <v>0</v>
      </c>
      <c r="L40" s="622">
        <v>0</v>
      </c>
      <c r="M40" s="622">
        <v>0</v>
      </c>
      <c r="N40" s="628">
        <v>588731.91000000015</v>
      </c>
      <c r="O40" s="16">
        <f>SUM(B40:M40)</f>
        <v>123346.5</v>
      </c>
      <c r="P40" s="15">
        <f>O40+N40</f>
        <v>712078.41000000015</v>
      </c>
      <c r="Q40" s="468">
        <v>4502000</v>
      </c>
      <c r="R40" s="16"/>
      <c r="S40" s="426">
        <f t="shared" ref="S40" si="11">+P40/Q40</f>
        <v>0.15816934917814307</v>
      </c>
    </row>
    <row r="41" spans="1:19" x14ac:dyDescent="0.2">
      <c r="A41" s="442" t="s">
        <v>154</v>
      </c>
      <c r="B41" s="663">
        <f t="shared" ref="B41:O41" si="12">SUM(B40:B40)</f>
        <v>123346.5</v>
      </c>
      <c r="C41" s="18">
        <f t="shared" si="12"/>
        <v>0</v>
      </c>
      <c r="D41" s="18">
        <f t="shared" si="12"/>
        <v>0</v>
      </c>
      <c r="E41" s="18">
        <f t="shared" si="12"/>
        <v>0</v>
      </c>
      <c r="F41" s="162">
        <f t="shared" si="12"/>
        <v>0</v>
      </c>
      <c r="G41" s="340">
        <f t="shared" si="12"/>
        <v>0</v>
      </c>
      <c r="H41" s="162">
        <f t="shared" si="12"/>
        <v>0</v>
      </c>
      <c r="I41" s="162">
        <f t="shared" si="12"/>
        <v>0</v>
      </c>
      <c r="J41" s="162">
        <f t="shared" si="12"/>
        <v>0</v>
      </c>
      <c r="K41" s="162">
        <f t="shared" si="12"/>
        <v>0</v>
      </c>
      <c r="L41" s="162">
        <f t="shared" si="12"/>
        <v>0</v>
      </c>
      <c r="M41" s="162">
        <f t="shared" si="12"/>
        <v>0</v>
      </c>
      <c r="N41" s="627">
        <v>588731.91000000015</v>
      </c>
      <c r="O41" s="19">
        <f t="shared" si="12"/>
        <v>123346.5</v>
      </c>
      <c r="P41" s="19">
        <f>P40</f>
        <v>712078.41000000015</v>
      </c>
      <c r="Q41" s="467">
        <f>SUM(Q40)</f>
        <v>4502000</v>
      </c>
      <c r="R41" s="19">
        <f>SUM(R40:R40)</f>
        <v>0</v>
      </c>
      <c r="S41" s="428">
        <f>P41/Q41</f>
        <v>0.15816934917814307</v>
      </c>
    </row>
    <row r="42" spans="1:19" x14ac:dyDescent="0.2">
      <c r="A42" s="439"/>
      <c r="B42" s="661"/>
      <c r="C42" s="15"/>
      <c r="D42" s="15"/>
      <c r="E42" s="15"/>
      <c r="F42" s="159"/>
      <c r="G42" s="339"/>
      <c r="H42" s="159"/>
      <c r="I42" s="159"/>
      <c r="J42" s="159"/>
      <c r="K42" s="159"/>
      <c r="L42" s="159"/>
      <c r="M42" s="159"/>
      <c r="N42" s="628"/>
      <c r="O42" s="16"/>
      <c r="P42" s="664"/>
      <c r="Q42" s="665"/>
      <c r="R42" s="16"/>
      <c r="S42" s="426"/>
    </row>
    <row r="43" spans="1:19" x14ac:dyDescent="0.2">
      <c r="A43" s="439" t="s">
        <v>155</v>
      </c>
      <c r="B43" s="661"/>
      <c r="C43" s="15"/>
      <c r="D43" s="15"/>
      <c r="E43" s="15"/>
      <c r="F43" s="159"/>
      <c r="G43" s="339"/>
      <c r="H43" s="159"/>
      <c r="I43" s="159"/>
      <c r="J43" s="159"/>
      <c r="K43" s="159"/>
      <c r="L43" s="159"/>
      <c r="M43" s="159"/>
      <c r="N43" s="628"/>
      <c r="O43" s="16"/>
      <c r="P43" s="664"/>
      <c r="Q43" s="468"/>
      <c r="R43" s="16"/>
      <c r="S43" s="426"/>
    </row>
    <row r="44" spans="1:19" x14ac:dyDescent="0.2">
      <c r="A44" s="440" t="s">
        <v>156</v>
      </c>
      <c r="B44" s="661">
        <v>31241.520000000008</v>
      </c>
      <c r="C44" s="622">
        <v>0</v>
      </c>
      <c r="D44" s="622">
        <v>0</v>
      </c>
      <c r="E44" s="622">
        <v>0</v>
      </c>
      <c r="F44" s="622">
        <v>0</v>
      </c>
      <c r="G44" s="622">
        <v>0</v>
      </c>
      <c r="H44" s="622">
        <v>0</v>
      </c>
      <c r="I44" s="622">
        <v>0</v>
      </c>
      <c r="J44" s="622">
        <v>0</v>
      </c>
      <c r="K44" s="622">
        <v>0</v>
      </c>
      <c r="L44" s="622">
        <v>0</v>
      </c>
      <c r="M44" s="622">
        <v>0</v>
      </c>
      <c r="N44" s="628">
        <v>608291.89999999991</v>
      </c>
      <c r="O44" s="16">
        <f t="shared" ref="O44:O47" si="13">SUM(B44:M44)</f>
        <v>31241.520000000008</v>
      </c>
      <c r="P44" s="15">
        <f>O44+N44</f>
        <v>639533.41999999993</v>
      </c>
      <c r="Q44" s="666">
        <v>4095000</v>
      </c>
      <c r="R44" s="16"/>
      <c r="S44" s="426">
        <f t="shared" ref="S44:S47" si="14">+P44/Q44</f>
        <v>0.15617421733821732</v>
      </c>
    </row>
    <row r="45" spans="1:19" x14ac:dyDescent="0.2">
      <c r="A45" s="440" t="s">
        <v>157</v>
      </c>
      <c r="B45" s="661">
        <v>43570.509999999995</v>
      </c>
      <c r="C45" s="622">
        <v>0</v>
      </c>
      <c r="D45" s="622">
        <v>0</v>
      </c>
      <c r="E45" s="622">
        <v>0</v>
      </c>
      <c r="F45" s="622">
        <v>0</v>
      </c>
      <c r="G45" s="622">
        <v>0</v>
      </c>
      <c r="H45" s="622">
        <v>0</v>
      </c>
      <c r="I45" s="622">
        <v>0</v>
      </c>
      <c r="J45" s="622">
        <v>0</v>
      </c>
      <c r="K45" s="622">
        <v>0</v>
      </c>
      <c r="L45" s="622">
        <v>0</v>
      </c>
      <c r="M45" s="622">
        <v>0</v>
      </c>
      <c r="N45" s="628">
        <v>1794645.4000000001</v>
      </c>
      <c r="O45" s="16">
        <f t="shared" si="13"/>
        <v>43570.509999999995</v>
      </c>
      <c r="P45" s="15">
        <f>O45+N45</f>
        <v>1838215.9100000001</v>
      </c>
      <c r="Q45" s="666">
        <v>7948000</v>
      </c>
      <c r="R45" s="16"/>
      <c r="S45" s="426">
        <f t="shared" si="14"/>
        <v>0.23128031077000505</v>
      </c>
    </row>
    <row r="46" spans="1:19" x14ac:dyDescent="0.2">
      <c r="A46" s="440" t="s">
        <v>158</v>
      </c>
      <c r="B46" s="661">
        <v>67688.350000000006</v>
      </c>
      <c r="C46" s="622">
        <v>0</v>
      </c>
      <c r="D46" s="622">
        <v>0</v>
      </c>
      <c r="E46" s="622">
        <v>0</v>
      </c>
      <c r="F46" s="622">
        <v>0</v>
      </c>
      <c r="G46" s="622">
        <v>0</v>
      </c>
      <c r="H46" s="622">
        <v>0</v>
      </c>
      <c r="I46" s="622">
        <v>0</v>
      </c>
      <c r="J46" s="622">
        <v>0</v>
      </c>
      <c r="K46" s="622">
        <v>0</v>
      </c>
      <c r="L46" s="622">
        <v>0</v>
      </c>
      <c r="M46" s="622">
        <v>0</v>
      </c>
      <c r="N46" s="628">
        <v>695976.37000000011</v>
      </c>
      <c r="O46" s="16">
        <f t="shared" si="13"/>
        <v>67688.350000000006</v>
      </c>
      <c r="P46" s="15">
        <f>O46+N46</f>
        <v>763664.72000000009</v>
      </c>
      <c r="Q46" s="667">
        <f>5795000+R46</f>
        <v>5600600</v>
      </c>
      <c r="R46" s="16">
        <v>-194400</v>
      </c>
      <c r="S46" s="426">
        <f t="shared" si="14"/>
        <v>0.13635409063314646</v>
      </c>
    </row>
    <row r="47" spans="1:19" x14ac:dyDescent="0.2">
      <c r="A47" s="440" t="s">
        <v>159</v>
      </c>
      <c r="B47" s="661">
        <v>0</v>
      </c>
      <c r="C47" s="622">
        <v>0</v>
      </c>
      <c r="D47" s="622">
        <v>0</v>
      </c>
      <c r="E47" s="622">
        <v>0</v>
      </c>
      <c r="F47" s="622">
        <v>0</v>
      </c>
      <c r="G47" s="622">
        <v>0</v>
      </c>
      <c r="H47" s="622">
        <v>0</v>
      </c>
      <c r="I47" s="622">
        <v>0</v>
      </c>
      <c r="J47" s="622">
        <v>0</v>
      </c>
      <c r="K47" s="622">
        <v>0</v>
      </c>
      <c r="L47" s="622">
        <v>0</v>
      </c>
      <c r="M47" s="622">
        <v>0</v>
      </c>
      <c r="N47" s="628">
        <v>19580.09</v>
      </c>
      <c r="O47" s="16">
        <f t="shared" si="13"/>
        <v>0</v>
      </c>
      <c r="P47" s="15">
        <f>O47+N47</f>
        <v>19580.09</v>
      </c>
      <c r="Q47" s="668">
        <v>1000000</v>
      </c>
      <c r="R47" s="16"/>
      <c r="S47" s="426">
        <f t="shared" si="14"/>
        <v>1.9580090000000001E-2</v>
      </c>
    </row>
    <row r="48" spans="1:19" x14ac:dyDescent="0.2">
      <c r="A48" s="442" t="s">
        <v>160</v>
      </c>
      <c r="B48" s="663">
        <f>SUM(B44:B47)</f>
        <v>142500.38</v>
      </c>
      <c r="C48" s="340">
        <f t="shared" ref="C48:M48" si="15">SUM(C44:C47)</f>
        <v>0</v>
      </c>
      <c r="D48" s="340">
        <f t="shared" si="15"/>
        <v>0</v>
      </c>
      <c r="E48" s="340">
        <f t="shared" si="15"/>
        <v>0</v>
      </c>
      <c r="F48" s="340">
        <f t="shared" si="15"/>
        <v>0</v>
      </c>
      <c r="G48" s="340">
        <f>SUM(G44:G47)</f>
        <v>0</v>
      </c>
      <c r="H48" s="340">
        <f t="shared" si="15"/>
        <v>0</v>
      </c>
      <c r="I48" s="340">
        <f t="shared" si="15"/>
        <v>0</v>
      </c>
      <c r="J48" s="340">
        <f t="shared" si="15"/>
        <v>0</v>
      </c>
      <c r="K48" s="340">
        <f t="shared" si="15"/>
        <v>0</v>
      </c>
      <c r="L48" s="340">
        <f t="shared" si="15"/>
        <v>0</v>
      </c>
      <c r="M48" s="340">
        <f t="shared" si="15"/>
        <v>0</v>
      </c>
      <c r="N48" s="629">
        <v>3118493.7600000002</v>
      </c>
      <c r="O48" s="612">
        <f>O47+O46+O45+O44</f>
        <v>142500.38</v>
      </c>
      <c r="P48" s="19">
        <f>SUM(P44:P47)</f>
        <v>3260994.14</v>
      </c>
      <c r="Q48" s="467">
        <f>SUM(Q44:Q47)</f>
        <v>18643600</v>
      </c>
      <c r="R48" s="19">
        <f>SUM(R44:R47)</f>
        <v>-194400</v>
      </c>
      <c r="S48" s="428">
        <f>P48/Q48</f>
        <v>0.17491225621661052</v>
      </c>
    </row>
    <row r="49" spans="1:26" x14ac:dyDescent="0.2">
      <c r="A49" s="439"/>
      <c r="B49" s="661"/>
      <c r="C49" s="15"/>
      <c r="D49" s="15"/>
      <c r="E49" s="15"/>
      <c r="F49" s="159"/>
      <c r="G49" s="339"/>
      <c r="H49" s="159"/>
      <c r="I49" s="159"/>
      <c r="J49" s="159"/>
      <c r="K49" s="159"/>
      <c r="L49" s="159"/>
      <c r="M49" s="159"/>
      <c r="N49" s="628"/>
      <c r="O49" s="16"/>
      <c r="P49" s="16"/>
      <c r="Q49" s="468"/>
      <c r="R49" s="16"/>
      <c r="S49" s="426"/>
    </row>
    <row r="50" spans="1:26" ht="15" customHeight="1" thickBot="1" x14ac:dyDescent="0.25">
      <c r="A50" s="445" t="s">
        <v>161</v>
      </c>
      <c r="B50" s="663">
        <f>B48+B41+B37+B30+B24+B20+B16</f>
        <v>595461.39</v>
      </c>
      <c r="C50" s="340">
        <f>C48+C41+C37+C30+C24+C20+C16</f>
        <v>0</v>
      </c>
      <c r="D50" s="340">
        <f t="shared" ref="D50:M50" si="16">D48+D41+D37+D30+D24+D20+D16</f>
        <v>0</v>
      </c>
      <c r="E50" s="340">
        <f t="shared" si="16"/>
        <v>0</v>
      </c>
      <c r="F50" s="340">
        <f t="shared" si="16"/>
        <v>0</v>
      </c>
      <c r="G50" s="340">
        <f t="shared" si="16"/>
        <v>0</v>
      </c>
      <c r="H50" s="340">
        <f t="shared" si="16"/>
        <v>0</v>
      </c>
      <c r="I50" s="340">
        <f t="shared" si="16"/>
        <v>0</v>
      </c>
      <c r="J50" s="340">
        <f t="shared" si="16"/>
        <v>0</v>
      </c>
      <c r="K50" s="340">
        <f t="shared" si="16"/>
        <v>0</v>
      </c>
      <c r="L50" s="340">
        <f t="shared" si="16"/>
        <v>0</v>
      </c>
      <c r="M50" s="340">
        <f t="shared" si="16"/>
        <v>0</v>
      </c>
      <c r="N50" s="340">
        <f>N48+N41+N37+N30+N24+N20+N16</f>
        <v>8630309.5999999996</v>
      </c>
      <c r="O50" s="401">
        <f>O48+O41+O37+O30+O24+O20+O16</f>
        <v>595461.39</v>
      </c>
      <c r="P50" s="401">
        <f>P48+P41+P37+P30+P24+P20+P16</f>
        <v>9225770.9900000002</v>
      </c>
      <c r="Q50" s="469">
        <f>Q48+Q41+Q37+Q30+Q24+Q20+Q16</f>
        <v>76689902</v>
      </c>
      <c r="R50" s="469">
        <f>R16+R30+R48</f>
        <v>-1128898</v>
      </c>
      <c r="S50" s="431">
        <f>P50/Q50</f>
        <v>0.12029968417484743</v>
      </c>
    </row>
    <row r="51" spans="1:26" ht="15" customHeight="1" thickTop="1" x14ac:dyDescent="0.2">
      <c r="A51" s="446"/>
      <c r="B51" s="338"/>
      <c r="C51" s="159"/>
      <c r="D51" s="159"/>
      <c r="E51" s="159"/>
      <c r="F51" s="159"/>
      <c r="G51" s="165"/>
      <c r="H51" s="159"/>
      <c r="I51" s="159"/>
      <c r="J51" s="159"/>
      <c r="K51" s="159"/>
      <c r="L51" s="159"/>
      <c r="M51" s="159"/>
      <c r="N51" s="159"/>
      <c r="O51" s="159"/>
      <c r="P51" s="159"/>
      <c r="Q51" s="159" t="s">
        <v>83</v>
      </c>
      <c r="R51" s="159"/>
      <c r="S51" s="432"/>
    </row>
    <row r="52" spans="1:26" ht="10.5" customHeight="1" thickBot="1" x14ac:dyDescent="0.25">
      <c r="A52" s="236"/>
      <c r="B52" s="233"/>
      <c r="C52" s="163"/>
      <c r="D52" s="163"/>
      <c r="E52" s="163"/>
      <c r="F52" s="163"/>
      <c r="G52" s="163"/>
      <c r="H52" s="163"/>
      <c r="I52" s="163"/>
      <c r="J52" s="163"/>
      <c r="K52" s="163"/>
      <c r="L52" s="163"/>
      <c r="M52" s="163"/>
      <c r="N52" s="163"/>
      <c r="O52" s="163"/>
      <c r="P52" s="163"/>
      <c r="Q52" s="164"/>
      <c r="R52" s="164"/>
      <c r="S52" s="433"/>
    </row>
    <row r="53" spans="1:26" x14ac:dyDescent="0.2">
      <c r="A53" s="230"/>
      <c r="G53" s="310"/>
      <c r="N53" s="230"/>
    </row>
    <row r="54" spans="1:26" ht="15" x14ac:dyDescent="0.25">
      <c r="A54" s="342" t="s">
        <v>44</v>
      </c>
      <c r="B54" s="230"/>
      <c r="N54" s="342"/>
      <c r="O54" s="546"/>
    </row>
    <row r="55" spans="1:26" s="261" customFormat="1" ht="16.5" x14ac:dyDescent="0.2">
      <c r="A55" s="407" t="s">
        <v>162</v>
      </c>
      <c r="G55" s="260"/>
      <c r="H55" s="260"/>
      <c r="J55" s="386"/>
    </row>
    <row r="56" spans="1:26" s="10" customFormat="1" ht="24" customHeight="1" x14ac:dyDescent="0.2">
      <c r="A56" s="679" t="s">
        <v>163</v>
      </c>
      <c r="B56" s="680"/>
      <c r="C56" s="680"/>
      <c r="D56" s="680"/>
      <c r="E56" s="680"/>
      <c r="F56" s="680"/>
      <c r="G56" s="680"/>
      <c r="H56" s="680"/>
      <c r="I56" s="680"/>
      <c r="J56" s="680"/>
      <c r="K56" s="680"/>
      <c r="L56" s="680"/>
      <c r="M56" s="680"/>
      <c r="N56" s="680"/>
      <c r="O56" s="13"/>
      <c r="P56" s="13"/>
      <c r="Q56" s="13"/>
      <c r="R56" s="13"/>
      <c r="S56" s="13"/>
      <c r="T56" s="172"/>
      <c r="U56" s="172"/>
      <c r="V56" s="172"/>
      <c r="W56" s="172"/>
      <c r="X56" s="172"/>
      <c r="Y56" s="172"/>
      <c r="Z56" s="172"/>
    </row>
    <row r="57" spans="1:26" ht="15" x14ac:dyDescent="0.2">
      <c r="A57" s="283" t="s">
        <v>50</v>
      </c>
      <c r="E57" s="167"/>
      <c r="F57" s="159"/>
      <c r="N57" s="283"/>
    </row>
    <row r="58" spans="1:26" x14ac:dyDescent="0.2">
      <c r="A58" s="562"/>
      <c r="N58" s="562"/>
    </row>
  </sheetData>
  <mergeCells count="1">
    <mergeCell ref="A56:N56"/>
  </mergeCells>
  <printOptions horizontalCentered="1"/>
  <pageMargins left="0" right="0" top="0.55000000000000004" bottom="0.17" header="0.3" footer="0.15"/>
  <pageSetup paperSize="5" scale="53" orientation="landscape" cellComments="atEnd" r:id="rId1"/>
  <headerFooter alignWithMargins="0">
    <oddHeader xml:space="preserve">&amp;C&amp;"Arial,Bold"
</oddHeader>
    <oddFooter>&amp;Rpage 5 of 12
&amp;A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7"/>
  <sheetViews>
    <sheetView workbookViewId="0">
      <selection activeCell="G40" sqref="G40"/>
    </sheetView>
  </sheetViews>
  <sheetFormatPr defaultColWidth="9.140625" defaultRowHeight="12.75" x14ac:dyDescent="0.2"/>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x14ac:dyDescent="0.2">
      <c r="A2" s="146"/>
      <c r="C2" s="230"/>
      <c r="D2" s="230"/>
      <c r="E2" s="230"/>
      <c r="F2" s="230"/>
      <c r="G2" s="188" t="s">
        <v>0</v>
      </c>
      <c r="H2" s="230"/>
      <c r="I2" s="230"/>
      <c r="J2" s="230"/>
      <c r="K2" s="230"/>
      <c r="L2" s="230"/>
      <c r="M2" s="230"/>
    </row>
    <row r="3" spans="1:14" x14ac:dyDescent="0.2">
      <c r="A3" s="146"/>
      <c r="C3" s="230"/>
      <c r="D3" s="406"/>
      <c r="E3" s="230"/>
      <c r="F3" s="230"/>
      <c r="G3" s="301" t="s">
        <v>164</v>
      </c>
      <c r="H3" s="230"/>
      <c r="I3" s="230"/>
      <c r="J3" s="230"/>
      <c r="K3" s="230"/>
      <c r="L3" s="230"/>
      <c r="M3" s="230"/>
    </row>
    <row r="4" spans="1:14" x14ac:dyDescent="0.2">
      <c r="A4" s="146"/>
      <c r="F4" s="230"/>
      <c r="G4" s="273" t="str">
        <f>'Program MW '!H3</f>
        <v>January 2019</v>
      </c>
      <c r="H4" s="230"/>
      <c r="I4" s="230"/>
    </row>
    <row r="5" spans="1:14" x14ac:dyDescent="0.2">
      <c r="A5" s="146"/>
      <c r="B5" s="230"/>
      <c r="C5" s="230"/>
      <c r="D5" s="230"/>
    </row>
    <row r="6" spans="1:14" ht="13.5" thickBot="1" x14ac:dyDescent="0.25"/>
    <row r="7" spans="1:14" x14ac:dyDescent="0.2">
      <c r="A7" s="148"/>
      <c r="B7" s="149"/>
      <c r="C7" s="149"/>
      <c r="D7" s="149"/>
      <c r="E7" s="149"/>
      <c r="F7" s="149"/>
      <c r="G7" s="149"/>
      <c r="H7" s="149"/>
      <c r="I7" s="149"/>
      <c r="J7" s="149"/>
      <c r="K7" s="149"/>
      <c r="L7" s="149"/>
      <c r="M7" s="150"/>
      <c r="N7" s="151"/>
    </row>
    <row r="8" spans="1:14" ht="7.5" customHeight="1" x14ac:dyDescent="0.2">
      <c r="A8" s="152"/>
      <c r="B8" s="153"/>
      <c r="C8" s="153"/>
      <c r="D8" s="153"/>
      <c r="E8" s="153"/>
      <c r="F8" s="153"/>
      <c r="G8" s="153"/>
      <c r="H8" s="153"/>
      <c r="I8" s="153"/>
      <c r="J8" s="153"/>
      <c r="K8" s="153"/>
      <c r="L8" s="153"/>
      <c r="M8" s="154"/>
      <c r="N8" s="155"/>
    </row>
    <row r="9" spans="1:14" ht="57" customHeight="1" x14ac:dyDescent="0.2">
      <c r="A9" s="156" t="s">
        <v>122</v>
      </c>
      <c r="B9" s="158" t="s">
        <v>3</v>
      </c>
      <c r="C9" s="158" t="s">
        <v>4</v>
      </c>
      <c r="D9" s="158" t="s">
        <v>5</v>
      </c>
      <c r="E9" s="158" t="s">
        <v>6</v>
      </c>
      <c r="F9" s="158" t="s">
        <v>7</v>
      </c>
      <c r="G9" s="158" t="s">
        <v>8</v>
      </c>
      <c r="H9" s="158" t="s">
        <v>37</v>
      </c>
      <c r="I9" s="173" t="s">
        <v>38</v>
      </c>
      <c r="J9" s="173" t="s">
        <v>89</v>
      </c>
      <c r="K9" s="158" t="s">
        <v>40</v>
      </c>
      <c r="L9" s="158" t="s">
        <v>90</v>
      </c>
      <c r="M9" s="158" t="s">
        <v>42</v>
      </c>
      <c r="N9" s="157" t="s">
        <v>165</v>
      </c>
    </row>
    <row r="10" spans="1:14" x14ac:dyDescent="0.2">
      <c r="A10" s="272"/>
      <c r="B10" s="475"/>
      <c r="C10" s="475"/>
      <c r="D10" s="475"/>
      <c r="E10" s="475"/>
      <c r="F10" s="475"/>
      <c r="G10" s="475"/>
      <c r="H10" s="475"/>
      <c r="I10" s="476"/>
      <c r="J10" s="476"/>
      <c r="K10" s="475"/>
      <c r="L10" s="475"/>
      <c r="M10" s="475"/>
      <c r="N10" s="160"/>
    </row>
    <row r="11" spans="1:14" x14ac:dyDescent="0.2">
      <c r="A11" s="479" t="s">
        <v>166</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x14ac:dyDescent="0.2">
      <c r="A12" s="494" t="s">
        <v>167</v>
      </c>
      <c r="B12" s="382">
        <f>B11</f>
        <v>0</v>
      </c>
      <c r="C12" s="382">
        <f t="shared" ref="C12:M12" si="1">C11</f>
        <v>0</v>
      </c>
      <c r="D12" s="382">
        <f t="shared" si="1"/>
        <v>0</v>
      </c>
      <c r="E12" s="382">
        <f t="shared" si="1"/>
        <v>0</v>
      </c>
      <c r="F12" s="382">
        <f t="shared" si="1"/>
        <v>0</v>
      </c>
      <c r="G12" s="382">
        <f t="shared" si="1"/>
        <v>0</v>
      </c>
      <c r="H12" s="382">
        <f t="shared" si="1"/>
        <v>0</v>
      </c>
      <c r="I12" s="382">
        <f t="shared" si="1"/>
        <v>0</v>
      </c>
      <c r="J12" s="382">
        <f t="shared" si="1"/>
        <v>0</v>
      </c>
      <c r="K12" s="382">
        <f t="shared" si="1"/>
        <v>0</v>
      </c>
      <c r="L12" s="382">
        <f t="shared" si="1"/>
        <v>0</v>
      </c>
      <c r="M12" s="382">
        <f t="shared" si="1"/>
        <v>0</v>
      </c>
      <c r="N12" s="382">
        <f t="shared" si="0"/>
        <v>0</v>
      </c>
    </row>
    <row r="13" spans="1:14" x14ac:dyDescent="0.2">
      <c r="A13" s="46"/>
      <c r="B13" s="480"/>
      <c r="C13" s="480"/>
      <c r="D13" s="480"/>
      <c r="E13" s="480"/>
      <c r="F13" s="480"/>
      <c r="G13" s="480"/>
      <c r="H13" s="480"/>
      <c r="I13" s="481"/>
      <c r="J13" s="481"/>
      <c r="K13" s="480"/>
      <c r="L13" s="480"/>
      <c r="M13" s="480"/>
      <c r="N13" s="157"/>
    </row>
    <row r="14" spans="1:14" ht="15" customHeight="1" x14ac:dyDescent="0.2">
      <c r="A14" s="482" t="s">
        <v>168</v>
      </c>
      <c r="B14" s="477">
        <v>0</v>
      </c>
      <c r="C14" s="477">
        <v>0</v>
      </c>
      <c r="D14" s="477">
        <v>0</v>
      </c>
      <c r="E14" s="477">
        <v>0</v>
      </c>
      <c r="F14" s="477">
        <v>0</v>
      </c>
      <c r="G14" s="477">
        <v>0</v>
      </c>
      <c r="H14" s="477">
        <v>0</v>
      </c>
      <c r="I14" s="477">
        <v>0</v>
      </c>
      <c r="J14" s="477">
        <v>0</v>
      </c>
      <c r="K14" s="477">
        <v>0</v>
      </c>
      <c r="L14" s="477">
        <v>0</v>
      </c>
      <c r="M14" s="477">
        <v>0</v>
      </c>
      <c r="N14" s="327">
        <f>SUM(B14:M14)</f>
        <v>0</v>
      </c>
    </row>
    <row r="15" spans="1:14" s="146" customFormat="1" x14ac:dyDescent="0.2">
      <c r="A15" s="46" t="s">
        <v>169</v>
      </c>
      <c r="B15" s="381">
        <f>B14</f>
        <v>0</v>
      </c>
      <c r="C15" s="381">
        <f t="shared" ref="C15:M15" si="2">C14</f>
        <v>0</v>
      </c>
      <c r="D15" s="381">
        <f t="shared" si="2"/>
        <v>0</v>
      </c>
      <c r="E15" s="381">
        <f t="shared" si="2"/>
        <v>0</v>
      </c>
      <c r="F15" s="381">
        <f t="shared" si="2"/>
        <v>0</v>
      </c>
      <c r="G15" s="381">
        <f t="shared" si="2"/>
        <v>0</v>
      </c>
      <c r="H15" s="381">
        <f t="shared" si="2"/>
        <v>0</v>
      </c>
      <c r="I15" s="381">
        <f t="shared" si="2"/>
        <v>0</v>
      </c>
      <c r="J15" s="381">
        <f t="shared" si="2"/>
        <v>0</v>
      </c>
      <c r="K15" s="381">
        <f t="shared" si="2"/>
        <v>0</v>
      </c>
      <c r="L15" s="381">
        <f t="shared" si="2"/>
        <v>0</v>
      </c>
      <c r="M15" s="381">
        <f t="shared" si="2"/>
        <v>0</v>
      </c>
      <c r="N15" s="382">
        <f>SUM(B15:M15)</f>
        <v>0</v>
      </c>
    </row>
    <row r="16" spans="1:14" x14ac:dyDescent="0.2">
      <c r="A16" s="402"/>
      <c r="B16" s="328"/>
      <c r="C16" s="318"/>
      <c r="D16" s="318"/>
      <c r="E16" s="318"/>
      <c r="F16" s="317"/>
      <c r="G16" s="318"/>
      <c r="H16" s="317"/>
      <c r="I16" s="317"/>
      <c r="J16" s="317"/>
      <c r="K16" s="317"/>
      <c r="L16" s="317"/>
      <c r="M16" s="317"/>
      <c r="N16" s="327"/>
    </row>
    <row r="17" spans="1:14" x14ac:dyDescent="0.2">
      <c r="A17" s="482" t="s">
        <v>170</v>
      </c>
      <c r="B17" s="327">
        <v>0</v>
      </c>
      <c r="C17" s="327">
        <v>0</v>
      </c>
      <c r="D17" s="327">
        <v>0</v>
      </c>
      <c r="E17" s="327">
        <v>0</v>
      </c>
      <c r="F17" s="327">
        <v>0</v>
      </c>
      <c r="G17" s="327">
        <v>0</v>
      </c>
      <c r="H17" s="327">
        <v>0</v>
      </c>
      <c r="I17" s="327">
        <v>0</v>
      </c>
      <c r="J17" s="327">
        <v>0</v>
      </c>
      <c r="K17" s="327">
        <v>0</v>
      </c>
      <c r="L17" s="327">
        <v>0</v>
      </c>
      <c r="M17" s="327">
        <v>0</v>
      </c>
      <c r="N17" s="327">
        <f>SUM(B17:M17)</f>
        <v>0</v>
      </c>
    </row>
    <row r="18" spans="1:14" s="146" customFormat="1" x14ac:dyDescent="0.2">
      <c r="A18" s="46" t="s">
        <v>171</v>
      </c>
      <c r="B18" s="382">
        <f>B17</f>
        <v>0</v>
      </c>
      <c r="C18" s="382">
        <f>C17</f>
        <v>0</v>
      </c>
      <c r="D18" s="382">
        <f t="shared" ref="D18:M18" si="3">D17</f>
        <v>0</v>
      </c>
      <c r="E18" s="382">
        <f t="shared" si="3"/>
        <v>0</v>
      </c>
      <c r="F18" s="382">
        <f t="shared" si="3"/>
        <v>0</v>
      </c>
      <c r="G18" s="382">
        <f t="shared" si="3"/>
        <v>0</v>
      </c>
      <c r="H18" s="382">
        <f t="shared" si="3"/>
        <v>0</v>
      </c>
      <c r="I18" s="382">
        <f t="shared" si="3"/>
        <v>0</v>
      </c>
      <c r="J18" s="382">
        <f t="shared" si="3"/>
        <v>0</v>
      </c>
      <c r="K18" s="382">
        <f t="shared" si="3"/>
        <v>0</v>
      </c>
      <c r="L18" s="382">
        <f t="shared" si="3"/>
        <v>0</v>
      </c>
      <c r="M18" s="382">
        <f t="shared" si="3"/>
        <v>0</v>
      </c>
      <c r="N18" s="382">
        <f>N17</f>
        <v>0</v>
      </c>
    </row>
    <row r="19" spans="1:14" x14ac:dyDescent="0.2">
      <c r="A19" s="46"/>
      <c r="B19" s="327"/>
      <c r="C19" s="327"/>
      <c r="D19" s="327"/>
      <c r="E19" s="327"/>
      <c r="F19" s="327"/>
      <c r="G19" s="327"/>
      <c r="H19" s="327"/>
      <c r="I19" s="327"/>
      <c r="J19" s="327"/>
      <c r="K19" s="327"/>
      <c r="L19" s="327"/>
      <c r="M19" s="327"/>
      <c r="N19" s="327"/>
    </row>
    <row r="20" spans="1:14" x14ac:dyDescent="0.2">
      <c r="A20" s="482" t="s">
        <v>172</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x14ac:dyDescent="0.2">
      <c r="A21" s="46" t="s">
        <v>173</v>
      </c>
      <c r="B21" s="382">
        <f t="shared" ref="B21:N21" si="4">B20</f>
        <v>0</v>
      </c>
      <c r="C21" s="382">
        <f t="shared" si="4"/>
        <v>0</v>
      </c>
      <c r="D21" s="382">
        <f t="shared" si="4"/>
        <v>0</v>
      </c>
      <c r="E21" s="382">
        <f t="shared" si="4"/>
        <v>0</v>
      </c>
      <c r="F21" s="382">
        <f t="shared" si="4"/>
        <v>0</v>
      </c>
      <c r="G21" s="382">
        <f t="shared" si="4"/>
        <v>0</v>
      </c>
      <c r="H21" s="382">
        <f t="shared" si="4"/>
        <v>0</v>
      </c>
      <c r="I21" s="382">
        <f t="shared" si="4"/>
        <v>0</v>
      </c>
      <c r="J21" s="382">
        <f t="shared" si="4"/>
        <v>0</v>
      </c>
      <c r="K21" s="382">
        <f t="shared" si="4"/>
        <v>0</v>
      </c>
      <c r="L21" s="382">
        <f t="shared" si="4"/>
        <v>0</v>
      </c>
      <c r="M21" s="382">
        <f t="shared" si="4"/>
        <v>0</v>
      </c>
      <c r="N21" s="382">
        <f t="shared" si="4"/>
        <v>0</v>
      </c>
    </row>
    <row r="22" spans="1:14" s="146" customFormat="1" x14ac:dyDescent="0.2">
      <c r="A22" s="46"/>
      <c r="B22" s="382"/>
      <c r="C22" s="382"/>
      <c r="D22" s="382"/>
      <c r="E22" s="382"/>
      <c r="F22" s="382"/>
      <c r="G22" s="382"/>
      <c r="H22" s="382"/>
      <c r="I22" s="382"/>
      <c r="J22" s="382"/>
      <c r="K22" s="382"/>
      <c r="L22" s="382"/>
      <c r="M22" s="382"/>
      <c r="N22" s="382"/>
    </row>
    <row r="23" spans="1:14" s="146" customFormat="1" x14ac:dyDescent="0.2">
      <c r="A23" s="478" t="s">
        <v>174</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x14ac:dyDescent="0.2">
      <c r="A24" s="46" t="s">
        <v>175</v>
      </c>
      <c r="B24" s="382">
        <f>B23</f>
        <v>0</v>
      </c>
      <c r="C24" s="382">
        <f t="shared" ref="C24:M24" si="5">C23</f>
        <v>0</v>
      </c>
      <c r="D24" s="382">
        <f t="shared" si="5"/>
        <v>0</v>
      </c>
      <c r="E24" s="382">
        <f t="shared" si="5"/>
        <v>0</v>
      </c>
      <c r="F24" s="382">
        <f t="shared" si="5"/>
        <v>0</v>
      </c>
      <c r="G24" s="382">
        <f t="shared" si="5"/>
        <v>0</v>
      </c>
      <c r="H24" s="382">
        <f t="shared" si="5"/>
        <v>0</v>
      </c>
      <c r="I24" s="382">
        <f t="shared" si="5"/>
        <v>0</v>
      </c>
      <c r="J24" s="382">
        <f t="shared" si="5"/>
        <v>0</v>
      </c>
      <c r="K24" s="382">
        <f t="shared" si="5"/>
        <v>0</v>
      </c>
      <c r="L24" s="382">
        <f t="shared" si="5"/>
        <v>0</v>
      </c>
      <c r="M24" s="382">
        <f t="shared" si="5"/>
        <v>0</v>
      </c>
      <c r="N24" s="382">
        <f>SUM(B24:M24)</f>
        <v>0</v>
      </c>
    </row>
    <row r="25" spans="1:14" x14ac:dyDescent="0.2">
      <c r="A25" s="46"/>
      <c r="B25" s="327"/>
      <c r="C25" s="327"/>
      <c r="D25" s="327"/>
      <c r="E25" s="327"/>
      <c r="F25" s="327"/>
      <c r="G25" s="327"/>
      <c r="H25" s="327"/>
      <c r="I25" s="327"/>
      <c r="J25" s="327"/>
      <c r="K25" s="327"/>
      <c r="L25" s="327"/>
      <c r="M25" s="327"/>
      <c r="N25" s="327"/>
    </row>
    <row r="26" spans="1:14" ht="14.25" x14ac:dyDescent="0.2">
      <c r="A26" s="482" t="s">
        <v>176</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x14ac:dyDescent="0.2">
      <c r="A27" s="46" t="s">
        <v>177</v>
      </c>
      <c r="B27" s="382">
        <f t="shared" ref="B27:N27" si="6">B26</f>
        <v>-121800</v>
      </c>
      <c r="C27" s="382">
        <f t="shared" si="6"/>
        <v>0</v>
      </c>
      <c r="D27" s="382">
        <f t="shared" si="6"/>
        <v>0</v>
      </c>
      <c r="E27" s="382">
        <f t="shared" si="6"/>
        <v>0</v>
      </c>
      <c r="F27" s="382">
        <f t="shared" si="6"/>
        <v>0</v>
      </c>
      <c r="G27" s="382">
        <f t="shared" si="6"/>
        <v>0</v>
      </c>
      <c r="H27" s="382">
        <f t="shared" si="6"/>
        <v>0</v>
      </c>
      <c r="I27" s="382">
        <f t="shared" si="6"/>
        <v>0</v>
      </c>
      <c r="J27" s="382">
        <f t="shared" si="6"/>
        <v>0</v>
      </c>
      <c r="K27" s="382">
        <f t="shared" si="6"/>
        <v>0</v>
      </c>
      <c r="L27" s="382">
        <f t="shared" si="6"/>
        <v>0</v>
      </c>
      <c r="M27" s="382">
        <f t="shared" si="6"/>
        <v>0</v>
      </c>
      <c r="N27" s="382">
        <f t="shared" si="6"/>
        <v>-121800</v>
      </c>
    </row>
    <row r="28" spans="1:14" x14ac:dyDescent="0.2">
      <c r="A28" s="46"/>
      <c r="B28" s="318"/>
      <c r="C28" s="318"/>
      <c r="D28" s="318"/>
      <c r="E28" s="318"/>
      <c r="F28" s="318"/>
      <c r="G28" s="318"/>
      <c r="H28" s="318"/>
      <c r="I28" s="318"/>
      <c r="J28" s="318"/>
      <c r="K28" s="318"/>
      <c r="L28" s="318"/>
      <c r="M28" s="318"/>
      <c r="N28" s="327"/>
    </row>
    <row r="29" spans="1:14" x14ac:dyDescent="0.2">
      <c r="A29" s="482" t="s">
        <v>178</v>
      </c>
      <c r="B29" s="327">
        <v>0</v>
      </c>
      <c r="C29" s="327">
        <v>0</v>
      </c>
      <c r="D29" s="327">
        <v>0</v>
      </c>
      <c r="E29" s="327">
        <v>0</v>
      </c>
      <c r="F29" s="327">
        <v>0</v>
      </c>
      <c r="G29" s="327">
        <v>0</v>
      </c>
      <c r="H29" s="327">
        <v>0</v>
      </c>
      <c r="I29" s="327">
        <v>0</v>
      </c>
      <c r="J29" s="327">
        <v>0</v>
      </c>
      <c r="K29" s="327">
        <v>0</v>
      </c>
      <c r="L29" s="327">
        <v>0</v>
      </c>
      <c r="M29" s="327">
        <v>0</v>
      </c>
      <c r="N29" s="380">
        <f>SUM(B29:M29)</f>
        <v>0</v>
      </c>
    </row>
    <row r="30" spans="1:14" s="146" customFormat="1" x14ac:dyDescent="0.2">
      <c r="A30" s="46" t="s">
        <v>179</v>
      </c>
      <c r="B30" s="382">
        <f t="shared" ref="B30:M30" si="7">B29</f>
        <v>0</v>
      </c>
      <c r="C30" s="382">
        <f t="shared" si="7"/>
        <v>0</v>
      </c>
      <c r="D30" s="382">
        <f t="shared" si="7"/>
        <v>0</v>
      </c>
      <c r="E30" s="382">
        <f t="shared" si="7"/>
        <v>0</v>
      </c>
      <c r="F30" s="382">
        <f t="shared" si="7"/>
        <v>0</v>
      </c>
      <c r="G30" s="382">
        <f t="shared" si="7"/>
        <v>0</v>
      </c>
      <c r="H30" s="382">
        <f t="shared" si="7"/>
        <v>0</v>
      </c>
      <c r="I30" s="382">
        <f t="shared" si="7"/>
        <v>0</v>
      </c>
      <c r="J30" s="382">
        <f t="shared" si="7"/>
        <v>0</v>
      </c>
      <c r="K30" s="382">
        <f t="shared" si="7"/>
        <v>0</v>
      </c>
      <c r="L30" s="382">
        <f t="shared" si="7"/>
        <v>0</v>
      </c>
      <c r="M30" s="382">
        <f t="shared" si="7"/>
        <v>0</v>
      </c>
      <c r="N30" s="385">
        <f>SUM(B30:M30)</f>
        <v>0</v>
      </c>
    </row>
    <row r="31" spans="1:14" x14ac:dyDescent="0.2">
      <c r="A31" s="402"/>
      <c r="B31" s="329"/>
      <c r="C31" s="329"/>
      <c r="D31" s="329"/>
      <c r="E31" s="329"/>
      <c r="F31" s="329"/>
      <c r="G31" s="329"/>
      <c r="H31" s="329"/>
      <c r="I31" s="329"/>
      <c r="J31" s="329"/>
      <c r="K31" s="329"/>
      <c r="L31" s="329"/>
      <c r="M31" s="329"/>
      <c r="N31" s="454"/>
    </row>
    <row r="32" spans="1:14" s="146" customFormat="1" ht="15" customHeight="1" thickBot="1" x14ac:dyDescent="0.25">
      <c r="A32" s="403" t="s">
        <v>161</v>
      </c>
      <c r="B32" s="383">
        <f>+B27+B21+B18+B30+B15+B12+B24</f>
        <v>-121800</v>
      </c>
      <c r="C32" s="383">
        <f t="shared" ref="C32:M32" si="8">+C27+C21+C18+C30+C15+C12+C24</f>
        <v>0</v>
      </c>
      <c r="D32" s="383">
        <f>+D27+D21+D18+D30+D15+D12+D24</f>
        <v>0</v>
      </c>
      <c r="E32" s="383">
        <f t="shared" si="8"/>
        <v>0</v>
      </c>
      <c r="F32" s="383">
        <f t="shared" si="8"/>
        <v>0</v>
      </c>
      <c r="G32" s="383">
        <f t="shared" si="8"/>
        <v>0</v>
      </c>
      <c r="H32" s="383">
        <f t="shared" si="8"/>
        <v>0</v>
      </c>
      <c r="I32" s="383">
        <f t="shared" si="8"/>
        <v>0</v>
      </c>
      <c r="J32" s="383">
        <f t="shared" si="8"/>
        <v>0</v>
      </c>
      <c r="K32" s="383">
        <f t="shared" si="8"/>
        <v>0</v>
      </c>
      <c r="L32" s="383">
        <f t="shared" si="8"/>
        <v>0</v>
      </c>
      <c r="M32" s="383">
        <f t="shared" si="8"/>
        <v>0</v>
      </c>
      <c r="N32" s="384">
        <f>N30+N27+N21+N18+N15+N24+N12</f>
        <v>-121800</v>
      </c>
    </row>
    <row r="33" spans="1:14" ht="10.5" customHeight="1" thickTop="1" thickBot="1" x14ac:dyDescent="0.25">
      <c r="A33" s="236"/>
      <c r="B33" s="233"/>
      <c r="C33" s="163"/>
      <c r="D33" s="163"/>
      <c r="E33" s="163"/>
      <c r="F33" s="163"/>
      <c r="G33" s="163"/>
      <c r="H33" s="163"/>
      <c r="I33" s="163"/>
      <c r="J33" s="163"/>
      <c r="K33" s="163"/>
      <c r="L33" s="163"/>
      <c r="M33" s="163"/>
      <c r="N33" s="271"/>
    </row>
    <row r="35" spans="1:14" x14ac:dyDescent="0.2">
      <c r="A35" s="146" t="s">
        <v>44</v>
      </c>
    </row>
    <row r="36" spans="1:14" ht="16.5" x14ac:dyDescent="0.2">
      <c r="A36" s="483" t="s">
        <v>180</v>
      </c>
      <c r="B36" s="230"/>
      <c r="C36" s="230"/>
      <c r="D36" s="230"/>
      <c r="E36" s="230"/>
      <c r="F36" s="230"/>
      <c r="G36" s="230"/>
      <c r="N36" s="159"/>
    </row>
    <row r="37" spans="1:14" s="230" customFormat="1" x14ac:dyDescent="0.2">
      <c r="A37" s="569" t="s">
        <v>50</v>
      </c>
      <c r="D37" s="570"/>
      <c r="E37" s="571"/>
      <c r="F37" s="406"/>
    </row>
    <row r="38" spans="1:14" ht="15" x14ac:dyDescent="0.2">
      <c r="A38" s="567"/>
      <c r="D38" s="165"/>
      <c r="E38" s="166"/>
      <c r="F38" s="159"/>
    </row>
    <row r="39" spans="1:14" x14ac:dyDescent="0.2">
      <c r="D39" s="165"/>
      <c r="E39" s="166"/>
      <c r="F39" s="159"/>
    </row>
    <row r="40" spans="1:14" x14ac:dyDescent="0.2">
      <c r="D40" s="165"/>
      <c r="E40" s="166"/>
      <c r="F40" s="159"/>
    </row>
    <row r="41" spans="1:14" x14ac:dyDescent="0.2">
      <c r="E41" s="166"/>
    </row>
    <row r="42" spans="1:14" x14ac:dyDescent="0.2">
      <c r="D42" s="159"/>
      <c r="E42" s="166"/>
      <c r="F42" s="159"/>
    </row>
    <row r="43" spans="1:14" x14ac:dyDescent="0.2">
      <c r="D43" s="159"/>
      <c r="E43" s="166"/>
      <c r="F43" s="159"/>
    </row>
    <row r="44" spans="1:14" x14ac:dyDescent="0.2">
      <c r="D44" s="159"/>
      <c r="E44" s="166"/>
      <c r="F44" s="159"/>
    </row>
    <row r="45" spans="1:14" x14ac:dyDescent="0.2">
      <c r="D45" s="159"/>
      <c r="E45" s="166"/>
      <c r="F45" s="159"/>
    </row>
    <row r="46" spans="1:14" x14ac:dyDescent="0.2">
      <c r="D46" s="159"/>
      <c r="E46" s="166"/>
      <c r="F46" s="159"/>
    </row>
    <row r="47" spans="1:14" x14ac:dyDescent="0.2">
      <c r="E47" s="167"/>
      <c r="F47"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topLeftCell="A17" zoomScaleNormal="100" zoomScaleSheetLayoutView="100" workbookViewId="0">
      <selection sqref="A1:E19"/>
    </sheetView>
  </sheetViews>
  <sheetFormatPr defaultColWidth="9.140625" defaultRowHeight="12.75" x14ac:dyDescent="0.2"/>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x14ac:dyDescent="0.2">
      <c r="C1" s="175" t="s">
        <v>0</v>
      </c>
    </row>
    <row r="2" spans="1:5" x14ac:dyDescent="0.2">
      <c r="C2" s="175" t="s">
        <v>181</v>
      </c>
    </row>
    <row r="3" spans="1:5" x14ac:dyDescent="0.2">
      <c r="C3" s="231" t="str">
        <f>'Program MW '!H3</f>
        <v>January 2019</v>
      </c>
    </row>
    <row r="4" spans="1:5" x14ac:dyDescent="0.2">
      <c r="C4" s="229"/>
    </row>
    <row r="5" spans="1:5" x14ac:dyDescent="0.2">
      <c r="B5" s="229"/>
      <c r="D5" s="229"/>
    </row>
    <row r="6" spans="1:5" s="21" customFormat="1" x14ac:dyDescent="0.2">
      <c r="A6" s="351"/>
      <c r="B6" s="351"/>
    </row>
    <row r="7" spans="1:5" s="21" customFormat="1" x14ac:dyDescent="0.2"/>
    <row r="8" spans="1:5" s="23" customFormat="1" x14ac:dyDescent="0.2">
      <c r="A8" s="22" t="s">
        <v>182</v>
      </c>
      <c r="B8" s="22" t="s">
        <v>183</v>
      </c>
      <c r="C8" s="22" t="s">
        <v>184</v>
      </c>
      <c r="D8" s="22" t="s">
        <v>185</v>
      </c>
      <c r="E8" s="22" t="s">
        <v>186</v>
      </c>
    </row>
    <row r="9" spans="1:5" s="554" customFormat="1" ht="51" x14ac:dyDescent="0.2">
      <c r="A9" s="550">
        <v>1</v>
      </c>
      <c r="B9" s="551">
        <v>-234498</v>
      </c>
      <c r="C9" s="558" t="s">
        <v>187</v>
      </c>
      <c r="D9" s="553">
        <v>43302</v>
      </c>
      <c r="E9" s="552" t="s">
        <v>188</v>
      </c>
    </row>
    <row r="10" spans="1:5" s="557" customFormat="1" ht="51" x14ac:dyDescent="0.2">
      <c r="A10" s="555">
        <v>4</v>
      </c>
      <c r="B10" s="556">
        <v>-700000</v>
      </c>
      <c r="C10" s="559" t="s">
        <v>189</v>
      </c>
      <c r="D10" s="553">
        <v>43302</v>
      </c>
      <c r="E10" s="552" t="s">
        <v>190</v>
      </c>
    </row>
    <row r="11" spans="1:5" s="557" customFormat="1" ht="63.75" x14ac:dyDescent="0.2">
      <c r="A11" s="555">
        <v>7</v>
      </c>
      <c r="B11" s="556">
        <v>-194400</v>
      </c>
      <c r="C11" s="559" t="s">
        <v>191</v>
      </c>
      <c r="D11" s="553">
        <v>43304</v>
      </c>
      <c r="E11" s="560" t="s">
        <v>192</v>
      </c>
    </row>
    <row r="12" spans="1:5" s="557" customFormat="1" ht="140.25" x14ac:dyDescent="0.2">
      <c r="A12" s="555" t="s">
        <v>193</v>
      </c>
      <c r="B12" s="556">
        <v>1128898</v>
      </c>
      <c r="C12" s="559" t="s">
        <v>194</v>
      </c>
      <c r="D12" s="553">
        <v>43302</v>
      </c>
      <c r="E12" s="552" t="s">
        <v>195</v>
      </c>
    </row>
    <row r="13" spans="1:5" x14ac:dyDescent="0.2">
      <c r="A13" s="170" t="s">
        <v>81</v>
      </c>
      <c r="B13" s="276">
        <f>SUM(B9:B12)</f>
        <v>0</v>
      </c>
      <c r="C13" s="169"/>
      <c r="D13" s="169"/>
      <c r="E13" s="169"/>
    </row>
    <row r="14" spans="1:5" x14ac:dyDescent="0.2">
      <c r="A14" s="169"/>
      <c r="B14" s="169"/>
      <c r="C14" s="169"/>
      <c r="D14" s="169"/>
      <c r="E14" s="169"/>
    </row>
    <row r="16" spans="1:5" x14ac:dyDescent="0.2">
      <c r="A16" s="168" t="s">
        <v>44</v>
      </c>
    </row>
    <row r="17" spans="1:5" x14ac:dyDescent="0.2">
      <c r="A17" s="656" t="s">
        <v>196</v>
      </c>
    </row>
    <row r="19" spans="1:5" ht="15" x14ac:dyDescent="0.25">
      <c r="A19" s="284" t="s">
        <v>50</v>
      </c>
      <c r="E19" s="171"/>
    </row>
  </sheetData>
  <phoneticPr fontId="41"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4"/>
  <sheetViews>
    <sheetView zoomScale="110" zoomScaleNormal="110" workbookViewId="0">
      <pane xSplit="1" ySplit="10" topLeftCell="F35" activePane="bottomRight" state="frozen"/>
      <selection pane="topRight" activeCell="B1" sqref="B1"/>
      <selection pane="bottomLeft" activeCell="A11" sqref="A11"/>
      <selection pane="bottomRight" sqref="A1:Q52"/>
    </sheetView>
  </sheetViews>
  <sheetFormatPr defaultRowHeight="12" x14ac:dyDescent="0.2"/>
  <cols>
    <col min="1" max="1" width="84.28515625" style="343" customWidth="1"/>
    <col min="2" max="3" width="12.7109375" style="343" customWidth="1"/>
    <col min="4" max="4" width="9"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x14ac:dyDescent="0.2">
      <c r="L1" s="344"/>
      <c r="O1" s="344"/>
      <c r="P1" s="344"/>
      <c r="Q1" s="344"/>
    </row>
    <row r="2" spans="1:17" ht="13.5" customHeight="1" x14ac:dyDescent="0.2">
      <c r="C2" s="345" t="s">
        <v>0</v>
      </c>
      <c r="L2" s="344"/>
      <c r="O2" s="344"/>
      <c r="P2" s="344"/>
      <c r="Q2" s="344"/>
    </row>
    <row r="3" spans="1:17" ht="13.5" customHeight="1" x14ac:dyDescent="0.2">
      <c r="C3" s="345" t="s">
        <v>197</v>
      </c>
      <c r="F3" s="346"/>
      <c r="G3" s="346"/>
      <c r="H3" s="346"/>
      <c r="I3" s="346"/>
      <c r="L3" s="344"/>
      <c r="O3" s="344"/>
      <c r="P3" s="344"/>
      <c r="Q3" s="344"/>
    </row>
    <row r="4" spans="1:17" ht="13.5" customHeight="1" x14ac:dyDescent="0.2">
      <c r="B4" s="346"/>
      <c r="C4" s="347" t="str">
        <f>'Program MW '!H3</f>
        <v>January 2019</v>
      </c>
      <c r="D4" s="346"/>
      <c r="L4" s="344"/>
      <c r="O4" s="344"/>
      <c r="P4" s="344"/>
      <c r="Q4" s="344"/>
    </row>
    <row r="5" spans="1:17" ht="13.5" customHeight="1" x14ac:dyDescent="0.2">
      <c r="L5" s="344"/>
      <c r="O5" s="344"/>
      <c r="P5" s="344"/>
      <c r="Q5" s="344"/>
    </row>
    <row r="6" spans="1:17" s="387" customFormat="1" ht="13.5" customHeight="1" x14ac:dyDescent="0.2"/>
    <row r="7" spans="1:17" s="387" customFormat="1" ht="18" customHeight="1" x14ac:dyDescent="0.25">
      <c r="A7" s="420"/>
      <c r="B7" s="452" t="s">
        <v>198</v>
      </c>
      <c r="C7" s="452"/>
      <c r="D7" s="452"/>
      <c r="E7" s="452"/>
      <c r="F7" s="452"/>
      <c r="G7" s="452"/>
      <c r="H7" s="452"/>
      <c r="I7" s="452"/>
      <c r="J7" s="452"/>
      <c r="K7" s="452"/>
      <c r="L7" s="452"/>
      <c r="M7" s="453"/>
      <c r="N7" s="695" t="s">
        <v>123</v>
      </c>
      <c r="O7" s="693" t="s">
        <v>199</v>
      </c>
      <c r="P7" s="388"/>
      <c r="Q7" s="695" t="s">
        <v>200</v>
      </c>
    </row>
    <row r="8" spans="1:17" s="387" customFormat="1" ht="39" customHeight="1" x14ac:dyDescent="0.2">
      <c r="A8" s="636"/>
      <c r="B8" s="637" t="s">
        <v>3</v>
      </c>
      <c r="C8" s="389" t="s">
        <v>4</v>
      </c>
      <c r="D8" s="389" t="s">
        <v>5</v>
      </c>
      <c r="E8" s="389" t="s">
        <v>6</v>
      </c>
      <c r="F8" s="389" t="s">
        <v>7</v>
      </c>
      <c r="G8" s="389" t="s">
        <v>8</v>
      </c>
      <c r="H8" s="389" t="s">
        <v>37</v>
      </c>
      <c r="I8" s="389" t="s">
        <v>88</v>
      </c>
      <c r="J8" s="389" t="s">
        <v>89</v>
      </c>
      <c r="K8" s="389" t="s">
        <v>40</v>
      </c>
      <c r="L8" s="389" t="s">
        <v>90</v>
      </c>
      <c r="M8" s="390" t="s">
        <v>42</v>
      </c>
      <c r="N8" s="696"/>
      <c r="O8" s="694"/>
      <c r="P8" s="391" t="s">
        <v>201</v>
      </c>
      <c r="Q8" s="696"/>
    </row>
    <row r="9" spans="1:17" s="387" customFormat="1" ht="15.75" x14ac:dyDescent="0.25">
      <c r="A9" s="412" t="s">
        <v>202</v>
      </c>
      <c r="B9" s="633"/>
      <c r="N9" s="485"/>
      <c r="O9" s="392"/>
      <c r="P9" s="392"/>
      <c r="Q9" s="408"/>
    </row>
    <row r="10" spans="1:17" s="387" customFormat="1" ht="12.75" x14ac:dyDescent="0.2">
      <c r="A10" s="413" t="s">
        <v>203</v>
      </c>
      <c r="B10" s="633"/>
      <c r="C10" s="633"/>
      <c r="D10" s="633"/>
      <c r="E10" s="633"/>
      <c r="F10" s="633"/>
      <c r="G10" s="633"/>
      <c r="H10" s="633"/>
      <c r="I10" s="633"/>
      <c r="J10" s="633"/>
      <c r="K10" s="633"/>
      <c r="L10" s="633"/>
      <c r="M10" s="633"/>
      <c r="N10" s="486"/>
      <c r="O10" s="630"/>
      <c r="P10" s="393"/>
      <c r="Q10" s="409"/>
    </row>
    <row r="11" spans="1:17" s="387" customFormat="1" ht="12.75" x14ac:dyDescent="0.2">
      <c r="A11" s="414" t="s">
        <v>204</v>
      </c>
      <c r="B11" s="561">
        <v>42611</v>
      </c>
      <c r="C11" s="640">
        <v>0</v>
      </c>
      <c r="D11" s="640">
        <v>0</v>
      </c>
      <c r="E11" s="640">
        <v>0</v>
      </c>
      <c r="F11" s="640">
        <v>0</v>
      </c>
      <c r="G11" s="640">
        <v>0</v>
      </c>
      <c r="H11" s="640">
        <v>0</v>
      </c>
      <c r="I11" s="640">
        <v>0</v>
      </c>
      <c r="J11" s="640">
        <v>0</v>
      </c>
      <c r="K11" s="640">
        <v>0</v>
      </c>
      <c r="L11" s="640">
        <v>0</v>
      </c>
      <c r="M11" s="632">
        <v>0</v>
      </c>
      <c r="N11" s="484">
        <v>695389.41999999993</v>
      </c>
      <c r="O11" s="484">
        <f t="shared" ref="O11:O23" si="0">SUM(B11:M11)+N11</f>
        <v>738000.41999999993</v>
      </c>
      <c r="P11" s="392"/>
      <c r="Q11" s="408">
        <v>857842</v>
      </c>
    </row>
    <row r="12" spans="1:17" s="387" customFormat="1" ht="12.75" x14ac:dyDescent="0.2">
      <c r="A12" s="414" t="s">
        <v>205</v>
      </c>
      <c r="B12" s="470">
        <v>630.88</v>
      </c>
      <c r="C12" s="630">
        <v>0</v>
      </c>
      <c r="D12" s="630">
        <v>0</v>
      </c>
      <c r="E12" s="630">
        <v>0</v>
      </c>
      <c r="F12" s="630">
        <v>0</v>
      </c>
      <c r="G12" s="630">
        <v>0</v>
      </c>
      <c r="H12" s="630">
        <v>0</v>
      </c>
      <c r="I12" s="630">
        <v>0</v>
      </c>
      <c r="J12" s="630">
        <v>0</v>
      </c>
      <c r="K12" s="630">
        <v>0</v>
      </c>
      <c r="L12" s="630">
        <v>0</v>
      </c>
      <c r="M12" s="408">
        <v>0</v>
      </c>
      <c r="N12" s="638">
        <v>7805.91</v>
      </c>
      <c r="O12" s="485">
        <f t="shared" si="0"/>
        <v>8436.7899999999991</v>
      </c>
      <c r="P12" s="618"/>
      <c r="Q12" s="619">
        <v>35302</v>
      </c>
    </row>
    <row r="13" spans="1:17" s="387" customFormat="1" ht="12.75" x14ac:dyDescent="0.2">
      <c r="A13" s="414" t="s">
        <v>206</v>
      </c>
      <c r="B13" s="470">
        <v>0</v>
      </c>
      <c r="C13" s="630">
        <v>0</v>
      </c>
      <c r="D13" s="630">
        <v>0</v>
      </c>
      <c r="E13" s="630">
        <v>0</v>
      </c>
      <c r="F13" s="630">
        <v>0</v>
      </c>
      <c r="G13" s="630">
        <v>0</v>
      </c>
      <c r="H13" s="630">
        <v>0</v>
      </c>
      <c r="I13" s="630">
        <v>0</v>
      </c>
      <c r="J13" s="630">
        <v>0</v>
      </c>
      <c r="K13" s="630">
        <v>0</v>
      </c>
      <c r="L13" s="630">
        <v>0</v>
      </c>
      <c r="M13" s="408">
        <v>0</v>
      </c>
      <c r="N13" s="485">
        <v>0</v>
      </c>
      <c r="O13" s="485">
        <f t="shared" si="0"/>
        <v>0</v>
      </c>
      <c r="P13" s="392"/>
      <c r="Q13" s="408">
        <v>1000</v>
      </c>
    </row>
    <row r="14" spans="1:17" s="387" customFormat="1" ht="12.75" x14ac:dyDescent="0.2">
      <c r="A14" s="414" t="s">
        <v>207</v>
      </c>
      <c r="B14" s="470">
        <v>1254.17</v>
      </c>
      <c r="C14" s="630">
        <v>0</v>
      </c>
      <c r="D14" s="630">
        <v>0</v>
      </c>
      <c r="E14" s="630">
        <v>0</v>
      </c>
      <c r="F14" s="630">
        <v>0</v>
      </c>
      <c r="G14" s="630">
        <v>0</v>
      </c>
      <c r="H14" s="630">
        <v>0</v>
      </c>
      <c r="I14" s="630">
        <v>0</v>
      </c>
      <c r="J14" s="630">
        <v>0</v>
      </c>
      <c r="K14" s="630">
        <v>0</v>
      </c>
      <c r="L14" s="630">
        <v>0</v>
      </c>
      <c r="M14" s="408">
        <v>0</v>
      </c>
      <c r="N14" s="485">
        <v>4889.6399999999994</v>
      </c>
      <c r="O14" s="485">
        <f t="shared" si="0"/>
        <v>6143.8099999999995</v>
      </c>
      <c r="P14" s="392"/>
      <c r="Q14" s="408">
        <v>78149</v>
      </c>
    </row>
    <row r="15" spans="1:17" s="387" customFormat="1" ht="12.75" x14ac:dyDescent="0.2">
      <c r="A15" s="414" t="s">
        <v>208</v>
      </c>
      <c r="B15" s="470">
        <v>3373.82</v>
      </c>
      <c r="C15" s="630">
        <v>0</v>
      </c>
      <c r="D15" s="630">
        <v>0</v>
      </c>
      <c r="E15" s="630">
        <v>0</v>
      </c>
      <c r="F15" s="630">
        <v>0</v>
      </c>
      <c r="G15" s="630">
        <v>0</v>
      </c>
      <c r="H15" s="630">
        <v>0</v>
      </c>
      <c r="I15" s="630">
        <v>0</v>
      </c>
      <c r="J15" s="630">
        <v>0</v>
      </c>
      <c r="K15" s="630">
        <v>0</v>
      </c>
      <c r="L15" s="630">
        <v>0</v>
      </c>
      <c r="M15" s="408">
        <v>0</v>
      </c>
      <c r="N15" s="638">
        <v>49396.569999999992</v>
      </c>
      <c r="O15" s="485">
        <f t="shared" si="0"/>
        <v>52770.389999999992</v>
      </c>
      <c r="P15" s="618"/>
      <c r="Q15" s="619">
        <f>606299/2</f>
        <v>303149.5</v>
      </c>
    </row>
    <row r="16" spans="1:17" s="387" customFormat="1" ht="12.75" x14ac:dyDescent="0.2">
      <c r="A16" s="414" t="s">
        <v>209</v>
      </c>
      <c r="B16" s="470">
        <v>7258.97</v>
      </c>
      <c r="C16" s="630">
        <v>0</v>
      </c>
      <c r="D16" s="630">
        <v>0</v>
      </c>
      <c r="E16" s="630">
        <v>0</v>
      </c>
      <c r="F16" s="630">
        <v>0</v>
      </c>
      <c r="G16" s="630">
        <v>0</v>
      </c>
      <c r="H16" s="630">
        <v>0</v>
      </c>
      <c r="I16" s="630">
        <v>0</v>
      </c>
      <c r="J16" s="630">
        <v>0</v>
      </c>
      <c r="K16" s="630">
        <v>0</v>
      </c>
      <c r="L16" s="630">
        <v>0</v>
      </c>
      <c r="M16" s="408">
        <v>0</v>
      </c>
      <c r="N16" s="485">
        <v>30843.66</v>
      </c>
      <c r="O16" s="485">
        <f t="shared" si="0"/>
        <v>38102.629999999997</v>
      </c>
      <c r="P16" s="392"/>
      <c r="Q16" s="408">
        <v>303150</v>
      </c>
    </row>
    <row r="17" spans="1:122" s="387" customFormat="1" ht="12.75" x14ac:dyDescent="0.2">
      <c r="A17" s="414" t="s">
        <v>210</v>
      </c>
      <c r="B17" s="470">
        <v>34234</v>
      </c>
      <c r="C17" s="630">
        <v>0</v>
      </c>
      <c r="D17" s="630">
        <v>0</v>
      </c>
      <c r="E17" s="630">
        <v>0</v>
      </c>
      <c r="F17" s="630">
        <v>0</v>
      </c>
      <c r="G17" s="630">
        <v>0</v>
      </c>
      <c r="H17" s="630">
        <v>0</v>
      </c>
      <c r="I17" s="630">
        <v>0</v>
      </c>
      <c r="J17" s="630">
        <v>0</v>
      </c>
      <c r="K17" s="630">
        <v>0</v>
      </c>
      <c r="L17" s="630">
        <v>0</v>
      </c>
      <c r="M17" s="408">
        <v>0</v>
      </c>
      <c r="N17" s="485">
        <v>73279.320000000007</v>
      </c>
      <c r="O17" s="485">
        <f t="shared" si="0"/>
        <v>107513.32</v>
      </c>
      <c r="P17" s="392"/>
      <c r="Q17" s="408">
        <v>643043</v>
      </c>
    </row>
    <row r="18" spans="1:122" s="387" customFormat="1" ht="12.75" x14ac:dyDescent="0.2">
      <c r="A18" s="415" t="s">
        <v>211</v>
      </c>
      <c r="B18" s="470">
        <v>5655.16</v>
      </c>
      <c r="C18" s="630">
        <v>0</v>
      </c>
      <c r="D18" s="630">
        <v>0</v>
      </c>
      <c r="E18" s="630">
        <v>0</v>
      </c>
      <c r="F18" s="630">
        <v>0</v>
      </c>
      <c r="G18" s="630">
        <v>0</v>
      </c>
      <c r="H18" s="630">
        <v>0</v>
      </c>
      <c r="I18" s="630">
        <v>0</v>
      </c>
      <c r="J18" s="630">
        <v>0</v>
      </c>
      <c r="K18" s="630">
        <v>0</v>
      </c>
      <c r="L18" s="630">
        <v>0</v>
      </c>
      <c r="M18" s="408">
        <v>0</v>
      </c>
      <c r="N18" s="485">
        <v>21089.97</v>
      </c>
      <c r="O18" s="485">
        <f t="shared" si="0"/>
        <v>26745.13</v>
      </c>
      <c r="P18" s="392"/>
      <c r="Q18" s="408">
        <v>383701</v>
      </c>
    </row>
    <row r="19" spans="1:122" s="387" customFormat="1" ht="12.75" x14ac:dyDescent="0.2">
      <c r="A19" s="415" t="s">
        <v>95</v>
      </c>
      <c r="B19" s="470">
        <v>19845.090000000004</v>
      </c>
      <c r="C19" s="630">
        <v>0</v>
      </c>
      <c r="D19" s="630">
        <v>0</v>
      </c>
      <c r="E19" s="630">
        <v>0</v>
      </c>
      <c r="F19" s="630">
        <v>0</v>
      </c>
      <c r="G19" s="630">
        <v>0</v>
      </c>
      <c r="H19" s="630">
        <v>0</v>
      </c>
      <c r="I19" s="630">
        <v>0</v>
      </c>
      <c r="J19" s="630">
        <v>0</v>
      </c>
      <c r="K19" s="630">
        <v>0</v>
      </c>
      <c r="L19" s="630">
        <v>0</v>
      </c>
      <c r="M19" s="408">
        <v>0</v>
      </c>
      <c r="N19" s="485">
        <v>107380.29999999978</v>
      </c>
      <c r="O19" s="485">
        <f t="shared" si="0"/>
        <v>127225.38999999978</v>
      </c>
      <c r="P19" s="392"/>
      <c r="Q19" s="408">
        <v>1102357</v>
      </c>
    </row>
    <row r="20" spans="1:122" s="387" customFormat="1" ht="12.75" x14ac:dyDescent="0.2">
      <c r="A20" s="415" t="s">
        <v>212</v>
      </c>
      <c r="B20" s="470">
        <v>51094.54</v>
      </c>
      <c r="C20" s="630">
        <v>0</v>
      </c>
      <c r="D20" s="630">
        <v>0</v>
      </c>
      <c r="E20" s="630">
        <v>0</v>
      </c>
      <c r="F20" s="630">
        <v>0</v>
      </c>
      <c r="G20" s="630">
        <v>0</v>
      </c>
      <c r="H20" s="630">
        <v>0</v>
      </c>
      <c r="I20" s="630">
        <v>0</v>
      </c>
      <c r="J20" s="630">
        <v>0</v>
      </c>
      <c r="K20" s="630">
        <v>0</v>
      </c>
      <c r="L20" s="630">
        <v>0</v>
      </c>
      <c r="M20" s="408">
        <v>0</v>
      </c>
      <c r="N20" s="485">
        <v>210841.10000000003</v>
      </c>
      <c r="O20" s="485">
        <f t="shared" si="0"/>
        <v>261935.64000000004</v>
      </c>
      <c r="P20" s="392"/>
      <c r="Q20" s="408">
        <v>1653537</v>
      </c>
    </row>
    <row r="21" spans="1:122" s="387" customFormat="1" ht="12.75" x14ac:dyDescent="0.2">
      <c r="A21" s="415" t="s">
        <v>213</v>
      </c>
      <c r="B21" s="470">
        <v>0</v>
      </c>
      <c r="C21" s="630">
        <v>0</v>
      </c>
      <c r="D21" s="630">
        <v>0</v>
      </c>
      <c r="E21" s="630">
        <v>0</v>
      </c>
      <c r="F21" s="630">
        <v>0</v>
      </c>
      <c r="G21" s="630">
        <v>0</v>
      </c>
      <c r="H21" s="630">
        <v>0</v>
      </c>
      <c r="I21" s="630">
        <v>0</v>
      </c>
      <c r="J21" s="630">
        <v>0</v>
      </c>
      <c r="K21" s="630">
        <v>0</v>
      </c>
      <c r="L21" s="630">
        <v>0</v>
      </c>
      <c r="M21" s="408">
        <v>0</v>
      </c>
      <c r="N21" s="485">
        <v>2328.7200000000003</v>
      </c>
      <c r="O21" s="485">
        <f t="shared" si="0"/>
        <v>2328.7200000000003</v>
      </c>
      <c r="P21" s="392"/>
      <c r="Q21" s="408">
        <v>0</v>
      </c>
    </row>
    <row r="22" spans="1:122" s="387" customFormat="1" ht="12.75" x14ac:dyDescent="0.2">
      <c r="A22" s="528" t="s">
        <v>214</v>
      </c>
      <c r="B22" s="470">
        <v>0</v>
      </c>
      <c r="C22" s="630">
        <v>0</v>
      </c>
      <c r="D22" s="630">
        <v>0</v>
      </c>
      <c r="E22" s="630">
        <v>0</v>
      </c>
      <c r="F22" s="630">
        <v>0</v>
      </c>
      <c r="G22" s="630">
        <v>0</v>
      </c>
      <c r="H22" s="630">
        <v>0</v>
      </c>
      <c r="I22" s="630">
        <v>0</v>
      </c>
      <c r="J22" s="630">
        <v>0</v>
      </c>
      <c r="K22" s="630">
        <v>0</v>
      </c>
      <c r="L22" s="630">
        <v>0</v>
      </c>
      <c r="M22" s="408">
        <v>0</v>
      </c>
      <c r="N22" s="485">
        <v>530.37000000000012</v>
      </c>
      <c r="O22" s="485">
        <f t="shared" si="0"/>
        <v>530.37000000000012</v>
      </c>
      <c r="P22" s="392"/>
      <c r="Q22" s="408">
        <v>50000</v>
      </c>
    </row>
    <row r="23" spans="1:122" s="387" customFormat="1" ht="12.75" x14ac:dyDescent="0.2">
      <c r="A23" s="415" t="s">
        <v>215</v>
      </c>
      <c r="B23" s="470">
        <v>0</v>
      </c>
      <c r="C23" s="630">
        <v>0</v>
      </c>
      <c r="D23" s="630">
        <v>0</v>
      </c>
      <c r="E23" s="630">
        <v>0</v>
      </c>
      <c r="F23" s="630">
        <v>0</v>
      </c>
      <c r="G23" s="630">
        <v>0</v>
      </c>
      <c r="H23" s="630">
        <v>0</v>
      </c>
      <c r="I23" s="630">
        <v>0</v>
      </c>
      <c r="J23" s="630">
        <v>0</v>
      </c>
      <c r="K23" s="630">
        <v>0</v>
      </c>
      <c r="L23" s="630">
        <v>0</v>
      </c>
      <c r="M23" s="408">
        <v>0</v>
      </c>
      <c r="N23" s="485">
        <v>0</v>
      </c>
      <c r="O23" s="485">
        <f t="shared" si="0"/>
        <v>0</v>
      </c>
      <c r="P23" s="392"/>
      <c r="Q23" s="408">
        <v>0</v>
      </c>
    </row>
    <row r="24" spans="1:122" s="387" customFormat="1" ht="12.75" x14ac:dyDescent="0.2">
      <c r="A24" s="414"/>
      <c r="B24" s="470"/>
      <c r="C24" s="630"/>
      <c r="D24" s="630"/>
      <c r="E24" s="630"/>
      <c r="F24" s="630"/>
      <c r="G24" s="630"/>
      <c r="H24" s="630"/>
      <c r="I24" s="630"/>
      <c r="J24" s="630"/>
      <c r="K24" s="630"/>
      <c r="L24" s="630"/>
      <c r="M24" s="408"/>
      <c r="N24" s="485"/>
      <c r="O24" s="485"/>
      <c r="P24" s="392"/>
      <c r="Q24" s="408"/>
    </row>
    <row r="25" spans="1:122" s="387" customFormat="1" ht="15" x14ac:dyDescent="0.2">
      <c r="A25" s="416" t="s">
        <v>216</v>
      </c>
      <c r="B25" s="470"/>
      <c r="C25" s="630"/>
      <c r="D25" s="630"/>
      <c r="E25" s="630"/>
      <c r="F25" s="630"/>
      <c r="G25" s="630"/>
      <c r="H25" s="630"/>
      <c r="I25" s="630"/>
      <c r="J25" s="630"/>
      <c r="K25" s="630"/>
      <c r="L25" s="630"/>
      <c r="M25" s="408"/>
      <c r="N25" s="485"/>
      <c r="O25" s="485"/>
      <c r="P25" s="392"/>
      <c r="Q25" s="408"/>
    </row>
    <row r="26" spans="1:122" s="387" customFormat="1" ht="12.75" x14ac:dyDescent="0.2">
      <c r="A26" s="417" t="s">
        <v>217</v>
      </c>
      <c r="B26" s="470"/>
      <c r="C26" s="630"/>
      <c r="D26" s="630"/>
      <c r="E26" s="630"/>
      <c r="F26" s="630"/>
      <c r="G26" s="630"/>
      <c r="H26" s="630"/>
      <c r="I26" s="630"/>
      <c r="J26" s="630"/>
      <c r="K26" s="630"/>
      <c r="L26" s="630"/>
      <c r="M26" s="408"/>
      <c r="N26" s="485"/>
      <c r="O26" s="485"/>
      <c r="P26" s="392"/>
      <c r="Q26" s="408"/>
    </row>
    <row r="27" spans="1:122" s="387" customFormat="1" ht="12.75" x14ac:dyDescent="0.2">
      <c r="A27" s="414" t="s">
        <v>218</v>
      </c>
      <c r="B27" s="470">
        <v>0</v>
      </c>
      <c r="C27" s="630">
        <v>0</v>
      </c>
      <c r="D27" s="630">
        <v>0</v>
      </c>
      <c r="E27" s="630">
        <v>0</v>
      </c>
      <c r="F27" s="630">
        <v>0</v>
      </c>
      <c r="G27" s="630">
        <v>0</v>
      </c>
      <c r="H27" s="630">
        <v>0</v>
      </c>
      <c r="I27" s="630">
        <v>0</v>
      </c>
      <c r="J27" s="630">
        <v>0</v>
      </c>
      <c r="K27" s="630">
        <v>0</v>
      </c>
      <c r="L27" s="630">
        <v>0</v>
      </c>
      <c r="M27" s="408">
        <v>0</v>
      </c>
      <c r="N27" s="485">
        <v>0</v>
      </c>
      <c r="O27" s="485">
        <f t="shared" ref="O27:O31" si="1">SUM(B27:M27)</f>
        <v>0</v>
      </c>
      <c r="P27" s="392"/>
      <c r="Q27" s="408"/>
    </row>
    <row r="28" spans="1:122" s="387" customFormat="1" ht="12.75" x14ac:dyDescent="0.2">
      <c r="A28" s="414" t="s">
        <v>219</v>
      </c>
      <c r="B28" s="470">
        <v>0</v>
      </c>
      <c r="C28" s="630">
        <v>0</v>
      </c>
      <c r="D28" s="630">
        <v>0</v>
      </c>
      <c r="E28" s="630">
        <v>0</v>
      </c>
      <c r="F28" s="630">
        <v>0</v>
      </c>
      <c r="G28" s="630">
        <v>0</v>
      </c>
      <c r="H28" s="630">
        <v>0</v>
      </c>
      <c r="I28" s="630">
        <v>0</v>
      </c>
      <c r="J28" s="630">
        <v>0</v>
      </c>
      <c r="K28" s="630">
        <v>0</v>
      </c>
      <c r="L28" s="630">
        <v>0</v>
      </c>
      <c r="M28" s="408">
        <v>0</v>
      </c>
      <c r="N28" s="485">
        <v>0</v>
      </c>
      <c r="O28" s="485">
        <f t="shared" si="1"/>
        <v>0</v>
      </c>
      <c r="P28" s="392"/>
      <c r="Q28" s="408"/>
    </row>
    <row r="29" spans="1:122" s="387" customFormat="1" ht="12.75" x14ac:dyDescent="0.2">
      <c r="A29" s="414" t="s">
        <v>220</v>
      </c>
      <c r="B29" s="470">
        <v>0</v>
      </c>
      <c r="C29" s="630">
        <v>0</v>
      </c>
      <c r="D29" s="630">
        <v>0</v>
      </c>
      <c r="E29" s="630">
        <v>0</v>
      </c>
      <c r="F29" s="630">
        <v>0</v>
      </c>
      <c r="G29" s="630">
        <v>0</v>
      </c>
      <c r="H29" s="630">
        <v>0</v>
      </c>
      <c r="I29" s="630">
        <v>0</v>
      </c>
      <c r="J29" s="630">
        <v>0</v>
      </c>
      <c r="K29" s="630">
        <v>0</v>
      </c>
      <c r="L29" s="630">
        <v>0</v>
      </c>
      <c r="M29" s="408">
        <v>0</v>
      </c>
      <c r="N29" s="485">
        <v>0</v>
      </c>
      <c r="O29" s="485">
        <f t="shared" si="1"/>
        <v>0</v>
      </c>
      <c r="P29" s="392"/>
      <c r="Q29" s="408"/>
    </row>
    <row r="30" spans="1:122" s="387" customFormat="1" ht="12.75" x14ac:dyDescent="0.2">
      <c r="A30" s="414" t="s">
        <v>221</v>
      </c>
      <c r="B30" s="470">
        <v>0</v>
      </c>
      <c r="C30" s="630">
        <v>0</v>
      </c>
      <c r="D30" s="630">
        <v>0</v>
      </c>
      <c r="E30" s="630">
        <v>0</v>
      </c>
      <c r="F30" s="630">
        <v>0</v>
      </c>
      <c r="G30" s="630">
        <v>0</v>
      </c>
      <c r="H30" s="630">
        <v>0</v>
      </c>
      <c r="I30" s="630">
        <v>0</v>
      </c>
      <c r="J30" s="630">
        <v>0</v>
      </c>
      <c r="K30" s="630">
        <v>0</v>
      </c>
      <c r="L30" s="630">
        <v>0</v>
      </c>
      <c r="M30" s="408">
        <v>0</v>
      </c>
      <c r="N30" s="485">
        <v>0</v>
      </c>
      <c r="O30" s="485">
        <f t="shared" si="1"/>
        <v>0</v>
      </c>
      <c r="P30" s="392"/>
      <c r="Q30" s="408"/>
    </row>
    <row r="31" spans="1:122" s="387" customFormat="1" ht="12.75" x14ac:dyDescent="0.2">
      <c r="A31" s="414" t="s">
        <v>222</v>
      </c>
      <c r="B31" s="472">
        <v>0</v>
      </c>
      <c r="C31" s="393">
        <v>0</v>
      </c>
      <c r="D31" s="393">
        <v>0</v>
      </c>
      <c r="E31" s="393">
        <v>0</v>
      </c>
      <c r="F31" s="393">
        <v>0</v>
      </c>
      <c r="G31" s="393">
        <v>0</v>
      </c>
      <c r="H31" s="393">
        <v>0</v>
      </c>
      <c r="I31" s="393">
        <v>0</v>
      </c>
      <c r="J31" s="393">
        <v>0</v>
      </c>
      <c r="K31" s="393">
        <v>0</v>
      </c>
      <c r="L31" s="393">
        <v>0</v>
      </c>
      <c r="M31" s="409">
        <v>0</v>
      </c>
      <c r="N31" s="486">
        <v>0</v>
      </c>
      <c r="O31" s="486">
        <f t="shared" si="1"/>
        <v>0</v>
      </c>
      <c r="P31" s="392"/>
      <c r="Q31" s="408"/>
    </row>
    <row r="32" spans="1:122" s="394" customFormat="1" ht="15.75" x14ac:dyDescent="0.25">
      <c r="A32" s="447" t="s">
        <v>223</v>
      </c>
      <c r="B32" s="471">
        <f>SUM(B11:B31)</f>
        <v>165957.63</v>
      </c>
      <c r="C32" s="448">
        <f t="shared" ref="C32:O32" si="2">SUM(C11:C31)</f>
        <v>0</v>
      </c>
      <c r="D32" s="448">
        <f t="shared" si="2"/>
        <v>0</v>
      </c>
      <c r="E32" s="448">
        <f t="shared" si="2"/>
        <v>0</v>
      </c>
      <c r="F32" s="448">
        <f t="shared" si="2"/>
        <v>0</v>
      </c>
      <c r="G32" s="448">
        <f t="shared" si="2"/>
        <v>0</v>
      </c>
      <c r="H32" s="448">
        <f t="shared" si="2"/>
        <v>0</v>
      </c>
      <c r="I32" s="448">
        <f t="shared" si="2"/>
        <v>0</v>
      </c>
      <c r="J32" s="448">
        <f t="shared" si="2"/>
        <v>0</v>
      </c>
      <c r="K32" s="448">
        <f t="shared" si="2"/>
        <v>0</v>
      </c>
      <c r="L32" s="448">
        <f t="shared" si="2"/>
        <v>0</v>
      </c>
      <c r="M32" s="448">
        <f t="shared" si="2"/>
        <v>0</v>
      </c>
      <c r="N32" s="448">
        <v>1203774.98</v>
      </c>
      <c r="O32" s="448">
        <f t="shared" si="2"/>
        <v>1369732.61</v>
      </c>
      <c r="P32" s="448"/>
      <c r="Q32" s="449"/>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7"/>
      <c r="BD32" s="387"/>
      <c r="BE32" s="387"/>
      <c r="BF32" s="387"/>
      <c r="BG32" s="387"/>
      <c r="BH32" s="387"/>
      <c r="BI32" s="387"/>
      <c r="BJ32" s="387"/>
      <c r="BK32" s="387"/>
      <c r="BL32" s="387"/>
      <c r="BM32" s="387"/>
      <c r="BN32" s="387"/>
      <c r="BO32" s="387"/>
      <c r="BP32" s="387"/>
      <c r="BQ32" s="387"/>
      <c r="BR32" s="387"/>
      <c r="BS32" s="387"/>
      <c r="BT32" s="387"/>
      <c r="BU32" s="387"/>
      <c r="BV32" s="387"/>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387"/>
      <c r="DC32" s="387"/>
      <c r="DD32" s="387"/>
      <c r="DE32" s="387"/>
      <c r="DF32" s="387"/>
      <c r="DG32" s="387"/>
      <c r="DH32" s="387"/>
      <c r="DI32" s="387"/>
      <c r="DJ32" s="387"/>
      <c r="DK32" s="387"/>
      <c r="DL32" s="387"/>
      <c r="DM32" s="387"/>
      <c r="DN32" s="387"/>
      <c r="DO32" s="387"/>
      <c r="DP32" s="387"/>
      <c r="DQ32" s="387"/>
      <c r="DR32" s="387"/>
    </row>
    <row r="33" spans="1:17" s="387" customFormat="1" ht="12.75" x14ac:dyDescent="0.2">
      <c r="A33" s="418"/>
      <c r="B33" s="470"/>
      <c r="C33" s="392"/>
      <c r="D33" s="392"/>
      <c r="E33" s="392"/>
      <c r="F33" s="392"/>
      <c r="G33" s="392"/>
      <c r="H33" s="392"/>
      <c r="I33" s="392"/>
      <c r="J33" s="392"/>
      <c r="K33" s="392"/>
      <c r="L33" s="392"/>
      <c r="M33" s="392"/>
      <c r="N33" s="392"/>
      <c r="O33" s="392"/>
      <c r="P33" s="392"/>
      <c r="Q33" s="408"/>
    </row>
    <row r="34" spans="1:17" s="387" customFormat="1" ht="15.75" x14ac:dyDescent="0.25">
      <c r="A34" s="419" t="s">
        <v>224</v>
      </c>
      <c r="B34" s="470"/>
      <c r="C34" s="630"/>
      <c r="D34" s="630"/>
      <c r="E34" s="630"/>
      <c r="F34" s="630"/>
      <c r="G34" s="630"/>
      <c r="H34" s="630"/>
      <c r="I34" s="630"/>
      <c r="J34" s="630"/>
      <c r="K34" s="630"/>
      <c r="L34" s="630"/>
      <c r="M34" s="630"/>
      <c r="N34" s="393"/>
      <c r="O34" s="630"/>
      <c r="P34" s="392"/>
      <c r="Q34" s="409"/>
    </row>
    <row r="35" spans="1:17" s="387" customFormat="1" ht="12.75" x14ac:dyDescent="0.2">
      <c r="A35" s="415" t="s">
        <v>218</v>
      </c>
      <c r="B35" s="561">
        <v>0</v>
      </c>
      <c r="C35" s="640">
        <v>0</v>
      </c>
      <c r="D35" s="640">
        <v>0</v>
      </c>
      <c r="E35" s="640">
        <v>0</v>
      </c>
      <c r="F35" s="640">
        <v>0</v>
      </c>
      <c r="G35" s="640">
        <v>0</v>
      </c>
      <c r="H35" s="640">
        <v>0</v>
      </c>
      <c r="I35" s="640">
        <v>0</v>
      </c>
      <c r="J35" s="640">
        <v>0</v>
      </c>
      <c r="K35" s="640">
        <v>0</v>
      </c>
      <c r="L35" s="640">
        <v>0</v>
      </c>
      <c r="M35" s="632">
        <v>0</v>
      </c>
      <c r="N35" s="561">
        <v>0</v>
      </c>
      <c r="O35" s="632">
        <f>SUM(B35:M35)+N35</f>
        <v>0</v>
      </c>
      <c r="P35" s="392"/>
      <c r="Q35" s="408"/>
    </row>
    <row r="36" spans="1:17" s="387" customFormat="1" ht="12.75" x14ac:dyDescent="0.2">
      <c r="A36" s="414" t="s">
        <v>219</v>
      </c>
      <c r="B36" s="470">
        <v>0</v>
      </c>
      <c r="C36" s="630">
        <v>0</v>
      </c>
      <c r="D36" s="630">
        <v>0</v>
      </c>
      <c r="E36" s="630">
        <v>0</v>
      </c>
      <c r="F36" s="630">
        <v>0</v>
      </c>
      <c r="G36" s="630">
        <v>0</v>
      </c>
      <c r="H36" s="630">
        <v>0</v>
      </c>
      <c r="I36" s="630">
        <v>0</v>
      </c>
      <c r="J36" s="630">
        <v>0</v>
      </c>
      <c r="K36" s="630">
        <v>0</v>
      </c>
      <c r="L36" s="630">
        <v>0</v>
      </c>
      <c r="M36" s="408">
        <v>0</v>
      </c>
      <c r="N36" s="470">
        <v>79345.81</v>
      </c>
      <c r="O36" s="408">
        <f>SUM(B36:M36)+N36</f>
        <v>79345.81</v>
      </c>
      <c r="P36" s="392"/>
      <c r="Q36" s="408"/>
    </row>
    <row r="37" spans="1:17" s="387" customFormat="1" ht="12.75" x14ac:dyDescent="0.2">
      <c r="A37" s="414" t="s">
        <v>220</v>
      </c>
      <c r="B37" s="470">
        <v>27234.080000000002</v>
      </c>
      <c r="C37" s="630">
        <v>0</v>
      </c>
      <c r="D37" s="630">
        <v>0</v>
      </c>
      <c r="E37" s="630">
        <v>0</v>
      </c>
      <c r="F37" s="630">
        <v>0</v>
      </c>
      <c r="G37" s="630">
        <v>0</v>
      </c>
      <c r="H37" s="630">
        <v>0</v>
      </c>
      <c r="I37" s="630">
        <v>0</v>
      </c>
      <c r="J37" s="630">
        <v>0</v>
      </c>
      <c r="K37" s="630">
        <v>0</v>
      </c>
      <c r="L37" s="630">
        <v>0</v>
      </c>
      <c r="M37" s="408">
        <v>0</v>
      </c>
      <c r="N37" s="470">
        <v>423225.05999999982</v>
      </c>
      <c r="O37" s="408">
        <f>SUM(B37:M37)+N37</f>
        <v>450459.13999999984</v>
      </c>
      <c r="Q37" s="410"/>
    </row>
    <row r="38" spans="1:17" s="387" customFormat="1" ht="12.75" x14ac:dyDescent="0.2">
      <c r="A38" s="414" t="s">
        <v>225</v>
      </c>
      <c r="B38" s="470">
        <v>76540.19</v>
      </c>
      <c r="C38" s="630">
        <v>0</v>
      </c>
      <c r="D38" s="630">
        <v>0</v>
      </c>
      <c r="E38" s="630">
        <v>0</v>
      </c>
      <c r="F38" s="630">
        <v>0</v>
      </c>
      <c r="G38" s="630">
        <v>0</v>
      </c>
      <c r="H38" s="630">
        <v>0</v>
      </c>
      <c r="I38" s="630">
        <v>0</v>
      </c>
      <c r="J38" s="630">
        <v>0</v>
      </c>
      <c r="K38" s="630">
        <v>0</v>
      </c>
      <c r="L38" s="630">
        <v>0</v>
      </c>
      <c r="M38" s="408">
        <v>0</v>
      </c>
      <c r="N38" s="470">
        <v>378002</v>
      </c>
      <c r="O38" s="408">
        <f>SUM(B38:M38)+N38</f>
        <v>454542.19</v>
      </c>
      <c r="Q38" s="410"/>
    </row>
    <row r="39" spans="1:17" s="387" customFormat="1" ht="12.75" x14ac:dyDescent="0.2">
      <c r="A39" s="414" t="s">
        <v>222</v>
      </c>
      <c r="B39" s="472">
        <v>62183.67</v>
      </c>
      <c r="C39" s="393">
        <v>0</v>
      </c>
      <c r="D39" s="393">
        <v>0</v>
      </c>
      <c r="E39" s="393">
        <v>0</v>
      </c>
      <c r="F39" s="393">
        <v>0</v>
      </c>
      <c r="G39" s="393">
        <v>0</v>
      </c>
      <c r="H39" s="393">
        <v>0</v>
      </c>
      <c r="I39" s="393">
        <v>0</v>
      </c>
      <c r="J39" s="393">
        <v>0</v>
      </c>
      <c r="K39" s="393">
        <v>0</v>
      </c>
      <c r="L39" s="393">
        <v>0</v>
      </c>
      <c r="M39" s="409">
        <v>0</v>
      </c>
      <c r="N39" s="472">
        <v>323204.55999999994</v>
      </c>
      <c r="O39" s="409">
        <f>SUM(B39:M39)+N39</f>
        <v>385388.22999999992</v>
      </c>
      <c r="Q39" s="410"/>
    </row>
    <row r="40" spans="1:17" s="387" customFormat="1" ht="15.75" x14ac:dyDescent="0.25">
      <c r="A40" s="447" t="s">
        <v>226</v>
      </c>
      <c r="B40" s="639">
        <f>SUM(B35:B39)</f>
        <v>165957.94</v>
      </c>
      <c r="C40" s="631">
        <f t="shared" ref="C40:M40" si="3">SUM(C35:C39)</f>
        <v>0</v>
      </c>
      <c r="D40" s="631">
        <f t="shared" si="3"/>
        <v>0</v>
      </c>
      <c r="E40" s="631">
        <f t="shared" si="3"/>
        <v>0</v>
      </c>
      <c r="F40" s="631">
        <f t="shared" si="3"/>
        <v>0</v>
      </c>
      <c r="G40" s="631">
        <f t="shared" si="3"/>
        <v>0</v>
      </c>
      <c r="H40" s="631">
        <f t="shared" si="3"/>
        <v>0</v>
      </c>
      <c r="I40" s="631">
        <f t="shared" si="3"/>
        <v>0</v>
      </c>
      <c r="J40" s="631">
        <f t="shared" si="3"/>
        <v>0</v>
      </c>
      <c r="K40" s="631">
        <f t="shared" si="3"/>
        <v>0</v>
      </c>
      <c r="L40" s="631">
        <f t="shared" si="3"/>
        <v>0</v>
      </c>
      <c r="M40" s="631">
        <f t="shared" si="3"/>
        <v>0</v>
      </c>
      <c r="N40" s="448">
        <v>1203777.4299999997</v>
      </c>
      <c r="O40" s="631">
        <f>SUM(O35:O39)</f>
        <v>1369735.3699999999</v>
      </c>
      <c r="P40" s="450"/>
      <c r="Q40" s="451"/>
    </row>
    <row r="41" spans="1:17" s="387" customFormat="1" ht="12.75" x14ac:dyDescent="0.2">
      <c r="A41" s="420"/>
      <c r="B41" s="473"/>
      <c r="C41" s="395"/>
      <c r="D41" s="395"/>
      <c r="E41" s="395"/>
      <c r="F41" s="395"/>
      <c r="G41" s="395"/>
      <c r="H41" s="395"/>
      <c r="I41" s="395"/>
      <c r="J41" s="395"/>
      <c r="K41" s="395"/>
      <c r="L41" s="395"/>
      <c r="M41" s="395"/>
      <c r="N41" s="395"/>
      <c r="O41" s="395"/>
      <c r="P41" s="396"/>
      <c r="Q41" s="411"/>
    </row>
    <row r="42" spans="1:17" s="387" customFormat="1" ht="15.75" x14ac:dyDescent="0.25">
      <c r="A42" s="419" t="s">
        <v>227</v>
      </c>
      <c r="B42" s="472"/>
      <c r="C42" s="393"/>
      <c r="D42" s="393"/>
      <c r="E42" s="393"/>
      <c r="F42" s="393"/>
      <c r="G42" s="393"/>
      <c r="H42" s="393"/>
      <c r="I42" s="393"/>
      <c r="J42" s="393"/>
      <c r="K42" s="393"/>
      <c r="L42" s="393"/>
      <c r="M42" s="393"/>
      <c r="N42" s="393"/>
      <c r="O42" s="393"/>
      <c r="P42" s="392"/>
      <c r="Q42" s="409"/>
    </row>
    <row r="43" spans="1:17" s="387" customFormat="1" ht="12.75" x14ac:dyDescent="0.2">
      <c r="A43" s="414" t="s">
        <v>228</v>
      </c>
      <c r="B43" s="470">
        <v>0</v>
      </c>
      <c r="C43" s="392">
        <v>0</v>
      </c>
      <c r="D43" s="392">
        <v>0</v>
      </c>
      <c r="E43" s="392">
        <v>0</v>
      </c>
      <c r="F43" s="392">
        <v>0</v>
      </c>
      <c r="G43" s="392">
        <v>0</v>
      </c>
      <c r="H43" s="392">
        <v>0</v>
      </c>
      <c r="I43" s="392">
        <v>0</v>
      </c>
      <c r="J43" s="392">
        <v>0</v>
      </c>
      <c r="K43" s="392">
        <v>0</v>
      </c>
      <c r="L43" s="392">
        <v>0</v>
      </c>
      <c r="M43" s="392">
        <v>0</v>
      </c>
      <c r="N43" s="484">
        <v>0</v>
      </c>
      <c r="O43" s="484">
        <f>SUM(B43:M43)+N43</f>
        <v>0</v>
      </c>
      <c r="P43" s="392"/>
      <c r="Q43" s="408"/>
    </row>
    <row r="44" spans="1:17" s="387" customFormat="1" ht="12.75" x14ac:dyDescent="0.2">
      <c r="A44" s="415" t="s">
        <v>229</v>
      </c>
      <c r="B44" s="470">
        <v>44261.16</v>
      </c>
      <c r="C44" s="392">
        <v>0</v>
      </c>
      <c r="D44" s="392">
        <v>0</v>
      </c>
      <c r="E44" s="392">
        <v>0</v>
      </c>
      <c r="F44" s="392">
        <v>0</v>
      </c>
      <c r="G44" s="392">
        <v>0</v>
      </c>
      <c r="H44" s="392">
        <v>0</v>
      </c>
      <c r="I44" s="392">
        <v>0</v>
      </c>
      <c r="J44" s="392">
        <v>0</v>
      </c>
      <c r="K44" s="392">
        <v>0</v>
      </c>
      <c r="L44" s="392">
        <v>0</v>
      </c>
      <c r="M44" s="392">
        <v>0</v>
      </c>
      <c r="N44" s="485">
        <v>344660.9699999998</v>
      </c>
      <c r="O44" s="485">
        <f>SUM(B44:M44)+N44</f>
        <v>388922.12999999977</v>
      </c>
      <c r="P44" s="392"/>
      <c r="Q44" s="408"/>
    </row>
    <row r="45" spans="1:17" s="387" customFormat="1" ht="14.25" customHeight="1" x14ac:dyDescent="0.2">
      <c r="A45" s="414" t="s">
        <v>230</v>
      </c>
      <c r="B45" s="470">
        <v>43677.31</v>
      </c>
      <c r="C45" s="392">
        <v>0</v>
      </c>
      <c r="D45" s="392">
        <v>0</v>
      </c>
      <c r="E45" s="392">
        <v>0</v>
      </c>
      <c r="F45" s="392">
        <v>0</v>
      </c>
      <c r="G45" s="392">
        <v>0</v>
      </c>
      <c r="H45" s="392">
        <v>0</v>
      </c>
      <c r="I45" s="392">
        <v>0</v>
      </c>
      <c r="J45" s="392">
        <v>0</v>
      </c>
      <c r="K45" s="392">
        <v>0</v>
      </c>
      <c r="L45" s="392">
        <v>0</v>
      </c>
      <c r="M45" s="392">
        <v>0</v>
      </c>
      <c r="N45" s="485">
        <v>314336.88999999996</v>
      </c>
      <c r="O45" s="485">
        <f>SUM(B45:M45)+N45</f>
        <v>358014.19999999995</v>
      </c>
      <c r="P45" s="392"/>
      <c r="Q45" s="408"/>
    </row>
    <row r="46" spans="1:17" s="387" customFormat="1" ht="12.75" x14ac:dyDescent="0.2">
      <c r="A46" s="414" t="s">
        <v>231</v>
      </c>
      <c r="B46" s="470">
        <v>78019.45</v>
      </c>
      <c r="C46" s="392">
        <v>0</v>
      </c>
      <c r="D46" s="392">
        <v>0</v>
      </c>
      <c r="E46" s="392">
        <v>0</v>
      </c>
      <c r="F46" s="392">
        <v>0</v>
      </c>
      <c r="G46" s="392">
        <v>0</v>
      </c>
      <c r="H46" s="392">
        <v>0</v>
      </c>
      <c r="I46" s="392">
        <v>0</v>
      </c>
      <c r="J46" s="392">
        <v>0</v>
      </c>
      <c r="K46" s="392">
        <v>0</v>
      </c>
      <c r="L46" s="392">
        <v>0</v>
      </c>
      <c r="M46" s="392">
        <v>0</v>
      </c>
      <c r="N46" s="486">
        <v>544778.64</v>
      </c>
      <c r="O46" s="486">
        <f>SUM(B46:M46)+N46</f>
        <v>622798.09</v>
      </c>
      <c r="Q46" s="410"/>
    </row>
    <row r="47" spans="1:17" s="387" customFormat="1" ht="15.75" x14ac:dyDescent="0.25">
      <c r="A47" s="447" t="s">
        <v>232</v>
      </c>
      <c r="B47" s="471">
        <f t="shared" ref="B47:M47" si="4">SUM(B43:B46)</f>
        <v>165957.91999999998</v>
      </c>
      <c r="C47" s="448">
        <f t="shared" si="4"/>
        <v>0</v>
      </c>
      <c r="D47" s="448">
        <f>SUM(D43:D46)</f>
        <v>0</v>
      </c>
      <c r="E47" s="448">
        <f t="shared" si="4"/>
        <v>0</v>
      </c>
      <c r="F47" s="448">
        <f t="shared" si="4"/>
        <v>0</v>
      </c>
      <c r="G47" s="448">
        <f t="shared" si="4"/>
        <v>0</v>
      </c>
      <c r="H47" s="448">
        <f t="shared" si="4"/>
        <v>0</v>
      </c>
      <c r="I47" s="448">
        <f t="shared" si="4"/>
        <v>0</v>
      </c>
      <c r="J47" s="448">
        <f t="shared" si="4"/>
        <v>0</v>
      </c>
      <c r="K47" s="448">
        <f t="shared" si="4"/>
        <v>0</v>
      </c>
      <c r="L47" s="448">
        <f t="shared" si="4"/>
        <v>0</v>
      </c>
      <c r="M47" s="448">
        <f t="shared" si="4"/>
        <v>0</v>
      </c>
      <c r="N47" s="448">
        <v>1203776.4999999998</v>
      </c>
      <c r="O47" s="448">
        <f>SUM(O43:O46)</f>
        <v>1369734.4199999997</v>
      </c>
      <c r="P47" s="448">
        <f>SUM(P43:P46)</f>
        <v>0</v>
      </c>
      <c r="Q47" s="451"/>
    </row>
    <row r="48" spans="1:17" s="387" customFormat="1" ht="12.75" x14ac:dyDescent="0.2">
      <c r="B48" s="392"/>
      <c r="C48" s="392"/>
      <c r="D48" s="392"/>
      <c r="E48" s="392"/>
      <c r="F48" s="392"/>
      <c r="G48" s="392"/>
      <c r="H48" s="392"/>
      <c r="I48" s="392"/>
      <c r="J48" s="392"/>
      <c r="K48" s="392"/>
      <c r="L48" s="392"/>
      <c r="M48" s="392"/>
      <c r="O48" s="392"/>
      <c r="P48" s="392"/>
      <c r="Q48" s="392"/>
    </row>
    <row r="49" spans="1:17" s="387" customFormat="1" ht="12.75" x14ac:dyDescent="0.2">
      <c r="A49" s="397" t="s">
        <v>44</v>
      </c>
      <c r="B49" s="398"/>
      <c r="C49" s="398"/>
      <c r="D49" s="398"/>
      <c r="E49" s="398"/>
      <c r="F49" s="398"/>
      <c r="G49" s="398"/>
      <c r="H49" s="398"/>
      <c r="I49" s="398"/>
      <c r="J49" s="398"/>
      <c r="K49" s="398"/>
      <c r="L49" s="398"/>
      <c r="M49" s="398"/>
      <c r="N49" s="397"/>
      <c r="O49" s="398"/>
      <c r="P49" s="398"/>
      <c r="Q49" s="398"/>
    </row>
    <row r="50" spans="1:17" ht="16.5" x14ac:dyDescent="0.2">
      <c r="A50" s="487" t="s">
        <v>233</v>
      </c>
      <c r="D50" s="341"/>
      <c r="E50" s="245"/>
      <c r="F50" s="341"/>
      <c r="N50" s="487"/>
    </row>
    <row r="51" spans="1:17" ht="14.25" x14ac:dyDescent="0.2">
      <c r="A51" s="487"/>
      <c r="D51" s="341"/>
      <c r="E51" s="245"/>
      <c r="F51" s="341"/>
      <c r="N51" s="487"/>
    </row>
    <row r="52" spans="1:17" ht="15" x14ac:dyDescent="0.2">
      <c r="A52" s="283" t="s">
        <v>50</v>
      </c>
      <c r="D52" s="341"/>
      <c r="E52" s="245"/>
      <c r="F52" s="341"/>
      <c r="N52" s="283"/>
    </row>
    <row r="53" spans="1:17" ht="16.5" x14ac:dyDescent="0.2">
      <c r="A53" s="527" t="s">
        <v>83</v>
      </c>
      <c r="D53" s="341"/>
      <c r="E53" s="245"/>
      <c r="F53" s="341"/>
      <c r="N53" s="527"/>
    </row>
    <row r="54" spans="1:17" x14ac:dyDescent="0.2">
      <c r="E54" s="348"/>
      <c r="F54" s="341"/>
    </row>
  </sheetData>
  <mergeCells count="3">
    <mergeCell ref="O7:O8"/>
    <mergeCell ref="Q7:Q8"/>
    <mergeCell ref="N7:N8"/>
  </mergeCells>
  <printOptions horizontalCentered="1"/>
  <pageMargins left="0" right="0" top="0.55000000000000004" bottom="0.17" header="0.3" footer="0.15"/>
  <pageSetup paperSize="5" scale="66" orientation="landscape" cellComments="atEnd" r:id="rId1"/>
  <headerFooter alignWithMargins="0">
    <oddHeader xml:space="preserve">&amp;C&amp;"Arial,Bold"
</oddHeader>
    <oddFooter xml:space="preserve">&amp;Rpage 8 of 12
&amp;A
&amp;D  &amp;T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9" ma:contentTypeDescription="Create a new document." ma:contentTypeScope="" ma:versionID="7afeb0ee4f112ff1c08adbf2a7dbd0d2">
  <xsd:schema xmlns:xsd="http://www.w3.org/2001/XMLSchema" xmlns:xs="http://www.w3.org/2001/XMLSchema" xmlns:p="http://schemas.microsoft.com/office/2006/metadata/properties" xmlns:ns2="23f0c027-30bf-4053-a099-2f7893e59033" targetNamespace="http://schemas.microsoft.com/office/2006/metadata/properties" ma:root="true" ma:fieldsID="443fcc33cdfb75f96cc516442a179330" ns2:_="">
    <xsd:import namespace="23f0c027-30bf-4053-a099-2f7893e5903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2854B2-09AC-43BC-8A05-10F026E93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9CE5A5-034A-44C5-96B1-1FD952A1C46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3f0c027-30bf-4053-a099-2f7893e59033"/>
    <ds:schemaRef ds:uri="http://www.w3.org/XML/1998/namespace"/>
    <ds:schemaRef ds:uri="http://purl.org/dc/dcmitype/"/>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Program MW </vt:lpstr>
      <vt:lpstr>Ex ante LI &amp; Eligibility Stats</vt:lpstr>
      <vt:lpstr>Ex post LI &amp; Eligibility Stats</vt:lpstr>
      <vt:lpstr>TA-TI Distribution@</vt:lpstr>
      <vt:lpstr>Auto DR (TI) &amp; Tech Deployment</vt:lpstr>
      <vt:lpstr>DRP Expenditures</vt:lpstr>
      <vt:lpstr>2017 DRP Carryover Expenditures</vt:lpstr>
      <vt:lpstr>Fund Shift Log</vt:lpstr>
      <vt:lpstr>Marketing</vt:lpstr>
      <vt:lpstr>Event Summary</vt:lpstr>
      <vt:lpstr>SDGE Costs - AMDRMA Balance</vt:lpstr>
      <vt:lpstr>SDGE Costs -GRC </vt:lpstr>
      <vt:lpstr>SDGE Costs -DPDRMA</vt:lpstr>
      <vt:lpstr>'2017 DRP Carryover Expenditures'!Print_Area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cp:lastPrinted>2019-02-13T22:54:50Z</cp:lastPrinted>
  <dcterms:created xsi:type="dcterms:W3CDTF">2013-01-03T17:03:43Z</dcterms:created>
  <dcterms:modified xsi:type="dcterms:W3CDTF">2019-02-20T15:16:57Z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ies>
</file>