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drawings/drawing1.xml" ContentType="application/vnd.openxmlformats-officedocument.drawing+xml"/>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Desktop/"/>
    </mc:Choice>
  </mc:AlternateContent>
  <xr:revisionPtr revIDLastSave="0" documentId="8_{CAB50532-71E9-4BB5-AC74-7E089A753FE2}" xr6:coauthVersionLast="47" xr6:coauthVersionMax="47" xr10:uidLastSave="{00000000-0000-0000-0000-000000000000}"/>
  <bookViews>
    <workbookView xWindow="-120" yWindow="-120" windowWidth="29040" windowHeight="15840" tabRatio="873" firstSheet="5" activeTab="14"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Event Summary" sheetId="57" r:id="rId6"/>
    <sheet name="DRP Expenditures" sheetId="117" r:id="rId7"/>
    <sheet name="Auto DR (TI) &amp; Tech Deployment" sheetId="131" r:id="rId8"/>
    <sheet name="Marketing" sheetId="134" r:id="rId9"/>
    <sheet name="Fund Shift Log" sheetId="29" r:id="rId10"/>
    <sheet name="SDGE Costs -AMDRMA Balance" sheetId="119" r:id="rId11"/>
    <sheet name="SDGE Costs -GRC " sheetId="120" r:id="rId12"/>
    <sheet name="SDGE Costs -DPDRMA" sheetId="129" r:id="rId13"/>
    <sheet name="SDGE Costs -ELRP" sheetId="138" r:id="rId14"/>
    <sheet name="SDGE Costs -FABA" sheetId="139" r:id="rId15"/>
  </sheets>
  <externalReferences>
    <externalReference r:id="rId16"/>
    <externalReference r:id="rId17"/>
  </externalReferences>
  <definedNames>
    <definedName name="_AMO_UniqueIdentifier" hidden="1">"'149b2d1a-72c1-44e5-bc61-8e647e92c66a'"</definedName>
    <definedName name="_DAT1" localSheetId="6">#REF!</definedName>
    <definedName name="_DAT1" localSheetId="8">#REF!</definedName>
    <definedName name="_DAT1" localSheetId="10">#REF!</definedName>
    <definedName name="_DAT1" localSheetId="12">#REF!</definedName>
    <definedName name="_DAT1" localSheetId="13">'SDGE Costs -ELRP'!#REF!</definedName>
    <definedName name="_DAT1" localSheetId="14">'SDGE Costs -FABA'!#REF!</definedName>
    <definedName name="_DAT1">#REF!</definedName>
    <definedName name="_DAT10" localSheetId="6">#REF!</definedName>
    <definedName name="_DAT10" localSheetId="8">#REF!</definedName>
    <definedName name="_DAT10" localSheetId="12">#REF!</definedName>
    <definedName name="_DAT10" localSheetId="13">'SDGE Costs -ELRP'!#REF!</definedName>
    <definedName name="_DAT10" localSheetId="14">'SDGE Costs -FABA'!#REF!</definedName>
    <definedName name="_DAT10">#REF!</definedName>
    <definedName name="_DAT11" localSheetId="6">#REF!</definedName>
    <definedName name="_DAT11" localSheetId="8">#REF!</definedName>
    <definedName name="_DAT11" localSheetId="12">#REF!</definedName>
    <definedName name="_DAT11" localSheetId="13">'SDGE Costs -ELRP'!#REF!</definedName>
    <definedName name="_DAT11" localSheetId="14">'SDGE Costs -FABA'!#REF!</definedName>
    <definedName name="_DAT11">#REF!</definedName>
    <definedName name="_DAT12" localSheetId="6">#REF!</definedName>
    <definedName name="_DAT12" localSheetId="12">#REF!</definedName>
    <definedName name="_DAT12" localSheetId="13">'SDGE Costs -ELRP'!#REF!</definedName>
    <definedName name="_DAT12" localSheetId="14">'SDGE Costs -FABA'!#REF!</definedName>
    <definedName name="_DAT12">#REF!</definedName>
    <definedName name="_DAT13" localSheetId="6">#REF!</definedName>
    <definedName name="_DAT13" localSheetId="12">#REF!</definedName>
    <definedName name="_DAT13" localSheetId="13">'SDGE Costs -ELRP'!#REF!</definedName>
    <definedName name="_DAT13" localSheetId="14">'SDGE Costs -FABA'!#REF!</definedName>
    <definedName name="_DAT13">#REF!</definedName>
    <definedName name="_DAT14" localSheetId="6">#REF!</definedName>
    <definedName name="_DAT14" localSheetId="12">#REF!</definedName>
    <definedName name="_DAT14" localSheetId="13">'SDGE Costs -ELRP'!#REF!</definedName>
    <definedName name="_DAT14" localSheetId="14">'SDGE Costs -FABA'!#REF!</definedName>
    <definedName name="_DAT14">#REF!</definedName>
    <definedName name="_DAT15" localSheetId="6">#REF!</definedName>
    <definedName name="_DAT15" localSheetId="12">#REF!</definedName>
    <definedName name="_DAT15" localSheetId="13">'SDGE Costs -ELRP'!#REF!</definedName>
    <definedName name="_DAT15" localSheetId="14">'SDGE Costs -FABA'!#REF!</definedName>
    <definedName name="_DAT15">#REF!</definedName>
    <definedName name="_DAT16" localSheetId="6">#REF!</definedName>
    <definedName name="_DAT16" localSheetId="12">#REF!</definedName>
    <definedName name="_DAT16" localSheetId="13">'SDGE Costs -ELRP'!#REF!</definedName>
    <definedName name="_DAT16" localSheetId="14">'SDGE Costs -FABA'!#REF!</definedName>
    <definedName name="_DAT16">#REF!</definedName>
    <definedName name="_DAT17" localSheetId="6">#REF!</definedName>
    <definedName name="_DAT17" localSheetId="12">#REF!</definedName>
    <definedName name="_DAT17" localSheetId="13">'SDGE Costs -ELRP'!#REF!</definedName>
    <definedName name="_DAT17" localSheetId="14">'SDGE Costs -FABA'!#REF!</definedName>
    <definedName name="_DAT17">#REF!</definedName>
    <definedName name="_DAT2" localSheetId="6">#REF!</definedName>
    <definedName name="_DAT2" localSheetId="12">#REF!</definedName>
    <definedName name="_DAT2" localSheetId="13">'SDGE Costs -ELRP'!#REF!</definedName>
    <definedName name="_DAT2" localSheetId="14">'SDGE Costs -FABA'!#REF!</definedName>
    <definedName name="_DAT2">#REF!</definedName>
    <definedName name="_DAT3" localSheetId="6">#REF!</definedName>
    <definedName name="_DAT3" localSheetId="12">#REF!</definedName>
    <definedName name="_DAT3" localSheetId="13">'SDGE Costs -ELRP'!#REF!</definedName>
    <definedName name="_DAT3" localSheetId="14">'SDGE Costs -FABA'!#REF!</definedName>
    <definedName name="_DAT3">#REF!</definedName>
    <definedName name="_DAT4" localSheetId="6">#REF!</definedName>
    <definedName name="_DAT4" localSheetId="12">#REF!</definedName>
    <definedName name="_DAT4" localSheetId="13">'SDGE Costs -ELRP'!#REF!</definedName>
    <definedName name="_DAT4" localSheetId="14">'SDGE Costs -FABA'!#REF!</definedName>
    <definedName name="_DAT4">#REF!</definedName>
    <definedName name="_DAT5" localSheetId="6">#REF!</definedName>
    <definedName name="_DAT5" localSheetId="12">#REF!</definedName>
    <definedName name="_DAT5" localSheetId="13">'SDGE Costs -ELRP'!#REF!</definedName>
    <definedName name="_DAT5" localSheetId="14">'SDGE Costs -FABA'!#REF!</definedName>
    <definedName name="_DAT5">#REF!</definedName>
    <definedName name="_DAT6" localSheetId="6">#REF!</definedName>
    <definedName name="_DAT6" localSheetId="12">#REF!</definedName>
    <definedName name="_DAT6" localSheetId="13">'SDGE Costs -ELRP'!#REF!</definedName>
    <definedName name="_DAT6" localSheetId="14">'SDGE Costs -FABA'!#REF!</definedName>
    <definedName name="_DAT6">#REF!</definedName>
    <definedName name="_DAT7" localSheetId="6">#REF!</definedName>
    <definedName name="_DAT7" localSheetId="12">#REF!</definedName>
    <definedName name="_DAT7" localSheetId="13">'SDGE Costs -ELRP'!#REF!</definedName>
    <definedName name="_DAT7" localSheetId="14">'SDGE Costs -FABA'!#REF!</definedName>
    <definedName name="_DAT7">#REF!</definedName>
    <definedName name="_DAT8" localSheetId="6">#REF!</definedName>
    <definedName name="_DAT8" localSheetId="12">#REF!</definedName>
    <definedName name="_DAT8" localSheetId="13">'SDGE Costs -ELRP'!#REF!</definedName>
    <definedName name="_DAT8" localSheetId="14">'SDGE Costs -FABA'!#REF!</definedName>
    <definedName name="_DAT8">#REF!</definedName>
    <definedName name="_DAT9" localSheetId="6">#REF!</definedName>
    <definedName name="_DAT9" localSheetId="12">#REF!</definedName>
    <definedName name="_DAT9" localSheetId="13">'SDGE Costs -ELRP'!#REF!</definedName>
    <definedName name="_DAT9" localSheetId="14">'SDGE Costs -FABA'!#REF!</definedName>
    <definedName name="_DAT9">#REF!</definedName>
    <definedName name="_xlnm._FilterDatabase" localSheetId="5" hidden="1">'Event Summary'!$A$8:$G$10</definedName>
    <definedName name="Achieve_GRC" localSheetId="6">#REF!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13">'SDGE Costs -ELRP'!#REF!</definedName>
    <definedName name="Achieve_GRC" localSheetId="14">'SDGE Costs -FABA'!#REF!</definedName>
    <definedName name="Achieve_GRC" localSheetId="4">#REF!</definedName>
    <definedName name="Achieve_GRC">#REF!</definedName>
    <definedName name="Achieve_Service_Excellenc" localSheetId="6">#REF!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13">'SDGE Costs -ELRP'!#REF!</definedName>
    <definedName name="Achieve_Service_Excellenc" localSheetId="14">'SDGE Costs -FABA'!#REF!</definedName>
    <definedName name="Achieve_Service_Excellenc" localSheetId="4">#REF!</definedName>
    <definedName name="Achieve_Service_Excellenc">#REF!</definedName>
    <definedName name="Achieve_Service_Excellence" localSheetId="6">#REF!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13">'SDGE Costs -ELRP'!#REF!</definedName>
    <definedName name="Achieve_Service_Excellence" localSheetId="14">'SDGE Costs -FABA'!#REF!</definedName>
    <definedName name="Achieve_Service_Excellence" localSheetId="4">#REF!</definedName>
    <definedName name="Achieve_Service_Excellence">#REF!</definedName>
    <definedName name="Collect_Revenue" localSheetId="6">#REF!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13">'SDGE Costs -ELRP'!#REF!</definedName>
    <definedName name="Collect_Revenue" localSheetId="14">'SDGE Costs -FABA'!#REF!</definedName>
    <definedName name="Collect_Revenue" localSheetId="4">#REF!</definedName>
    <definedName name="Collect_Revenue">#REF!</definedName>
    <definedName name="DATA1" localSheetId="6">#REF!</definedName>
    <definedName name="DATA1" localSheetId="12">#REF!</definedName>
    <definedName name="DATA1" localSheetId="13">'SDGE Costs -ELRP'!#REF!</definedName>
    <definedName name="DATA1" localSheetId="14">'SDGE Costs -FABA'!#REF!</definedName>
    <definedName name="DATA1">#REF!</definedName>
    <definedName name="DATA10" localSheetId="6">#REF!</definedName>
    <definedName name="DATA10" localSheetId="12">#REF!</definedName>
    <definedName name="DATA10" localSheetId="13">'SDGE Costs -ELRP'!#REF!</definedName>
    <definedName name="DATA10" localSheetId="14">'SDGE Costs -FABA'!#REF!</definedName>
    <definedName name="DATA10">#REF!</definedName>
    <definedName name="DATA11" localSheetId="6">#REF!</definedName>
    <definedName name="DATA11" localSheetId="12">#REF!</definedName>
    <definedName name="DATA11" localSheetId="13">'SDGE Costs -ELRP'!#REF!</definedName>
    <definedName name="DATA11" localSheetId="14">'SDGE Costs -FABA'!#REF!</definedName>
    <definedName name="DATA11">#REF!</definedName>
    <definedName name="DATA12" localSheetId="6">#REF!</definedName>
    <definedName name="DATA12" localSheetId="12">#REF!</definedName>
    <definedName name="DATA12" localSheetId="13">'SDGE Costs -ELRP'!#REF!</definedName>
    <definedName name="DATA12" localSheetId="14">'SDGE Costs -FABA'!#REF!</definedName>
    <definedName name="DATA12">#REF!</definedName>
    <definedName name="DATA13" localSheetId="6">#REF!</definedName>
    <definedName name="DATA13" localSheetId="12">#REF!</definedName>
    <definedName name="DATA13" localSheetId="13">'SDGE Costs -ELRP'!#REF!</definedName>
    <definedName name="DATA13" localSheetId="14">'SDGE Costs -FABA'!#REF!</definedName>
    <definedName name="DATA13">#REF!</definedName>
    <definedName name="DATA14" localSheetId="6">#REF!</definedName>
    <definedName name="DATA14" localSheetId="12">#REF!</definedName>
    <definedName name="DATA14" localSheetId="13">'SDGE Costs -ELRP'!#REF!</definedName>
    <definedName name="DATA14" localSheetId="14">'SDGE Costs -FABA'!#REF!</definedName>
    <definedName name="DATA14">#REF!</definedName>
    <definedName name="DATA15" localSheetId="6">#REF!</definedName>
    <definedName name="DATA15" localSheetId="12">#REF!</definedName>
    <definedName name="DATA15" localSheetId="13">'SDGE Costs -ELRP'!#REF!</definedName>
    <definedName name="DATA15" localSheetId="14">'SDGE Costs -FABA'!#REF!</definedName>
    <definedName name="DATA15">#REF!</definedName>
    <definedName name="DATA16" localSheetId="6">#REF!</definedName>
    <definedName name="DATA16" localSheetId="12">#REF!</definedName>
    <definedName name="DATA16" localSheetId="13">'SDGE Costs -ELRP'!#REF!</definedName>
    <definedName name="DATA16" localSheetId="14">'SDGE Costs -FABA'!#REF!</definedName>
    <definedName name="DATA16">#REF!</definedName>
    <definedName name="DATA17" localSheetId="6">#REF!</definedName>
    <definedName name="DATA17" localSheetId="12">#REF!</definedName>
    <definedName name="DATA17" localSheetId="13">'SDGE Costs -ELRP'!#REF!</definedName>
    <definedName name="DATA17" localSheetId="14">'SDGE Costs -FABA'!#REF!</definedName>
    <definedName name="DATA17">#REF!</definedName>
    <definedName name="DATA18" localSheetId="6">#REF!</definedName>
    <definedName name="DATA18" localSheetId="12">#REF!</definedName>
    <definedName name="DATA18" localSheetId="13">'SDGE Costs -ELRP'!#REF!</definedName>
    <definedName name="DATA18" localSheetId="14">'SDGE Costs -FABA'!#REF!</definedName>
    <definedName name="DATA18">#REF!</definedName>
    <definedName name="DATA19" localSheetId="6">#REF!</definedName>
    <definedName name="DATA19" localSheetId="12">#REF!</definedName>
    <definedName name="DATA19" localSheetId="13">'SDGE Costs -ELRP'!#REF!</definedName>
    <definedName name="DATA19" localSheetId="14">'SDGE Costs -FABA'!#REF!</definedName>
    <definedName name="DATA19">#REF!</definedName>
    <definedName name="DATA2" localSheetId="6">#REF!</definedName>
    <definedName name="DATA2" localSheetId="12">#REF!</definedName>
    <definedName name="DATA2" localSheetId="13">'SDGE Costs -ELRP'!#REF!</definedName>
    <definedName name="DATA2" localSheetId="14">'SDGE Costs -FABA'!#REF!</definedName>
    <definedName name="DATA2">#REF!</definedName>
    <definedName name="DATA20" localSheetId="6">#REF!</definedName>
    <definedName name="DATA20" localSheetId="12">#REF!</definedName>
    <definedName name="DATA20" localSheetId="13">'SDGE Costs -ELRP'!#REF!</definedName>
    <definedName name="DATA20" localSheetId="14">'SDGE Costs -FABA'!#REF!</definedName>
    <definedName name="DATA20">#REF!</definedName>
    <definedName name="DATA3" localSheetId="6">#REF!</definedName>
    <definedName name="DATA3" localSheetId="12">#REF!</definedName>
    <definedName name="DATA3" localSheetId="13">'SDGE Costs -ELRP'!#REF!</definedName>
    <definedName name="DATA3" localSheetId="14">'SDGE Costs -FABA'!#REF!</definedName>
    <definedName name="DATA3">#REF!</definedName>
    <definedName name="DATA4" localSheetId="6">#REF!</definedName>
    <definedName name="DATA4" localSheetId="12">#REF!</definedName>
    <definedName name="DATA4" localSheetId="13">'SDGE Costs -ELRP'!#REF!</definedName>
    <definedName name="DATA4" localSheetId="14">'SDGE Costs -FABA'!#REF!</definedName>
    <definedName name="DATA4">#REF!</definedName>
    <definedName name="DATA5" localSheetId="6">#REF!</definedName>
    <definedName name="DATA5" localSheetId="12">#REF!</definedName>
    <definedName name="DATA5" localSheetId="13">'SDGE Costs -ELRP'!#REF!</definedName>
    <definedName name="DATA5" localSheetId="14">'SDGE Costs -FABA'!#REF!</definedName>
    <definedName name="DATA5">#REF!</definedName>
    <definedName name="data5000">'[1]ACTMA Detail'!$N$2:$N$102</definedName>
    <definedName name="DATA6" localSheetId="6">#REF!</definedName>
    <definedName name="DATA6" localSheetId="8">#REF!</definedName>
    <definedName name="DATA6" localSheetId="12">#REF!</definedName>
    <definedName name="DATA6" localSheetId="13">'SDGE Costs -ELRP'!#REF!</definedName>
    <definedName name="DATA6" localSheetId="14">'SDGE Costs -FABA'!#REF!</definedName>
    <definedName name="DATA6">#REF!</definedName>
    <definedName name="DATA7" localSheetId="6">#REF!</definedName>
    <definedName name="DATA7" localSheetId="8">#REF!</definedName>
    <definedName name="DATA7" localSheetId="12">#REF!</definedName>
    <definedName name="DATA7" localSheetId="13">'SDGE Costs -ELRP'!#REF!</definedName>
    <definedName name="DATA7" localSheetId="14">'SDGE Costs -FABA'!#REF!</definedName>
    <definedName name="DATA7">#REF!</definedName>
    <definedName name="DATA8" localSheetId="6">#REF!</definedName>
    <definedName name="DATA8" localSheetId="8">#REF!</definedName>
    <definedName name="DATA8" localSheetId="12">#REF!</definedName>
    <definedName name="DATA8" localSheetId="13">'SDGE Costs -ELRP'!#REF!</definedName>
    <definedName name="DATA8" localSheetId="14">'SDGE Costs -FABA'!#REF!</definedName>
    <definedName name="DATA8">#REF!</definedName>
    <definedName name="DATA9" localSheetId="6">#REF!</definedName>
    <definedName name="DATA9" localSheetId="12">#REF!</definedName>
    <definedName name="DATA9" localSheetId="13">'SDGE Costs -ELRP'!#REF!</definedName>
    <definedName name="DATA9" localSheetId="14">'SDGE Costs -FABA'!#REF!</definedName>
    <definedName name="DATA9">#REF!</definedName>
    <definedName name="DayTypeList" localSheetId="6">[2]LOOKUP!$E$2:$E$14</definedName>
    <definedName name="DayTypeList" localSheetId="10">[2]LOOKUP!$E$2:$E$14</definedName>
    <definedName name="DayTypeList" localSheetId="12">[2]LOOKUP!$E$2:$E$14</definedName>
    <definedName name="DayTypeList" localSheetId="13">[2]LOOKUP!$E$2:$E$14</definedName>
    <definedName name="DayTypeList" localSheetId="14">[2]LOOKUP!$E$2:$E$14</definedName>
    <definedName name="DayTypeList" localSheetId="11">[2]LOOKUP!$E$2:$E$14</definedName>
    <definedName name="DayTypeList">[2]LOOKUP!$E$2:$E$14</definedName>
    <definedName name="Enhance_Delivery_Channels" localSheetId="6">#REF!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13">'SDGE Costs -ELRP'!#REF!</definedName>
    <definedName name="Enhance_Delivery_Channels" localSheetId="14">'SDGE Costs -FABA'!#REF!</definedName>
    <definedName name="Enhance_Delivery_Channels" localSheetId="4">#REF!</definedName>
    <definedName name="Enhance_Delivery_Channels">#REF!</definedName>
    <definedName name="Ethics_and_Compliance" localSheetId="6">#REF!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13">'SDGE Costs -ELRP'!#REF!</definedName>
    <definedName name="Ethics_and_Compliance" localSheetId="14">'SDGE Costs -FABA'!#REF!</definedName>
    <definedName name="Ethics_and_Compliance" localSheetId="4">#REF!</definedName>
    <definedName name="Ethics_and_Compliance">#REF!</definedName>
    <definedName name="Launch_Refine_Market" localSheetId="6">#REF!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13">'SDGE Costs -ELRP'!#REF!</definedName>
    <definedName name="Launch_Refine_Market" localSheetId="14">'SDGE Costs -FABA'!#REF!</definedName>
    <definedName name="Launch_Refine_Market" localSheetId="4">#REF!</definedName>
    <definedName name="Launch_Refine_Market">#REF!</definedName>
    <definedName name="Manage_AMI" localSheetId="6">#REF!</definedName>
    <definedName name="Manage_AMI" localSheetId="2">#REF!</definedName>
    <definedName name="Manage_AMI" localSheetId="3">#REF!</definedName>
    <definedName name="Manage_AMI" localSheetId="1">#REF!</definedName>
    <definedName name="Manage_AMI" localSheetId="12">#REF!</definedName>
    <definedName name="Manage_AMI" localSheetId="13">'SDGE Costs -ELRP'!#REF!</definedName>
    <definedName name="Manage_AMI" localSheetId="14">'SDGE Costs -FABA'!#REF!</definedName>
    <definedName name="Manage_AMI" localSheetId="4">#REF!</definedName>
    <definedName name="Manage_AMI">#REF!</definedName>
    <definedName name="Meet_Financial_Targets" localSheetId="6">#REF!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13">'SDGE Costs -ELRP'!#REF!</definedName>
    <definedName name="Meet_Financial_Targets" localSheetId="14">'SDGE Costs -FABA'!#REF!</definedName>
    <definedName name="Meet_Financial_Targets" localSheetId="4">#REF!</definedName>
    <definedName name="Meet_Financial_Targets">#REF!</definedName>
    <definedName name="nnnnnn">'[1]ACTMA Detail'!$P$2:$P$102</definedName>
    <definedName name="_xlnm.Print_Area" localSheetId="7">'Auto DR (TI) &amp; Tech Deployment'!$A$1:$M$44</definedName>
    <definedName name="_xlnm.Print_Area" localSheetId="6">'DRP Expenditures'!$A$1:$Y$60</definedName>
    <definedName name="_xlnm.Print_Area" localSheetId="2">'Ex ante LI &amp; Eligibility Stats'!$A$1:$O$19</definedName>
    <definedName name="_xlnm.Print_Area" localSheetId="3">'Ex post LI &amp; Eligibility Stats'!$A$1:$O$26</definedName>
    <definedName name="_xlnm.Print_Area" localSheetId="9">'Fund Shift Log'!$A$1:$E$23</definedName>
    <definedName name="_xlnm.Print_Area" localSheetId="8">Marketing!$A$1:$Q$43</definedName>
    <definedName name="_xlnm.Print_Area" localSheetId="1">'Program MW '!$A$1:$S$60</definedName>
    <definedName name="_xlnm.Print_Area" localSheetId="12">'SDGE Costs -DPDRMA'!$A$2:$N$44</definedName>
    <definedName name="_xlnm.Print_Area" localSheetId="13">'SDGE Costs -ELRP'!$A$2:$N$41</definedName>
    <definedName name="_xlnm.Print_Area" localSheetId="14">'SDGE Costs -FABA'!$A$2:$N$40</definedName>
    <definedName name="_xlnm.Print_Area" localSheetId="11">'SDGE Costs -GRC '!$A$1:$N$35</definedName>
    <definedName name="Reliability_Expectations" localSheetId="6">#REF!</definedName>
    <definedName name="Reliability_Expectations" localSheetId="2">#REF!</definedName>
    <definedName name="Reliability_Expectations" localSheetId="3">#REF!</definedName>
    <definedName name="Reliability_Expectations" localSheetId="8">#REF!</definedName>
    <definedName name="Reliability_Expectations" localSheetId="1">#REF!</definedName>
    <definedName name="Reliability_Expectations" localSheetId="12">#REF!</definedName>
    <definedName name="Reliability_Expectations" localSheetId="13">'SDGE Costs -ELRP'!#REF!</definedName>
    <definedName name="Reliability_Expectations" localSheetId="14">'SDGE Costs -FABA'!#REF!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6">#REF!</definedName>
    <definedName name="Stabilization_Customer_Base" localSheetId="2">#REF!</definedName>
    <definedName name="Stabilization_Customer_Base" localSheetId="3">#REF!</definedName>
    <definedName name="Stabilization_Customer_Base" localSheetId="8">#REF!</definedName>
    <definedName name="Stabilization_Customer_Base" localSheetId="1">#REF!</definedName>
    <definedName name="Stabilization_Customer_Base" localSheetId="12">#REF!</definedName>
    <definedName name="Stabilization_Customer_Base" localSheetId="13">'SDGE Costs -ELRP'!#REF!</definedName>
    <definedName name="Stabilization_Customer_Base" localSheetId="14">'SDGE Costs -FABA'!#REF!</definedName>
    <definedName name="Stabilization_Customer_Base" localSheetId="4">#REF!</definedName>
    <definedName name="Stabilization_Customer_Base">#REF!</definedName>
    <definedName name="TEST0" localSheetId="6">#REF!</definedName>
    <definedName name="TEST0" localSheetId="8">#REF!</definedName>
    <definedName name="TEST0" localSheetId="12">#REF!</definedName>
    <definedName name="TEST0" localSheetId="13">'SDGE Costs -ELRP'!#REF!</definedName>
    <definedName name="TEST0" localSheetId="14">'SDGE Costs -FABA'!#REF!</definedName>
    <definedName name="TEST0">#REF!</definedName>
    <definedName name="TEST1" localSheetId="6">#REF!</definedName>
    <definedName name="TEST1" localSheetId="12">#REF!</definedName>
    <definedName name="TEST1" localSheetId="13">'SDGE Costs -ELRP'!#REF!</definedName>
    <definedName name="TEST1" localSheetId="14">'SDGE Costs -FABA'!#REF!</definedName>
    <definedName name="TEST1">#REF!</definedName>
    <definedName name="TEST10" localSheetId="6">#REF!</definedName>
    <definedName name="TEST10" localSheetId="12">#REF!</definedName>
    <definedName name="TEST10" localSheetId="13">'SDGE Costs -ELRP'!#REF!</definedName>
    <definedName name="TEST10" localSheetId="14">'SDGE Costs -FABA'!#REF!</definedName>
    <definedName name="TEST10">#REF!</definedName>
    <definedName name="TEST11" localSheetId="6">#REF!</definedName>
    <definedName name="TEST11" localSheetId="12">#REF!</definedName>
    <definedName name="TEST11" localSheetId="13">'SDGE Costs -ELRP'!#REF!</definedName>
    <definedName name="TEST11" localSheetId="14">'SDGE Costs -FABA'!#REF!</definedName>
    <definedName name="TEST11">#REF!</definedName>
    <definedName name="TEST12" localSheetId="6">#REF!</definedName>
    <definedName name="TEST12" localSheetId="12">#REF!</definedName>
    <definedName name="TEST12" localSheetId="13">'SDGE Costs -ELRP'!#REF!</definedName>
    <definedName name="TEST12" localSheetId="14">'SDGE Costs -FABA'!#REF!</definedName>
    <definedName name="TEST12">#REF!</definedName>
    <definedName name="TEST13" localSheetId="6">#REF!</definedName>
    <definedName name="TEST13" localSheetId="12">#REF!</definedName>
    <definedName name="TEST13" localSheetId="13">'SDGE Costs -ELRP'!#REF!</definedName>
    <definedName name="TEST13" localSheetId="14">'SDGE Costs -FABA'!#REF!</definedName>
    <definedName name="TEST13">#REF!</definedName>
    <definedName name="TEST14" localSheetId="6">#REF!</definedName>
    <definedName name="TEST14" localSheetId="12">#REF!</definedName>
    <definedName name="TEST14" localSheetId="13">'SDGE Costs -ELRP'!#REF!</definedName>
    <definedName name="TEST14" localSheetId="14">'SDGE Costs -FABA'!#REF!</definedName>
    <definedName name="TEST14">#REF!</definedName>
    <definedName name="TEST15" localSheetId="6">#REF!</definedName>
    <definedName name="TEST15" localSheetId="12">#REF!</definedName>
    <definedName name="TEST15" localSheetId="13">'SDGE Costs -ELRP'!#REF!</definedName>
    <definedName name="TEST15" localSheetId="14">'SDGE Costs -FABA'!#REF!</definedName>
    <definedName name="TEST15">#REF!</definedName>
    <definedName name="TEST16" localSheetId="6">#REF!</definedName>
    <definedName name="TEST16" localSheetId="12">#REF!</definedName>
    <definedName name="TEST16" localSheetId="13">'SDGE Costs -ELRP'!#REF!</definedName>
    <definedName name="TEST16" localSheetId="14">'SDGE Costs -FABA'!#REF!</definedName>
    <definedName name="TEST16">#REF!</definedName>
    <definedName name="TEST17" localSheetId="6">#REF!</definedName>
    <definedName name="TEST17" localSheetId="12">#REF!</definedName>
    <definedName name="TEST17" localSheetId="13">'SDGE Costs -ELRP'!#REF!</definedName>
    <definedName name="TEST17" localSheetId="14">'SDGE Costs -FABA'!#REF!</definedName>
    <definedName name="TEST17">#REF!</definedName>
    <definedName name="TEST18" localSheetId="6">#REF!</definedName>
    <definedName name="TEST18" localSheetId="12">#REF!</definedName>
    <definedName name="TEST18" localSheetId="13">'SDGE Costs -ELRP'!#REF!</definedName>
    <definedName name="TEST18" localSheetId="14">'SDGE Costs -FABA'!#REF!</definedName>
    <definedName name="TEST18">#REF!</definedName>
    <definedName name="TEST19" localSheetId="6">#REF!</definedName>
    <definedName name="TEST19" localSheetId="12">#REF!</definedName>
    <definedName name="TEST19" localSheetId="13">'SDGE Costs -ELRP'!#REF!</definedName>
    <definedName name="TEST19" localSheetId="14">'SDGE Costs -FABA'!#REF!</definedName>
    <definedName name="TEST19">#REF!</definedName>
    <definedName name="TEST2" localSheetId="6">#REF!</definedName>
    <definedName name="TEST2" localSheetId="12">#REF!</definedName>
    <definedName name="TEST2" localSheetId="13">'SDGE Costs -ELRP'!#REF!</definedName>
    <definedName name="TEST2" localSheetId="14">'SDGE Costs -FABA'!#REF!</definedName>
    <definedName name="TEST2">#REF!</definedName>
    <definedName name="TEST20" localSheetId="6">#REF!</definedName>
    <definedName name="TEST20" localSheetId="12">#REF!</definedName>
    <definedName name="TEST20" localSheetId="13">'SDGE Costs -ELRP'!#REF!</definedName>
    <definedName name="TEST20" localSheetId="14">'SDGE Costs -FABA'!#REF!</definedName>
    <definedName name="TEST20">#REF!</definedName>
    <definedName name="TEST21" localSheetId="6">#REF!</definedName>
    <definedName name="TEST21" localSheetId="12">#REF!</definedName>
    <definedName name="TEST21" localSheetId="13">'SDGE Costs -ELRP'!#REF!</definedName>
    <definedName name="TEST21" localSheetId="14">'SDGE Costs -FABA'!#REF!</definedName>
    <definedName name="TEST21">#REF!</definedName>
    <definedName name="TEST22" localSheetId="6">#REF!</definedName>
    <definedName name="TEST22" localSheetId="12">#REF!</definedName>
    <definedName name="TEST22" localSheetId="13">'SDGE Costs -ELRP'!#REF!</definedName>
    <definedName name="TEST22" localSheetId="14">'SDGE Costs -FABA'!#REF!</definedName>
    <definedName name="TEST22">#REF!</definedName>
    <definedName name="TEST23" localSheetId="6">#REF!</definedName>
    <definedName name="TEST23" localSheetId="12">#REF!</definedName>
    <definedName name="TEST23" localSheetId="13">'SDGE Costs -ELRP'!#REF!</definedName>
    <definedName name="TEST23" localSheetId="14">'SDGE Costs -FABA'!#REF!</definedName>
    <definedName name="TEST23">#REF!</definedName>
    <definedName name="TEST24" localSheetId="6">#REF!</definedName>
    <definedName name="TEST24" localSheetId="12">#REF!</definedName>
    <definedName name="TEST24" localSheetId="13">'SDGE Costs -ELRP'!#REF!</definedName>
    <definedName name="TEST24" localSheetId="14">'SDGE Costs -FABA'!#REF!</definedName>
    <definedName name="TEST24">#REF!</definedName>
    <definedName name="TEST25" localSheetId="6">#REF!</definedName>
    <definedName name="TEST25" localSheetId="12">#REF!</definedName>
    <definedName name="TEST25" localSheetId="13">'SDGE Costs -ELRP'!#REF!</definedName>
    <definedName name="TEST25" localSheetId="14">'SDGE Costs -FABA'!#REF!</definedName>
    <definedName name="TEST25">#REF!</definedName>
    <definedName name="TEST26" localSheetId="6">#REF!</definedName>
    <definedName name="TEST26" localSheetId="12">#REF!</definedName>
    <definedName name="TEST26" localSheetId="13">'SDGE Costs -ELRP'!#REF!</definedName>
    <definedName name="TEST26" localSheetId="14">'SDGE Costs -FABA'!#REF!</definedName>
    <definedName name="TEST26">#REF!</definedName>
    <definedName name="TEST27" localSheetId="6">#REF!</definedName>
    <definedName name="TEST27" localSheetId="12">#REF!</definedName>
    <definedName name="TEST27" localSheetId="13">'SDGE Costs -ELRP'!#REF!</definedName>
    <definedName name="TEST27" localSheetId="14">'SDGE Costs -FABA'!#REF!</definedName>
    <definedName name="TEST27">#REF!</definedName>
    <definedName name="TEST28" localSheetId="6">#REF!</definedName>
    <definedName name="TEST28" localSheetId="12">#REF!</definedName>
    <definedName name="TEST28" localSheetId="13">'SDGE Costs -ELRP'!#REF!</definedName>
    <definedName name="TEST28" localSheetId="14">'SDGE Costs -FABA'!#REF!</definedName>
    <definedName name="TEST28">#REF!</definedName>
    <definedName name="TEST3" localSheetId="6">#REF!</definedName>
    <definedName name="TEST3" localSheetId="12">#REF!</definedName>
    <definedName name="TEST3" localSheetId="13">'SDGE Costs -ELRP'!#REF!</definedName>
    <definedName name="TEST3" localSheetId="14">'SDGE Costs -FABA'!#REF!</definedName>
    <definedName name="TEST3">#REF!</definedName>
    <definedName name="TEST4" localSheetId="6">#REF!</definedName>
    <definedName name="TEST4" localSheetId="12">#REF!</definedName>
    <definedName name="TEST4" localSheetId="13">'SDGE Costs -ELRP'!#REF!</definedName>
    <definedName name="TEST4" localSheetId="14">'SDGE Costs -FABA'!#REF!</definedName>
    <definedName name="TEST4">#REF!</definedName>
    <definedName name="TEST5" localSheetId="6">#REF!</definedName>
    <definedName name="TEST5" localSheetId="12">#REF!</definedName>
    <definedName name="TEST5" localSheetId="13">'SDGE Costs -ELRP'!#REF!</definedName>
    <definedName name="TEST5" localSheetId="14">'SDGE Costs -FABA'!#REF!</definedName>
    <definedName name="TEST5">#REF!</definedName>
    <definedName name="TEST6" localSheetId="6">#REF!</definedName>
    <definedName name="TEST6" localSheetId="12">#REF!</definedName>
    <definedName name="TEST6" localSheetId="13">'SDGE Costs -ELRP'!#REF!</definedName>
    <definedName name="TEST6" localSheetId="14">'SDGE Costs -FABA'!#REF!</definedName>
    <definedName name="TEST6">#REF!</definedName>
    <definedName name="TEST7" localSheetId="6">#REF!</definedName>
    <definedName name="TEST7" localSheetId="12">#REF!</definedName>
    <definedName name="TEST7" localSheetId="13">'SDGE Costs -ELRP'!#REF!</definedName>
    <definedName name="TEST7" localSheetId="14">'SDGE Costs -FABA'!#REF!</definedName>
    <definedName name="TEST7">#REF!</definedName>
    <definedName name="TEST8" localSheetId="6">#REF!</definedName>
    <definedName name="TEST8" localSheetId="12">#REF!</definedName>
    <definedName name="TEST8" localSheetId="13">'SDGE Costs -ELRP'!#REF!</definedName>
    <definedName name="TEST8" localSheetId="14">'SDGE Costs -FABA'!#REF!</definedName>
    <definedName name="TEST8">#REF!</definedName>
    <definedName name="TEST9" localSheetId="6">#REF!</definedName>
    <definedName name="TEST9" localSheetId="12">#REF!</definedName>
    <definedName name="TEST9" localSheetId="13">'SDGE Costs -ELRP'!#REF!</definedName>
    <definedName name="TEST9" localSheetId="14">'SDGE Costs -FABA'!#REF!</definedName>
    <definedName name="TEST9">#REF!</definedName>
    <definedName name="TESTHKEY" localSheetId="6">#REF!</definedName>
    <definedName name="TESTHKEY" localSheetId="12">#REF!</definedName>
    <definedName name="TESTHKEY" localSheetId="13">'SDGE Costs -ELRP'!#REF!</definedName>
    <definedName name="TESTHKEY" localSheetId="14">'SDGE Costs -FABA'!#REF!</definedName>
    <definedName name="TESTHKEY">#REF!</definedName>
    <definedName name="TESTKEYS" localSheetId="6">#REF!</definedName>
    <definedName name="TESTKEYS" localSheetId="12">#REF!</definedName>
    <definedName name="TESTKEYS" localSheetId="13">'SDGE Costs -ELRP'!#REF!</definedName>
    <definedName name="TESTKEYS" localSheetId="14">'SDGE Costs -FABA'!#REF!</definedName>
    <definedName name="TESTKEYS">#REF!</definedName>
    <definedName name="TESTVKEY" localSheetId="6">#REF!</definedName>
    <definedName name="TESTVKEY" localSheetId="12">#REF!</definedName>
    <definedName name="TESTVKEY" localSheetId="13">'SDGE Costs -ELRP'!#REF!</definedName>
    <definedName name="TESTVKEY" localSheetId="14">'SDGE Costs -FABA'!#REF!</definedName>
    <definedName name="TESTVKEY">#REF!</definedName>
    <definedName name="Valued_Service_Provider" localSheetId="6">#REF!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13">'SDGE Costs -ELRP'!#REF!</definedName>
    <definedName name="Valued_Service_Provider" localSheetId="14">'SDGE Costs -FABA'!#REF!</definedName>
    <definedName name="Valued_Service_Provider" localSheetId="4">#REF!</definedName>
    <definedName name="Valued_Service_Provider">#REF!</definedName>
    <definedName name="Voice_of_Customer" localSheetId="6">#REF!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13">'SDGE Costs -ELRP'!#REF!</definedName>
    <definedName name="Voice_of_Customer" localSheetId="14">'SDGE Costs -FABA'!#REF!</definedName>
    <definedName name="Voice_of_Customer" localSheetId="4">#REF!</definedName>
    <definedName name="Voice_of_Customer">#REF!</definedName>
    <definedName name="Z_E5DF83AA_DC53_4EBF_A523_33DA0FE284E8_.wvu.PrintArea" localSheetId="3" hidden="1">'Ex post LI &amp; Eligibility Stats'!$A$2:$O$24</definedName>
    <definedName name="Z_E5DF83AA_DC53_4EBF_A523_33DA0FE284E8_.wvu.PrintArea" localSheetId="1" hidden="1">'Program MW '!$A$1:$Z$49</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3" i="119" l="1"/>
  <c r="I36" i="131"/>
  <c r="I34" i="131"/>
  <c r="I33" i="131"/>
  <c r="I24" i="131"/>
  <c r="I23" i="131"/>
  <c r="I22" i="131"/>
  <c r="I36" i="129"/>
  <c r="N43" i="119" l="1"/>
  <c r="I14" i="117" l="1"/>
  <c r="I39" i="131" l="1"/>
  <c r="I35" i="131"/>
  <c r="I37" i="131"/>
  <c r="P29" i="117"/>
  <c r="Q49" i="117"/>
  <c r="Q38" i="117"/>
  <c r="P14" i="117"/>
  <c r="O31" i="134"/>
  <c r="O30" i="134"/>
  <c r="O37" i="117" l="1"/>
  <c r="P47" i="117"/>
  <c r="P46" i="117"/>
  <c r="P45" i="117"/>
  <c r="N20" i="129"/>
  <c r="N30" i="120"/>
  <c r="N28" i="120"/>
  <c r="N18" i="120"/>
  <c r="N13" i="120"/>
  <c r="N12" i="120"/>
  <c r="N11" i="120"/>
  <c r="N22" i="120"/>
  <c r="M28" i="120"/>
  <c r="L28" i="120"/>
  <c r="K28" i="120"/>
  <c r="J28" i="120"/>
  <c r="I28" i="120"/>
  <c r="H28" i="120"/>
  <c r="G28" i="120"/>
  <c r="F28" i="120"/>
  <c r="E28" i="120"/>
  <c r="D28" i="120"/>
  <c r="C28" i="120"/>
  <c r="B28" i="120"/>
  <c r="P16" i="117"/>
  <c r="P49" i="117" l="1"/>
  <c r="N23" i="134" l="1"/>
  <c r="N22" i="134"/>
  <c r="N29" i="119" l="1"/>
  <c r="F13" i="131"/>
  <c r="H24" i="131" l="1"/>
  <c r="H36" i="131"/>
  <c r="H34" i="131"/>
  <c r="H33" i="131"/>
  <c r="H39" i="131"/>
  <c r="H35" i="131"/>
  <c r="H37" i="131"/>
  <c r="H23" i="131"/>
  <c r="H22" i="131"/>
  <c r="E40" i="134" l="1"/>
  <c r="E39" i="134"/>
  <c r="E38" i="134"/>
  <c r="E32" i="134"/>
  <c r="G24" i="131" l="1"/>
  <c r="G39" i="131"/>
  <c r="G36" i="131"/>
  <c r="G34" i="131"/>
  <c r="G33" i="131"/>
  <c r="G35" i="131"/>
  <c r="G37" i="131"/>
  <c r="G23" i="131"/>
  <c r="G22" i="131"/>
  <c r="N31" i="139" l="1"/>
  <c r="M29" i="139"/>
  <c r="L29" i="139"/>
  <c r="K29" i="139"/>
  <c r="J29" i="139"/>
  <c r="I29" i="139"/>
  <c r="H29" i="139"/>
  <c r="G29" i="139"/>
  <c r="F29" i="139"/>
  <c r="E29" i="139"/>
  <c r="D29" i="139"/>
  <c r="C29" i="139"/>
  <c r="B29" i="139"/>
  <c r="N28" i="139"/>
  <c r="M25" i="139"/>
  <c r="L25" i="139"/>
  <c r="K25" i="139"/>
  <c r="J25" i="139"/>
  <c r="I25" i="139"/>
  <c r="H25" i="139"/>
  <c r="G25" i="139"/>
  <c r="F25" i="139"/>
  <c r="E25" i="139"/>
  <c r="D25" i="139"/>
  <c r="C25" i="139"/>
  <c r="B25" i="139"/>
  <c r="N24" i="139"/>
  <c r="M21" i="139"/>
  <c r="L21" i="139"/>
  <c r="K21" i="139"/>
  <c r="J21" i="139"/>
  <c r="I21" i="139"/>
  <c r="H21" i="139"/>
  <c r="G21" i="139"/>
  <c r="F21" i="139"/>
  <c r="E21" i="139"/>
  <c r="D21" i="139"/>
  <c r="C21" i="139"/>
  <c r="B21" i="139"/>
  <c r="N20" i="139"/>
  <c r="N19" i="139"/>
  <c r="N18" i="139"/>
  <c r="N17" i="139"/>
  <c r="M14" i="139"/>
  <c r="L14" i="139"/>
  <c r="K14" i="139"/>
  <c r="J14" i="139"/>
  <c r="J32" i="139" s="1"/>
  <c r="J33" i="139" s="1"/>
  <c r="I14" i="139"/>
  <c r="H14" i="139"/>
  <c r="G14" i="139"/>
  <c r="F14" i="139"/>
  <c r="E14" i="139"/>
  <c r="D14" i="139"/>
  <c r="C14" i="139"/>
  <c r="B14" i="139"/>
  <c r="B32" i="139" s="1"/>
  <c r="B33" i="139" s="1"/>
  <c r="N13" i="139"/>
  <c r="N12" i="139"/>
  <c r="E5" i="139"/>
  <c r="N21" i="139" l="1"/>
  <c r="F32" i="139"/>
  <c r="F33" i="139" s="1"/>
  <c r="N25" i="139"/>
  <c r="C32" i="139"/>
  <c r="C33" i="139" s="1"/>
  <c r="G32" i="139"/>
  <c r="G33" i="139" s="1"/>
  <c r="K32" i="139"/>
  <c r="K33" i="139" s="1"/>
  <c r="N29" i="139"/>
  <c r="E32" i="139"/>
  <c r="E33" i="139" s="1"/>
  <c r="I32" i="139"/>
  <c r="I33" i="139" s="1"/>
  <c r="M32" i="139"/>
  <c r="M33" i="139" s="1"/>
  <c r="D32" i="139"/>
  <c r="D33" i="139" s="1"/>
  <c r="H32" i="139"/>
  <c r="H33" i="139" s="1"/>
  <c r="L32" i="139"/>
  <c r="L33" i="139" s="1"/>
  <c r="N14" i="139"/>
  <c r="F24" i="131"/>
  <c r="F39" i="131"/>
  <c r="F36" i="131"/>
  <c r="F34" i="131"/>
  <c r="F33" i="131"/>
  <c r="F35" i="131"/>
  <c r="F37" i="131"/>
  <c r="F23" i="131"/>
  <c r="F22" i="131"/>
  <c r="M20" i="33"/>
  <c r="F21" i="33"/>
  <c r="I21" i="33"/>
  <c r="E24" i="131"/>
  <c r="E39" i="131"/>
  <c r="E37" i="131"/>
  <c r="E36" i="131"/>
  <c r="E35" i="131"/>
  <c r="E34" i="131"/>
  <c r="E33" i="131"/>
  <c r="E23" i="131"/>
  <c r="E22" i="131"/>
  <c r="B22" i="131"/>
  <c r="C37" i="131"/>
  <c r="B33" i="131"/>
  <c r="C33" i="131"/>
  <c r="C36" i="131"/>
  <c r="C34" i="131"/>
  <c r="C39" i="131"/>
  <c r="C35" i="131"/>
  <c r="C24" i="131"/>
  <c r="C23" i="131"/>
  <c r="C22" i="131"/>
  <c r="B39" i="131"/>
  <c r="B24" i="131"/>
  <c r="B37" i="131"/>
  <c r="B36" i="131"/>
  <c r="B35" i="131"/>
  <c r="B34" i="131"/>
  <c r="B23" i="131"/>
  <c r="D39" i="131"/>
  <c r="D24" i="131"/>
  <c r="D37" i="131"/>
  <c r="D36" i="131"/>
  <c r="D33" i="131"/>
  <c r="D22" i="131"/>
  <c r="D23" i="131"/>
  <c r="N21" i="134"/>
  <c r="O21" i="134" s="1"/>
  <c r="N32" i="139" l="1"/>
  <c r="N33" i="139"/>
  <c r="D35" i="131"/>
  <c r="D34" i="131"/>
  <c r="D15" i="138" l="1"/>
  <c r="C15" i="138"/>
  <c r="B15" i="138"/>
  <c r="N14" i="138"/>
  <c r="M15" i="138"/>
  <c r="L15" i="138"/>
  <c r="K15" i="138"/>
  <c r="J15" i="138"/>
  <c r="I15" i="138"/>
  <c r="H15" i="138"/>
  <c r="G15" i="138"/>
  <c r="F15" i="138"/>
  <c r="E15" i="138"/>
  <c r="N15" i="138" l="1"/>
  <c r="S28" i="33" l="1"/>
  <c r="P28" i="33"/>
  <c r="M28" i="33"/>
  <c r="J28" i="33"/>
  <c r="G28" i="33"/>
  <c r="D28" i="33"/>
  <c r="S6" i="33"/>
  <c r="P6" i="33"/>
  <c r="M6" i="33"/>
  <c r="J6" i="33"/>
  <c r="G6" i="33"/>
  <c r="D6" i="33"/>
  <c r="G20" i="33"/>
  <c r="F20" i="33"/>
  <c r="N13" i="138"/>
  <c r="M13" i="131" l="1"/>
  <c r="L13" i="131" l="1"/>
  <c r="J13" i="131" l="1"/>
  <c r="C4" i="57"/>
  <c r="I13" i="131" l="1"/>
  <c r="N32" i="138"/>
  <c r="N29" i="138"/>
  <c r="B30" i="138"/>
  <c r="C30" i="138"/>
  <c r="D30" i="138"/>
  <c r="E30" i="138"/>
  <c r="F30" i="138"/>
  <c r="G30" i="138"/>
  <c r="H30" i="138"/>
  <c r="I30" i="138"/>
  <c r="J30" i="138"/>
  <c r="K30" i="138"/>
  <c r="L30" i="138"/>
  <c r="M30" i="138"/>
  <c r="N25" i="138"/>
  <c r="B26" i="138"/>
  <c r="C26" i="138"/>
  <c r="D26" i="138"/>
  <c r="E26" i="138"/>
  <c r="F26" i="138"/>
  <c r="G26" i="138"/>
  <c r="H26" i="138"/>
  <c r="I26" i="138"/>
  <c r="J26" i="138"/>
  <c r="K26" i="138"/>
  <c r="L26" i="138"/>
  <c r="M26" i="138"/>
  <c r="N12" i="138"/>
  <c r="N18" i="138"/>
  <c r="N19" i="138"/>
  <c r="N20" i="138"/>
  <c r="N21" i="138"/>
  <c r="B22" i="138"/>
  <c r="C22" i="138"/>
  <c r="D22" i="138"/>
  <c r="D33" i="138" s="1"/>
  <c r="D34" i="138" s="1"/>
  <c r="E22" i="138"/>
  <c r="F22" i="138"/>
  <c r="G22" i="138"/>
  <c r="H22" i="138"/>
  <c r="I22" i="138"/>
  <c r="J22" i="138"/>
  <c r="K22" i="138"/>
  <c r="L22" i="138"/>
  <c r="M22" i="138"/>
  <c r="E5" i="138"/>
  <c r="N21" i="119"/>
  <c r="N35" i="117"/>
  <c r="O35" i="117" s="1"/>
  <c r="I26" i="134"/>
  <c r="H26" i="134"/>
  <c r="C33" i="138" l="1"/>
  <c r="C34" i="138" s="1"/>
  <c r="G33" i="138"/>
  <c r="G34" i="138" s="1"/>
  <c r="R35" i="117"/>
  <c r="H33" i="138"/>
  <c r="H34" i="138" s="1"/>
  <c r="L33" i="138"/>
  <c r="L34" i="138" s="1"/>
  <c r="K33" i="138"/>
  <c r="K34" i="138" s="1"/>
  <c r="J33" i="138"/>
  <c r="J34" i="138" s="1"/>
  <c r="F33" i="138"/>
  <c r="F34" i="138" s="1"/>
  <c r="B33" i="138"/>
  <c r="B34" i="138" s="1"/>
  <c r="N26" i="138"/>
  <c r="M33" i="138"/>
  <c r="M34" i="138" s="1"/>
  <c r="I33" i="138"/>
  <c r="I34" i="138" s="1"/>
  <c r="E33" i="138"/>
  <c r="E34" i="138" s="1"/>
  <c r="N30" i="138"/>
  <c r="N22" i="138"/>
  <c r="G34" i="134"/>
  <c r="N34" i="138" l="1"/>
  <c r="N33" i="138"/>
  <c r="B17" i="29" l="1"/>
  <c r="F22" i="33" l="1"/>
  <c r="H32" i="129" l="1"/>
  <c r="Q11" i="134" l="1"/>
  <c r="O19" i="35" l="1"/>
  <c r="N19" i="35"/>
  <c r="O18" i="35"/>
  <c r="N18" i="35"/>
  <c r="O17" i="35"/>
  <c r="N17" i="35"/>
  <c r="O16" i="35"/>
  <c r="N16" i="35"/>
  <c r="O15" i="35"/>
  <c r="N15" i="35"/>
  <c r="O14" i="35"/>
  <c r="N14" i="35"/>
  <c r="O13" i="35"/>
  <c r="N13" i="35"/>
  <c r="O12" i="35"/>
  <c r="N12" i="35"/>
  <c r="O11" i="35"/>
  <c r="N11" i="35"/>
  <c r="O10" i="35"/>
  <c r="N10" i="35"/>
  <c r="O9" i="35"/>
  <c r="N9" i="35"/>
  <c r="C36" i="119" l="1"/>
  <c r="D36" i="119"/>
  <c r="E36" i="119"/>
  <c r="F36" i="119"/>
  <c r="G36" i="119"/>
  <c r="H36" i="119"/>
  <c r="I36" i="119"/>
  <c r="J36" i="119"/>
  <c r="K36" i="119"/>
  <c r="L36" i="119"/>
  <c r="M36" i="119"/>
  <c r="M34" i="134" l="1"/>
  <c r="O37" i="33" l="1"/>
  <c r="K13" i="131" l="1"/>
  <c r="N12" i="134"/>
  <c r="O12" i="134" s="1"/>
  <c r="N13" i="134"/>
  <c r="N14" i="134"/>
  <c r="O14" i="134" s="1"/>
  <c r="N15" i="134"/>
  <c r="O15" i="134" s="1"/>
  <c r="N16" i="134"/>
  <c r="O16" i="134" s="1"/>
  <c r="N17" i="134"/>
  <c r="O17" i="134" s="1"/>
  <c r="N18" i="134"/>
  <c r="O18" i="134" s="1"/>
  <c r="N19" i="134"/>
  <c r="O19" i="134" s="1"/>
  <c r="N20" i="134"/>
  <c r="O20" i="134" s="1"/>
  <c r="N24" i="134"/>
  <c r="O24" i="134" s="1"/>
  <c r="N25" i="134"/>
  <c r="O25" i="134" s="1"/>
  <c r="N11" i="134"/>
  <c r="O11" i="134" s="1"/>
  <c r="N26" i="134" l="1"/>
  <c r="I41" i="33" l="1"/>
  <c r="J41" i="134" l="1"/>
  <c r="N10" i="119" l="1"/>
  <c r="N11" i="119"/>
  <c r="N12" i="119"/>
  <c r="N13" i="119"/>
  <c r="N14" i="119"/>
  <c r="N15" i="119"/>
  <c r="N16" i="119"/>
  <c r="N17" i="119"/>
  <c r="N18" i="119"/>
  <c r="N19" i="119"/>
  <c r="N20" i="119"/>
  <c r="N22" i="119"/>
  <c r="N23" i="119"/>
  <c r="N24" i="119"/>
  <c r="N25" i="119"/>
  <c r="N26" i="119"/>
  <c r="N27" i="119"/>
  <c r="N28" i="119"/>
  <c r="N30" i="119"/>
  <c r="N31" i="119"/>
  <c r="N32" i="119"/>
  <c r="N33" i="119"/>
  <c r="N34" i="119"/>
  <c r="N35" i="119"/>
  <c r="N39" i="119"/>
  <c r="N40" i="119"/>
  <c r="N41" i="119"/>
  <c r="N42" i="119"/>
  <c r="N44" i="119"/>
  <c r="N45" i="119"/>
  <c r="N46" i="119"/>
  <c r="N47" i="119"/>
  <c r="N48" i="119"/>
  <c r="N49" i="119"/>
  <c r="L30" i="117"/>
  <c r="K30" i="117"/>
  <c r="J30" i="117"/>
  <c r="N50" i="119" l="1"/>
  <c r="O13" i="134" l="1"/>
  <c r="O26" i="134" s="1"/>
  <c r="S45" i="33" l="1"/>
  <c r="R45" i="33"/>
  <c r="S44" i="33"/>
  <c r="R44" i="33"/>
  <c r="S43" i="33"/>
  <c r="R43" i="33"/>
  <c r="S42" i="33"/>
  <c r="R42" i="33"/>
  <c r="S41" i="33"/>
  <c r="R41" i="33"/>
  <c r="S40" i="33"/>
  <c r="R40" i="33"/>
  <c r="S39" i="33"/>
  <c r="R39" i="33"/>
  <c r="S38" i="33"/>
  <c r="R38" i="33"/>
  <c r="S37" i="33"/>
  <c r="R37" i="33"/>
  <c r="S34" i="33"/>
  <c r="R34" i="33"/>
  <c r="P45" i="33"/>
  <c r="O45" i="33"/>
  <c r="P44" i="33"/>
  <c r="O44" i="33"/>
  <c r="P43" i="33"/>
  <c r="O43" i="33"/>
  <c r="P42" i="33"/>
  <c r="O42" i="33"/>
  <c r="P41" i="33"/>
  <c r="O41" i="33"/>
  <c r="P40" i="33"/>
  <c r="O40" i="33"/>
  <c r="P39" i="33"/>
  <c r="O39" i="33"/>
  <c r="P38" i="33"/>
  <c r="O38" i="33"/>
  <c r="P37" i="33"/>
  <c r="P34" i="33"/>
  <c r="O34" i="33"/>
  <c r="M45" i="33"/>
  <c r="L45" i="33"/>
  <c r="M44" i="33"/>
  <c r="L44" i="33"/>
  <c r="M43" i="33"/>
  <c r="L43" i="33"/>
  <c r="M42" i="33"/>
  <c r="L42" i="33"/>
  <c r="M41" i="33"/>
  <c r="L41" i="33"/>
  <c r="M40" i="33"/>
  <c r="L40" i="33"/>
  <c r="M39" i="33"/>
  <c r="L39" i="33"/>
  <c r="M38" i="33"/>
  <c r="L38" i="33"/>
  <c r="M37" i="33"/>
  <c r="L37" i="33"/>
  <c r="M34" i="33"/>
  <c r="L34" i="33"/>
  <c r="J45" i="33"/>
  <c r="I45" i="33"/>
  <c r="J44" i="33"/>
  <c r="I44" i="33"/>
  <c r="J43" i="33"/>
  <c r="I43" i="33"/>
  <c r="J42" i="33"/>
  <c r="I42" i="33"/>
  <c r="J41" i="33"/>
  <c r="J40" i="33"/>
  <c r="I40" i="33"/>
  <c r="J39" i="33"/>
  <c r="I39" i="33"/>
  <c r="J38" i="33"/>
  <c r="I38" i="33"/>
  <c r="J37" i="33"/>
  <c r="I37" i="33"/>
  <c r="J34" i="33"/>
  <c r="I34" i="33"/>
  <c r="S31" i="33"/>
  <c r="R31" i="33"/>
  <c r="P31" i="33"/>
  <c r="O31" i="33"/>
  <c r="M31" i="33"/>
  <c r="L31" i="33"/>
  <c r="J31" i="33"/>
  <c r="I31" i="33"/>
  <c r="F31" i="33"/>
  <c r="C31" i="33"/>
  <c r="G31" i="33"/>
  <c r="M40" i="131" l="1"/>
  <c r="M25" i="131"/>
  <c r="L25" i="131"/>
  <c r="K25" i="131"/>
  <c r="J40" i="131"/>
  <c r="J25" i="131"/>
  <c r="L40" i="131"/>
  <c r="K40" i="131"/>
  <c r="G45" i="33"/>
  <c r="F45" i="33"/>
  <c r="G44" i="33"/>
  <c r="F44" i="33"/>
  <c r="G43" i="33"/>
  <c r="F43" i="33"/>
  <c r="G42" i="33"/>
  <c r="F42" i="33"/>
  <c r="G41" i="33"/>
  <c r="F41" i="33"/>
  <c r="G40" i="33"/>
  <c r="F40" i="33"/>
  <c r="G39" i="33"/>
  <c r="F39" i="33"/>
  <c r="G38" i="33"/>
  <c r="F38" i="33"/>
  <c r="G37" i="33"/>
  <c r="F37" i="33"/>
  <c r="G34" i="33"/>
  <c r="F34" i="33"/>
  <c r="D37" i="33"/>
  <c r="D38" i="33"/>
  <c r="D39" i="33"/>
  <c r="D40" i="33"/>
  <c r="D41" i="33"/>
  <c r="D42" i="33"/>
  <c r="D43" i="33"/>
  <c r="D44" i="33"/>
  <c r="D45" i="33"/>
  <c r="C37" i="33"/>
  <c r="C38" i="33"/>
  <c r="C39" i="33"/>
  <c r="C40" i="33"/>
  <c r="C41" i="33"/>
  <c r="C42" i="33"/>
  <c r="C43" i="33"/>
  <c r="C44" i="33"/>
  <c r="C45" i="33"/>
  <c r="D34" i="33"/>
  <c r="C34" i="33"/>
  <c r="D31" i="33"/>
  <c r="I25" i="131" l="1"/>
  <c r="S46" i="33"/>
  <c r="R46" i="33"/>
  <c r="S32" i="33"/>
  <c r="R32" i="33"/>
  <c r="P46" i="33"/>
  <c r="O46" i="33"/>
  <c r="P32" i="33"/>
  <c r="O32" i="33"/>
  <c r="L46" i="33"/>
  <c r="M32" i="33"/>
  <c r="L32" i="33"/>
  <c r="J46" i="33"/>
  <c r="J32" i="33"/>
  <c r="I32" i="33"/>
  <c r="F46" i="33"/>
  <c r="G32" i="33"/>
  <c r="F32" i="33"/>
  <c r="D46" i="33"/>
  <c r="D32" i="33"/>
  <c r="C32" i="33"/>
  <c r="R47" i="33" l="1"/>
  <c r="S47" i="33"/>
  <c r="O47" i="33"/>
  <c r="G46" i="33"/>
  <c r="G47" i="33" s="1"/>
  <c r="M46" i="33"/>
  <c r="M47" i="33" s="1"/>
  <c r="C46" i="33"/>
  <c r="C47" i="33" s="1"/>
  <c r="I46" i="33"/>
  <c r="I47" i="33" s="1"/>
  <c r="P47" i="33"/>
  <c r="L47" i="33"/>
  <c r="J47" i="33"/>
  <c r="F47" i="33"/>
  <c r="D47" i="33"/>
  <c r="N13" i="129" l="1"/>
  <c r="N14" i="129"/>
  <c r="N15" i="129"/>
  <c r="N16" i="129"/>
  <c r="S22" i="33" l="1"/>
  <c r="R22" i="33"/>
  <c r="S21" i="33"/>
  <c r="R21" i="33"/>
  <c r="S20" i="33"/>
  <c r="R20" i="33"/>
  <c r="S19" i="33"/>
  <c r="R19" i="33"/>
  <c r="S18" i="33"/>
  <c r="R18" i="33"/>
  <c r="S17" i="33"/>
  <c r="R17" i="33"/>
  <c r="S16" i="33"/>
  <c r="R16" i="33"/>
  <c r="S15" i="33"/>
  <c r="R15" i="33"/>
  <c r="S14" i="33"/>
  <c r="R14" i="33"/>
  <c r="S12" i="33"/>
  <c r="R12" i="33"/>
  <c r="S9" i="33"/>
  <c r="S10" i="33" s="1"/>
  <c r="R9" i="33"/>
  <c r="R10" i="33" s="1"/>
  <c r="G26" i="134" l="1"/>
  <c r="N15" i="117" l="1"/>
  <c r="O15" i="117" s="1"/>
  <c r="N14" i="117"/>
  <c r="O14" i="117" s="1"/>
  <c r="N13" i="117"/>
  <c r="O13" i="117" s="1"/>
  <c r="N12" i="117"/>
  <c r="O12" i="117" s="1"/>
  <c r="P9" i="33" l="1"/>
  <c r="O9" i="33"/>
  <c r="P22" i="33" l="1"/>
  <c r="O22" i="33"/>
  <c r="P21" i="33"/>
  <c r="O21" i="33"/>
  <c r="P20" i="33"/>
  <c r="O20" i="33"/>
  <c r="P19" i="33"/>
  <c r="O19" i="33"/>
  <c r="P18" i="33"/>
  <c r="O18" i="33"/>
  <c r="P17" i="33"/>
  <c r="O17" i="33"/>
  <c r="P16" i="33"/>
  <c r="O16" i="33"/>
  <c r="P15" i="33"/>
  <c r="O15" i="33"/>
  <c r="P14" i="33"/>
  <c r="O14" i="33"/>
  <c r="P12" i="33"/>
  <c r="O12" i="33"/>
  <c r="F40" i="131" l="1"/>
  <c r="F25" i="131"/>
  <c r="N23" i="33"/>
  <c r="F26" i="134" l="1"/>
  <c r="I40" i="131" l="1"/>
  <c r="H40" i="131"/>
  <c r="G40" i="131"/>
  <c r="P10" i="33"/>
  <c r="M22" i="33" l="1"/>
  <c r="L22" i="33"/>
  <c r="M21" i="33"/>
  <c r="L21" i="33"/>
  <c r="L20" i="33"/>
  <c r="M19" i="33"/>
  <c r="L19" i="33"/>
  <c r="M18" i="33"/>
  <c r="L18" i="33"/>
  <c r="M17" i="33"/>
  <c r="L17" i="33"/>
  <c r="M16" i="33"/>
  <c r="L16" i="33"/>
  <c r="M15" i="33"/>
  <c r="L15" i="33"/>
  <c r="M14" i="33"/>
  <c r="L14" i="33"/>
  <c r="M12" i="33"/>
  <c r="L12" i="33"/>
  <c r="M9" i="33"/>
  <c r="M10" i="33" s="1"/>
  <c r="L9" i="33"/>
  <c r="L10" i="33" s="1"/>
  <c r="E25" i="131" l="1"/>
  <c r="M23" i="33"/>
  <c r="M24" i="33" s="1"/>
  <c r="L23" i="33"/>
  <c r="L24" i="33" s="1"/>
  <c r="J22" i="33" l="1"/>
  <c r="J21" i="33"/>
  <c r="J20" i="33"/>
  <c r="J19" i="33"/>
  <c r="J18" i="33"/>
  <c r="J17" i="33"/>
  <c r="J16" i="33"/>
  <c r="J15" i="33"/>
  <c r="J14" i="33"/>
  <c r="J12" i="33"/>
  <c r="J9" i="33"/>
  <c r="I22" i="33"/>
  <c r="I20" i="33"/>
  <c r="I19" i="33"/>
  <c r="I18" i="33"/>
  <c r="I17" i="33"/>
  <c r="I16" i="33"/>
  <c r="I15" i="33"/>
  <c r="I14" i="33"/>
  <c r="I12" i="33"/>
  <c r="I9" i="33"/>
  <c r="D25" i="131" l="1"/>
  <c r="D26" i="134"/>
  <c r="D17" i="33" l="1"/>
  <c r="C14" i="33"/>
  <c r="D16" i="33"/>
  <c r="M50" i="119" l="1"/>
  <c r="L50" i="119"/>
  <c r="K50" i="119"/>
  <c r="J50" i="119"/>
  <c r="I50" i="119"/>
  <c r="H50" i="119"/>
  <c r="G50" i="119"/>
  <c r="F50" i="119"/>
  <c r="E50" i="119"/>
  <c r="D50" i="119"/>
  <c r="C50" i="119"/>
  <c r="B50" i="119"/>
  <c r="B26" i="134"/>
  <c r="N40" i="134" l="1"/>
  <c r="O40" i="134" s="1"/>
  <c r="N39" i="134"/>
  <c r="O39" i="134" s="1"/>
  <c r="N38" i="134"/>
  <c r="O38" i="134" s="1"/>
  <c r="N37" i="134"/>
  <c r="O37" i="134" s="1"/>
  <c r="N33" i="134"/>
  <c r="O33" i="134" s="1"/>
  <c r="N32" i="134"/>
  <c r="O32" i="134" s="1"/>
  <c r="N31" i="134"/>
  <c r="N30" i="134"/>
  <c r="N29" i="134"/>
  <c r="O29" i="134" s="1"/>
  <c r="O34" i="134" l="1"/>
  <c r="N41" i="134"/>
  <c r="N34" i="134"/>
  <c r="N29" i="117" l="1"/>
  <c r="O29" i="117" s="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4" i="134"/>
  <c r="C16" i="33"/>
  <c r="H9" i="136" s="1"/>
  <c r="C17" i="33"/>
  <c r="H10" i="136" s="1"/>
  <c r="H7" i="136"/>
  <c r="E32" i="33"/>
  <c r="C15" i="33"/>
  <c r="H8" i="136" s="1"/>
  <c r="B36" i="119"/>
  <c r="B51" i="119" s="1"/>
  <c r="B53" i="119" s="1"/>
  <c r="Q15" i="134"/>
  <c r="Q26" i="134" s="1"/>
  <c r="P30" i="117"/>
  <c r="B20" i="117"/>
  <c r="C20" i="117"/>
  <c r="D20" i="117"/>
  <c r="E20" i="117"/>
  <c r="F20" i="117"/>
  <c r="G20" i="117"/>
  <c r="H20" i="117"/>
  <c r="I20" i="117"/>
  <c r="J20" i="117"/>
  <c r="K20" i="117"/>
  <c r="L20" i="117"/>
  <c r="M20" i="117"/>
  <c r="N48" i="117"/>
  <c r="O48" i="117" s="1"/>
  <c r="N34" i="117"/>
  <c r="O34" i="117" s="1"/>
  <c r="N33" i="117"/>
  <c r="O33" i="117" s="1"/>
  <c r="N36" i="117"/>
  <c r="O36" i="117" s="1"/>
  <c r="P38" i="117"/>
  <c r="N19" i="117"/>
  <c r="N11" i="117"/>
  <c r="N16" i="117" s="1"/>
  <c r="F15" i="33"/>
  <c r="G15" i="33"/>
  <c r="F16" i="33"/>
  <c r="G16" i="33"/>
  <c r="F17" i="33"/>
  <c r="G17" i="33"/>
  <c r="F18" i="33"/>
  <c r="F19" i="33"/>
  <c r="G18" i="33"/>
  <c r="G19" i="33"/>
  <c r="D14" i="33"/>
  <c r="F14" i="33"/>
  <c r="H20" i="136" s="1"/>
  <c r="G14" i="33"/>
  <c r="H33" i="136"/>
  <c r="H46" i="136"/>
  <c r="M17" i="129"/>
  <c r="M24" i="129"/>
  <c r="M28" i="129"/>
  <c r="M32" i="129"/>
  <c r="B32" i="129"/>
  <c r="C32" i="129"/>
  <c r="D32" i="129"/>
  <c r="E32" i="129"/>
  <c r="F32" i="129"/>
  <c r="G32" i="129"/>
  <c r="I32" i="129"/>
  <c r="J32" i="129"/>
  <c r="K32" i="129"/>
  <c r="L32" i="129"/>
  <c r="N47" i="117"/>
  <c r="O47" i="117" s="1"/>
  <c r="N46" i="117"/>
  <c r="O46" i="117" s="1"/>
  <c r="N45" i="117"/>
  <c r="H120" i="136"/>
  <c r="K16" i="117"/>
  <c r="H107" i="136"/>
  <c r="N9" i="119"/>
  <c r="B17" i="129"/>
  <c r="B24" i="129"/>
  <c r="B28" i="129"/>
  <c r="C24" i="129"/>
  <c r="D24" i="129"/>
  <c r="E24" i="129"/>
  <c r="F24" i="129"/>
  <c r="G24" i="129"/>
  <c r="H24" i="129"/>
  <c r="I24" i="129"/>
  <c r="N24" i="129" s="1"/>
  <c r="J24" i="129"/>
  <c r="K24" i="129"/>
  <c r="L24" i="129"/>
  <c r="D17" i="129"/>
  <c r="D28" i="129"/>
  <c r="F17" i="129"/>
  <c r="F28" i="129"/>
  <c r="L17" i="129"/>
  <c r="L28" i="129"/>
  <c r="Q16" i="117"/>
  <c r="G13" i="131"/>
  <c r="E13" i="131"/>
  <c r="G49" i="117"/>
  <c r="G42" i="117"/>
  <c r="G38" i="117"/>
  <c r="G30" i="117"/>
  <c r="G24" i="117"/>
  <c r="G16" i="117"/>
  <c r="D13" i="131"/>
  <c r="D41" i="134"/>
  <c r="C13" i="131"/>
  <c r="M16" i="117"/>
  <c r="L16" i="117"/>
  <c r="J16" i="117"/>
  <c r="I16" i="117"/>
  <c r="H16" i="117"/>
  <c r="F16" i="117"/>
  <c r="E16" i="117"/>
  <c r="D16" i="117"/>
  <c r="C16" i="117"/>
  <c r="P42" i="117"/>
  <c r="P24" i="117"/>
  <c r="P20" i="117"/>
  <c r="Q20" i="117"/>
  <c r="P41" i="134"/>
  <c r="M41" i="134"/>
  <c r="L41" i="134"/>
  <c r="K41" i="134"/>
  <c r="I41" i="134"/>
  <c r="H41" i="134"/>
  <c r="G41" i="134"/>
  <c r="F41" i="134"/>
  <c r="E41" i="134"/>
  <c r="C41" i="134"/>
  <c r="B41" i="134"/>
  <c r="L34" i="134"/>
  <c r="K34" i="134"/>
  <c r="J34" i="134"/>
  <c r="I34" i="134"/>
  <c r="H34" i="134"/>
  <c r="F34" i="134"/>
  <c r="E34" i="134"/>
  <c r="D34" i="134"/>
  <c r="B34" i="134"/>
  <c r="M26" i="134"/>
  <c r="L26" i="134"/>
  <c r="K26" i="134"/>
  <c r="J26" i="134"/>
  <c r="E26" i="134"/>
  <c r="C26" i="134"/>
  <c r="M49" i="117"/>
  <c r="L49" i="117"/>
  <c r="K49" i="117"/>
  <c r="B49" i="117"/>
  <c r="B42" i="117"/>
  <c r="B38" i="117"/>
  <c r="B30" i="117"/>
  <c r="B24" i="117"/>
  <c r="B16" i="117"/>
  <c r="C49" i="117"/>
  <c r="D49" i="117"/>
  <c r="E49" i="117"/>
  <c r="F49" i="117"/>
  <c r="F42" i="117"/>
  <c r="F38" i="117"/>
  <c r="F30" i="117"/>
  <c r="F24" i="117"/>
  <c r="H49" i="117"/>
  <c r="I49" i="117"/>
  <c r="J49" i="117"/>
  <c r="J42" i="117"/>
  <c r="J38" i="117"/>
  <c r="J24" i="117"/>
  <c r="R15" i="117"/>
  <c r="H73" i="136"/>
  <c r="H68" i="136"/>
  <c r="H72" i="136"/>
  <c r="H74" i="136"/>
  <c r="H75" i="136"/>
  <c r="H76" i="136"/>
  <c r="H77" i="136"/>
  <c r="H78" i="136"/>
  <c r="H79" i="136"/>
  <c r="D15" i="33"/>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2" i="117"/>
  <c r="I38" i="117"/>
  <c r="I30" i="117"/>
  <c r="I24" i="117"/>
  <c r="H42" i="117"/>
  <c r="H38" i="117"/>
  <c r="H30" i="117"/>
  <c r="H24" i="117"/>
  <c r="E42" i="117"/>
  <c r="D42" i="117"/>
  <c r="D38" i="117"/>
  <c r="D30" i="117"/>
  <c r="D24" i="117"/>
  <c r="C42" i="117"/>
  <c r="C38" i="117"/>
  <c r="C30" i="117"/>
  <c r="C24" i="117"/>
  <c r="E38" i="117"/>
  <c r="E30" i="117"/>
  <c r="E24" i="117"/>
  <c r="G4" i="117"/>
  <c r="N23" i="117"/>
  <c r="O23" i="117" s="1"/>
  <c r="K24" i="117"/>
  <c r="M24" i="117"/>
  <c r="Q24" i="117"/>
  <c r="N27" i="117"/>
  <c r="O27" i="117" s="1"/>
  <c r="N28" i="117"/>
  <c r="O28" i="117" s="1"/>
  <c r="M30" i="117"/>
  <c r="Q30" i="117"/>
  <c r="K38" i="117"/>
  <c r="L38" i="117"/>
  <c r="M38" i="117"/>
  <c r="M42" i="117"/>
  <c r="N41" i="117"/>
  <c r="O41" i="117" s="1"/>
  <c r="K42" i="117"/>
  <c r="L42" i="117"/>
  <c r="Q42" i="117"/>
  <c r="D9" i="33"/>
  <c r="D10" i="33" s="1"/>
  <c r="D12" i="33"/>
  <c r="D19" i="33"/>
  <c r="D21" i="33"/>
  <c r="D22" i="33"/>
  <c r="H81" i="136"/>
  <c r="H13" i="131"/>
  <c r="N34" i="129"/>
  <c r="N31" i="129"/>
  <c r="K28" i="129"/>
  <c r="K17" i="129"/>
  <c r="J28" i="129"/>
  <c r="I28" i="129"/>
  <c r="H28" i="129"/>
  <c r="G28" i="129"/>
  <c r="C28" i="129"/>
  <c r="N27" i="129"/>
  <c r="N23" i="129"/>
  <c r="J17" i="129"/>
  <c r="I17" i="129"/>
  <c r="H17" i="129"/>
  <c r="G17" i="129"/>
  <c r="C17" i="129"/>
  <c r="N12" i="129"/>
  <c r="E5" i="129"/>
  <c r="D14" i="120"/>
  <c r="D18" i="120"/>
  <c r="D22" i="120"/>
  <c r="B14" i="120"/>
  <c r="B18" i="120"/>
  <c r="B22" i="120"/>
  <c r="C14" i="120"/>
  <c r="C18" i="120"/>
  <c r="C22" i="120"/>
  <c r="E14" i="120"/>
  <c r="E18" i="120"/>
  <c r="E22" i="120"/>
  <c r="F14" i="120"/>
  <c r="F18" i="120"/>
  <c r="F22" i="120"/>
  <c r="G14" i="120"/>
  <c r="G18" i="120"/>
  <c r="G22" i="120"/>
  <c r="H14" i="120"/>
  <c r="H18" i="120"/>
  <c r="H22" i="120"/>
  <c r="I14" i="120"/>
  <c r="N14" i="120" s="1"/>
  <c r="I18" i="120"/>
  <c r="I22" i="120"/>
  <c r="J14" i="120"/>
  <c r="J18" i="120"/>
  <c r="J22" i="120"/>
  <c r="K14" i="120"/>
  <c r="K18" i="120"/>
  <c r="K22" i="120"/>
  <c r="L14" i="120"/>
  <c r="L18" i="120"/>
  <c r="L22" i="120"/>
  <c r="M14" i="120"/>
  <c r="M18" i="120"/>
  <c r="M22" i="120"/>
  <c r="N27" i="120"/>
  <c r="N26" i="120"/>
  <c r="N25" i="120"/>
  <c r="N21" i="120"/>
  <c r="N17" i="120"/>
  <c r="E4" i="120"/>
  <c r="I51" i="119"/>
  <c r="E3" i="119"/>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6" i="33"/>
  <c r="Q32" i="33"/>
  <c r="N46" i="33"/>
  <c r="K46" i="33"/>
  <c r="K32" i="33"/>
  <c r="H46" i="33"/>
  <c r="E46" i="33"/>
  <c r="B46" i="33"/>
  <c r="B32" i="33"/>
  <c r="H146" i="136"/>
  <c r="H25" i="131"/>
  <c r="H133" i="136"/>
  <c r="H94" i="136"/>
  <c r="N32" i="33"/>
  <c r="H32" i="33"/>
  <c r="C27" i="33"/>
  <c r="Q23" i="33"/>
  <c r="Q10" i="33"/>
  <c r="K23" i="33"/>
  <c r="H23" i="33"/>
  <c r="H66" i="136"/>
  <c r="H53" i="136"/>
  <c r="H40" i="136"/>
  <c r="G22" i="33"/>
  <c r="H27" i="136"/>
  <c r="C22" i="33"/>
  <c r="H14" i="136" s="1"/>
  <c r="G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I51" i="117" l="1"/>
  <c r="O45" i="117"/>
  <c r="O49" i="117" s="1"/>
  <c r="N49" i="117"/>
  <c r="N36" i="119"/>
  <c r="N51" i="119" s="1"/>
  <c r="O11" i="117"/>
  <c r="O16" i="117" s="1"/>
  <c r="E40" i="131"/>
  <c r="P15" i="36"/>
  <c r="Q51" i="117"/>
  <c r="O19" i="117"/>
  <c r="O20" i="117" s="1"/>
  <c r="N20" i="117"/>
  <c r="O24" i="117"/>
  <c r="R24" i="117" s="1"/>
  <c r="N24" i="117"/>
  <c r="P51" i="117"/>
  <c r="N24" i="33"/>
  <c r="D40" i="131"/>
  <c r="H147" i="136"/>
  <c r="H134" i="136"/>
  <c r="H82" i="136"/>
  <c r="H121" i="136"/>
  <c r="H108" i="136"/>
  <c r="H95" i="136"/>
  <c r="G147" i="136"/>
  <c r="G134" i="136"/>
  <c r="G121" i="136"/>
  <c r="G108" i="136"/>
  <c r="G95" i="136"/>
  <c r="G82" i="136"/>
  <c r="C25" i="131"/>
  <c r="C40" i="131"/>
  <c r="N47" i="33"/>
  <c r="H85" i="136"/>
  <c r="D42" i="36"/>
  <c r="B51" i="117"/>
  <c r="R33" i="117"/>
  <c r="R28" i="117"/>
  <c r="R34" i="117"/>
  <c r="R27" i="117"/>
  <c r="R13" i="117"/>
  <c r="R37" i="117"/>
  <c r="R48" i="117"/>
  <c r="R46"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7" i="33"/>
  <c r="H132" i="136"/>
  <c r="C10" i="33"/>
  <c r="H2" i="136"/>
  <c r="H67" i="136"/>
  <c r="H80" i="136"/>
  <c r="F10" i="33"/>
  <c r="H15" i="136"/>
  <c r="H41" i="136"/>
  <c r="I10" i="33"/>
  <c r="H28" i="136"/>
  <c r="O10" i="33"/>
  <c r="H54" i="136"/>
  <c r="H119" i="136"/>
  <c r="H106" i="136"/>
  <c r="H93" i="136"/>
  <c r="H145" i="136"/>
  <c r="D35" i="129"/>
  <c r="D36"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1" i="117"/>
  <c r="L15" i="36"/>
  <c r="E24" i="33"/>
  <c r="Q33" i="36"/>
  <c r="Q42" i="36" s="1"/>
  <c r="H15" i="36"/>
  <c r="X15" i="36"/>
  <c r="G15" i="36"/>
  <c r="C51" i="119"/>
  <c r="C53" i="119" s="1"/>
  <c r="Y13" i="36"/>
  <c r="E33" i="36"/>
  <c r="E42" i="36" s="1"/>
  <c r="F51" i="119"/>
  <c r="F53" i="119" s="1"/>
  <c r="D15" i="36"/>
  <c r="O15" i="36"/>
  <c r="L31" i="120"/>
  <c r="E35" i="129"/>
  <c r="E36" i="129" s="1"/>
  <c r="E7" i="36"/>
  <c r="E15" i="36" s="1"/>
  <c r="Q7" i="36"/>
  <c r="Q15" i="36" s="1"/>
  <c r="Y7" i="36"/>
  <c r="H42" i="36"/>
  <c r="B31" i="120"/>
  <c r="H35" i="129"/>
  <c r="H36" i="129" s="1"/>
  <c r="L51" i="117"/>
  <c r="R14" i="117"/>
  <c r="N32" i="129"/>
  <c r="L51" i="119"/>
  <c r="I33" i="36"/>
  <c r="K31" i="120"/>
  <c r="F31" i="120"/>
  <c r="E31" i="120"/>
  <c r="B35" i="129"/>
  <c r="B36" i="129" s="1"/>
  <c r="M35" i="129"/>
  <c r="L35" i="129"/>
  <c r="O41" i="134"/>
  <c r="C23" i="33"/>
  <c r="M51" i="119"/>
  <c r="E51" i="119"/>
  <c r="E53" i="119" s="1"/>
  <c r="G51" i="119"/>
  <c r="G53" i="119" s="1"/>
  <c r="J51" i="119"/>
  <c r="D51" i="119"/>
  <c r="D53" i="119" s="1"/>
  <c r="K51" i="119"/>
  <c r="Q24" i="33"/>
  <c r="C31" i="120"/>
  <c r="I35" i="129"/>
  <c r="D51" i="117"/>
  <c r="G51" i="117"/>
  <c r="G23" i="33"/>
  <c r="G24" i="33" s="1"/>
  <c r="B24" i="33"/>
  <c r="Q47" i="33"/>
  <c r="I7" i="36"/>
  <c r="I15" i="36" s="1"/>
  <c r="T15" i="36"/>
  <c r="Y33" i="36"/>
  <c r="Y42" i="36" s="1"/>
  <c r="M40" i="36"/>
  <c r="H51" i="119"/>
  <c r="H53" i="119" s="1"/>
  <c r="M31" i="120"/>
  <c r="I31" i="120"/>
  <c r="N31" i="120" s="1"/>
  <c r="C35" i="129"/>
  <c r="C36" i="129" s="1"/>
  <c r="J35" i="129"/>
  <c r="G35" i="129"/>
  <c r="G36" i="129" s="1"/>
  <c r="K35" i="129"/>
  <c r="H24" i="33"/>
  <c r="E51" i="117"/>
  <c r="O23" i="33"/>
  <c r="K47" i="33"/>
  <c r="W15" i="36"/>
  <c r="G42" i="36"/>
  <c r="U33" i="36"/>
  <c r="U42" i="36" s="1"/>
  <c r="J31" i="120"/>
  <c r="F51" i="117"/>
  <c r="M51" i="117"/>
  <c r="K15" i="36"/>
  <c r="S42" i="36"/>
  <c r="W42" i="36"/>
  <c r="I40" i="36"/>
  <c r="D31" i="120"/>
  <c r="N42" i="117"/>
  <c r="K51" i="117"/>
  <c r="I4" i="33"/>
  <c r="F27" i="33"/>
  <c r="G4" i="33"/>
  <c r="G27" i="33" s="1"/>
  <c r="N28" i="129"/>
  <c r="N17" i="129"/>
  <c r="M33" i="36"/>
  <c r="K42" i="36"/>
  <c r="K24" i="33"/>
  <c r="U7" i="36"/>
  <c r="U15" i="36" s="1"/>
  <c r="D23" i="33"/>
  <c r="D24" i="33" s="1"/>
  <c r="C51" i="117"/>
  <c r="F35" i="129"/>
  <c r="F36" i="129" s="1"/>
  <c r="R47" i="117"/>
  <c r="J23" i="33"/>
  <c r="J24" i="33" s="1"/>
  <c r="P23" i="33"/>
  <c r="P24" i="33" s="1"/>
  <c r="E47" i="33"/>
  <c r="B47" i="33"/>
  <c r="H31" i="120"/>
  <c r="F23" i="33"/>
  <c r="I23" i="33"/>
  <c r="R41" i="117"/>
  <c r="O42" i="117"/>
  <c r="R42" i="117" s="1"/>
  <c r="R36" i="117"/>
  <c r="N38" i="117"/>
  <c r="N30" i="117"/>
  <c r="H51" i="117"/>
  <c r="R12" i="117"/>
  <c r="B25" i="131"/>
  <c r="G31" i="120"/>
  <c r="R23" i="33"/>
  <c r="S23" i="33"/>
  <c r="S24" i="33" s="1"/>
  <c r="R11" i="117" l="1"/>
  <c r="N51" i="117"/>
  <c r="N53" i="119"/>
  <c r="N35" i="129"/>
  <c r="Y15" i="36"/>
  <c r="R49" i="117"/>
  <c r="R45" i="117"/>
  <c r="R23" i="117"/>
  <c r="I42" i="36"/>
  <c r="O30" i="117"/>
  <c r="R30" i="117" s="1"/>
  <c r="B40" i="131"/>
  <c r="O38" i="117"/>
  <c r="R38" i="117" s="1"/>
  <c r="C24" i="33"/>
  <c r="O24" i="33"/>
  <c r="R24" i="33"/>
  <c r="I24" i="33"/>
  <c r="F24" i="33"/>
  <c r="N36" i="129"/>
  <c r="M42" i="36"/>
  <c r="J4" i="33"/>
  <c r="J27" i="33" s="1"/>
  <c r="I27" i="33"/>
  <c r="L4" i="33"/>
  <c r="R16" i="117" l="1"/>
  <c r="O51" i="117"/>
  <c r="R51" i="117" s="1"/>
  <c r="M4" i="33"/>
  <c r="M27" i="33" s="1"/>
  <c r="O4" i="33"/>
  <c r="L27" i="33"/>
  <c r="O27" i="33" l="1"/>
  <c r="P4" i="33"/>
  <c r="P27" i="33" s="1"/>
  <c r="R4" i="33"/>
  <c r="S4" i="33" l="1"/>
  <c r="S27" i="33" s="1"/>
  <c r="R27" i="33"/>
</calcChain>
</file>

<file path=xl/sharedStrings.xml><?xml version="1.0" encoding="utf-8"?>
<sst xmlns="http://schemas.openxmlformats.org/spreadsheetml/2006/main" count="1431" uniqueCount="387">
  <si>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</si>
  <si>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</si>
  <si>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</si>
  <si>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</si>
  <si>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</si>
  <si>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</si>
  <si>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</si>
  <si>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</si>
  <si>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</si>
  <si>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</si>
  <si>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</si>
  <si>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</si>
  <si>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</si>
  <si>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</si>
  <si>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</si>
  <si>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</si>
  <si>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</si>
  <si>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</si>
  <si>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</si>
  <si>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</si>
  <si>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</si>
  <si>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</si>
  <si>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</si>
  <si>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</si>
  <si>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</si>
  <si>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</si>
  <si>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</si>
  <si>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</si>
  <si>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</si>
  <si>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</si>
  <si>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</si>
  <si>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</si>
  <si>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</si>
  <si>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</si>
  <si>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</si>
  <si>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</si>
  <si>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</si>
  <si>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</si>
  <si>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</si>
  <si>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</si>
  <si>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</si>
  <si>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</si>
  <si>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</si>
  <si>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</si>
  <si>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</si>
  <si>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</si>
  <si>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</si>
  <si>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</si>
  <si>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</si>
  <si>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</si>
  <si>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</si>
  <si>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</si>
  <si>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</si>
  <si>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</si>
  <si>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</si>
  <si>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</si>
  <si>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Sub-Total Demand Response Programs</t>
  </si>
  <si>
    <t>Total All Programs</t>
  </si>
  <si>
    <t>July</t>
  </si>
  <si>
    <t>August</t>
  </si>
  <si>
    <t>September</t>
  </si>
  <si>
    <t>October</t>
  </si>
  <si>
    <t>November</t>
  </si>
  <si>
    <t>December</t>
  </si>
  <si>
    <t xml:space="preserve">Ex Ante Estimated MW </t>
  </si>
  <si>
    <t xml:space="preserve">Ex Post Estimated MW </t>
  </si>
  <si>
    <t>Capacity Bidding Residential Pilot (CBP Pilot)</t>
  </si>
  <si>
    <t xml:space="preserve"> </t>
  </si>
  <si>
    <t>Notes:</t>
  </si>
  <si>
    <r>
      <rPr>
        <vertAlign val="superscript"/>
        <sz val="11"/>
        <color rgb="FFFF0000"/>
        <rFont val="Arial"/>
        <family val="2"/>
      </rPr>
      <t>1</t>
    </r>
    <r>
      <rPr>
        <sz val="11"/>
        <rFont val="Arial"/>
        <family val="2"/>
      </rPr>
      <t xml:space="preserve">  The Ex-Ante average per customer estimates are based on Program Year 2020 SDG&amp;E DR Load Impacts report filed April 1st, 2021 for the months of January thru March. The Ex-Ante average per customer estimates are based on Program Year 2021 SDG&amp;E DR Load Impacts report filed April 1st, 2021 for the months of April thru December.</t>
    </r>
  </si>
  <si>
    <t xml:space="preserve">  The Ex-Ante average per customer estimates for CBP Day Ahead and Day Of include the elect and non-elect option</t>
  </si>
  <si>
    <r>
      <rPr>
        <vertAlign val="superscript"/>
        <sz val="11"/>
        <color rgb="FFFF0000"/>
        <rFont val="Arial"/>
        <family val="2"/>
      </rPr>
      <t xml:space="preserve">2 </t>
    </r>
    <r>
      <rPr>
        <sz val="11"/>
        <rFont val="Arial"/>
        <family val="2"/>
      </rPr>
      <t xml:space="preserve"> The Ex-Post average per customer estimates are based on Program Year 2020 SDG&amp;E DR Load Impacts report filed April 1st, 2021 for the months of January thru March. The Ex-Post average per customer estimates are based on Program Year 2021 SDG&amp;E DR Load Impacts report filed April 1st, 2021 for the months of April thru December for CBP Non-elect option, BIP, AC Saver Day Of (Commercial and Residential), and AC Saver Day Ahead Residential.</t>
    </r>
  </si>
  <si>
    <t xml:space="preserve">   The Ex-post per customer are based on Program Year 2021 ex-ante per customer for the year of 2021 for the programs AC Saver Day Ahead Commercial, CPP, TOU-DR-P Voluntary Residential, TOU-A-P Small Commercial CPP, TOU-PA-P Aggricultural and CBP Elect Option due to SDG&amp;E did not trigger these programs in 2021.</t>
  </si>
  <si>
    <t xml:space="preserve">  The Ex-post average per customer estimates for CBP Day Ahead and Day Of include the elect and non-elect option</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</si>
  <si>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</si>
  <si>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</si>
  <si>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t>-  The reduction in the number of customers on AC Saver Day-Ahead Commercial in March is due to the un-enrollment of customer with thermostat that had been offline for more then 18 months.</t>
  </si>
  <si>
    <t>-  Capacity Bidding Program reports the number of nominations not enrollments.</t>
  </si>
  <si>
    <t>-  Count of Service Accounts reported for TOU-PA-P Agricultural, TOU-A-P Small Commercial and TOU-DR-P Voluntary Residential for April 2021 includes accounts enrolled through May 13, 2021 due to Envision cutover data validation activities.</t>
  </si>
  <si>
    <t xml:space="preserve">-  The reduction in the number of customer on AC Saver day-ahead residential in June, is due to approximately 2,500 customers with Google-Nest devices did not agree to the new Google terms and conditions. </t>
  </si>
  <si>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</si>
  <si>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</si>
  <si>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t xml:space="preserve">-  The "TOU-DR-P Voluntary Residential" and “TOU-A-P Small Commercial” service accounts numbers were inadvertently reported on the wrong row January through June.  This report has been corrected to reflect the service account numbers for both programs. </t>
  </si>
  <si>
    <t>-  Corrected may data to include only active accounts for CPPD.</t>
  </si>
  <si>
    <t>(End of page)</t>
  </si>
  <si>
    <t>Average Ex Ante Load Impact kW / Customer</t>
  </si>
  <si>
    <t>Eligible Accounts as of January</t>
  </si>
  <si>
    <t>Eligibility Criteria (Refer to tariff for specifics)</t>
  </si>
  <si>
    <t>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</si>
  <si>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</si>
  <si>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</si>
  <si>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</si>
  <si>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</si>
  <si>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</si>
  <si>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</si>
  <si>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</si>
  <si>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</si>
  <si>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</si>
  <si>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Ex-Ante average per customer estimates are based on Program Year 2020 SDG&amp;E DR Load Impacts report filed April 1st, 2021 for the months of January thru March. The Ex-Ante average per customer estimates are based on Program Year 2021 SDG&amp;E DR Load Impacts report filed April 1st, 2021 for the months of April thru December.</t>
  </si>
  <si>
    <t>-  CPP-D, TOU-DR-P (Voluntary Residential) and TOU-A-P (Small Commercial) ex-ante estimates include Technology Deployment (TD).</t>
  </si>
  <si>
    <t>-  The Ex-Ante average per customer estimates for CBP Day Ahead and Day Of include the elect and non-elect option</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</si>
  <si>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</si>
  <si>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</si>
  <si>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t>
  </si>
  <si>
    <t>Average Ex Post Load Impact kW / Customer</t>
  </si>
  <si>
    <t xml:space="preserve">Notes: </t>
  </si>
  <si>
    <t xml:space="preserve">-  The Ex-Post average per customer estimates are based on Program Year 2020 SDG&amp;E DR Load Impacts report filed April 1st, 2021 for the months of January thru March. The Ex-Post average per customer estimates are based on Program Year 2021 SDG&amp;E DR Load Impacts report filed April 1st, 2021 for the months of April thru December for CBP Non-elect option, BIP, AC Saver Day Of (Commercial and Residential), and AC Saver Day Ahead Residential. </t>
  </si>
  <si>
    <t>- The Ex-post per customer are based on Program Year 2021 ex-ante per customer for the year of 2021 for the programs AC Saver Day Ahead Commercial, CPP, TOU-DR-P Voluntary Residential, TOU-A-P Small Commercial CPP, TOU-PA-P Aggricultural and CBP Elect Option due to SDG&amp;E did not trigger these programs in 2021.</t>
  </si>
  <si>
    <t>- The Ex-post average per customer estimates for CBP Day Ahead and Day Of include the elect and non-elect option</t>
  </si>
  <si>
    <t>-  CPP-D, TOU-DR-P (Voluntary Residential) and TOU-A-P (Small Commercial) include Technology Deployment (TD).</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</si>
  <si>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</si>
  <si>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</si>
  <si>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</si>
  <si>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</si>
  <si>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</si>
  <si>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</si>
  <si>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</si>
  <si>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</si>
  <si>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</si>
  <si>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</si>
  <si>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</si>
  <si>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</si>
  <si>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</si>
  <si>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</si>
  <si>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</si>
  <si>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</si>
  <si>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</si>
  <si>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</si>
  <si>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</si>
  <si>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</si>
  <si>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</si>
  <si>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</si>
  <si>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</si>
  <si>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</si>
  <si>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</si>
  <si>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</si>
  <si>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</si>
  <si>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</si>
  <si>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</si>
  <si>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</si>
  <si>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EVENT SUMMARY</t>
  </si>
  <si>
    <t>Year-to-Date Event Summary</t>
  </si>
  <si>
    <t>Program Category</t>
  </si>
  <si>
    <t>Event No.</t>
  </si>
  <si>
    <t>Date</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</si>
  <si>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</si>
  <si>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</si>
  <si>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</si>
  <si>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</si>
  <si>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DA Residential</t>
  </si>
  <si>
    <t>Heat Rate</t>
  </si>
  <si>
    <t>6:00pm-8:00pm</t>
  </si>
  <si>
    <t>AC Saver DO (Summer Saver) Commercial &amp; Residential</t>
  </si>
  <si>
    <t>CBP DO 1pm- 9pm ($400)</t>
  </si>
  <si>
    <t>Real Time Price</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</si>
  <si>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</si>
  <si>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</si>
  <si>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 xml:space="preserve">SAN DIEGO GAS &amp; ELECTRIC REPORT COMPANY ON INTERRUPTIBLE LOAD AND DEMAND RESPONSE PROGRAMS </t>
  </si>
  <si>
    <t>YEAR TO DATE PROGRAM EXPENDITURES</t>
  </si>
  <si>
    <t>Cost Item</t>
  </si>
  <si>
    <t>Year-to Date 2022 Expenditures</t>
  </si>
  <si>
    <t>Program Cycle-to Date 2018-2022 Expenditures</t>
  </si>
  <si>
    <t>5-Year Funding (2018-2022)</t>
  </si>
  <si>
    <r>
      <t xml:space="preserve">Fund shift Adjustments </t>
    </r>
    <r>
      <rPr>
        <b/>
        <vertAlign val="superscript"/>
        <sz val="10"/>
        <color rgb="FFFF0000"/>
        <rFont val="Arial"/>
        <family val="2"/>
      </rPr>
      <t>6</t>
    </r>
  </si>
  <si>
    <t>Percent Funding</t>
  </si>
  <si>
    <t>Category 1: Supply Side DR Programs</t>
  </si>
  <si>
    <r>
      <t>AC Saver Day-Ahead</t>
    </r>
    <r>
      <rPr>
        <b/>
        <vertAlign val="superscript"/>
        <sz val="10"/>
        <color rgb="FFFF0000"/>
        <rFont val="Arial"/>
        <family val="2"/>
      </rPr>
      <t>1</t>
    </r>
    <r>
      <rPr>
        <vertAlign val="superscript"/>
        <sz val="10"/>
        <color rgb="FFFF0000"/>
        <rFont val="Arial"/>
        <family val="2"/>
      </rPr>
      <t>,4</t>
    </r>
  </si>
  <si>
    <r>
      <t>AC Saver Day-Of</t>
    </r>
    <r>
      <rPr>
        <b/>
        <vertAlign val="superscript"/>
        <sz val="10"/>
        <color rgb="FFFF0000"/>
        <rFont val="Arial"/>
        <family val="2"/>
      </rPr>
      <t>1</t>
    </r>
    <r>
      <rPr>
        <vertAlign val="superscript"/>
        <sz val="10"/>
        <color rgb="FFFF0000"/>
        <rFont val="Arial"/>
        <family val="2"/>
      </rPr>
      <t>,4</t>
    </r>
  </si>
  <si>
    <r>
      <t>Base Interruptible Program (BIP)</t>
    </r>
    <r>
      <rPr>
        <b/>
        <vertAlign val="superscript"/>
        <sz val="10"/>
        <color rgb="FFFF0000"/>
        <rFont val="Arial"/>
        <family val="2"/>
      </rPr>
      <t xml:space="preserve"> 1</t>
    </r>
    <r>
      <rPr>
        <vertAlign val="superscript"/>
        <sz val="10"/>
        <color rgb="FFFF0000"/>
        <rFont val="Arial"/>
        <family val="2"/>
      </rPr>
      <t>,4,5</t>
    </r>
  </si>
  <si>
    <r>
      <t>Capacity Bidding Program (CBP)</t>
    </r>
    <r>
      <rPr>
        <b/>
        <sz val="10"/>
        <rFont val="Arial"/>
        <family val="2"/>
      </rPr>
      <t xml:space="preserve"> </t>
    </r>
    <r>
      <rPr>
        <b/>
        <vertAlign val="superscript"/>
        <sz val="10"/>
        <color rgb="FFFF0000"/>
        <rFont val="Arial"/>
        <family val="2"/>
      </rPr>
      <t>3</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</si>
  <si>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</si>
  <si>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</si>
  <si>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</si>
  <si>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</si>
  <si>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</si>
  <si>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Demand Response Auction Mechanism Pilot (DRAM)</t>
    </r>
    <r>
      <rPr>
        <vertAlign val="superscript"/>
        <sz val="10"/>
        <color rgb="FFFF0000"/>
        <rFont val="Arial"/>
        <family val="2"/>
      </rPr>
      <t xml:space="preserve"> 5</t>
    </r>
  </si>
  <si>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</si>
  <si>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</si>
  <si>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</si>
  <si>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</si>
  <si>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</si>
  <si>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</si>
  <si>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</si>
  <si>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</si>
  <si>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r>
      <t xml:space="preserve">Constrained Local Capacity Program (CLCP) </t>
    </r>
    <r>
      <rPr>
        <vertAlign val="superscript"/>
        <sz val="10"/>
        <color rgb="FFFF0000"/>
        <rFont val="Arial"/>
        <family val="2"/>
      </rPr>
      <t>7</t>
    </r>
  </si>
  <si>
    <t>Capacity Bidding Program Residential Pilot (CBP)</t>
  </si>
  <si>
    <t xml:space="preserve">   Over Generation Pilot (OGP) </t>
  </si>
  <si>
    <t xml:space="preserve">   Small Business Energy Management Pilot (SBEMP)</t>
  </si>
  <si>
    <t xml:space="preserve"> Budget Category 5 Total</t>
  </si>
  <si>
    <t>Category 6:  Marketing, Education, and Outreach</t>
  </si>
  <si>
    <r>
      <t xml:space="preserve">Local Marketing Education &amp; Outreach (LME&amp;O) </t>
    </r>
    <r>
      <rPr>
        <vertAlign val="superscript"/>
        <sz val="10"/>
        <color rgb="FFFF0000"/>
        <rFont val="Arial"/>
        <family val="2"/>
      </rPr>
      <t>5</t>
    </r>
  </si>
  <si>
    <t xml:space="preserve"> Budget Category 6 Total</t>
  </si>
  <si>
    <t>Category 7:  Portfolio Support</t>
  </si>
  <si>
    <r>
      <t>Regulatory Policy &amp; Program Support (Gen. Admin.)</t>
    </r>
    <r>
      <rPr>
        <vertAlign val="superscript"/>
        <sz val="10"/>
        <color rgb="FFFF0000"/>
        <rFont val="Arial"/>
        <family val="2"/>
      </rPr>
      <t xml:space="preserve"> </t>
    </r>
  </si>
  <si>
    <t>IT Infrastructure &amp; Systems Support</t>
  </si>
  <si>
    <r>
      <t xml:space="preserve">EM&amp;V </t>
    </r>
    <r>
      <rPr>
        <vertAlign val="superscript"/>
        <sz val="10"/>
        <color rgb="FFFF0000"/>
        <rFont val="Arial"/>
        <family val="2"/>
      </rPr>
      <t>2</t>
    </r>
  </si>
  <si>
    <t>DR Potential Study</t>
  </si>
  <si>
    <t xml:space="preserve"> Budget Category 7 Total</t>
  </si>
  <si>
    <t>Total Incremental Cost</t>
  </si>
  <si>
    <r>
      <rPr>
        <vertAlign val="superscript"/>
        <sz val="10"/>
        <color rgb="FFC00000"/>
        <rFont val="Arial"/>
        <family val="2"/>
      </rPr>
      <t>1</t>
    </r>
    <r>
      <rPr>
        <sz val="10"/>
        <rFont val="Arial"/>
        <family val="2"/>
      </rPr>
      <t xml:space="preserve"> SDG&amp;E’s prior reports did not include bill credits for January 2022 through June 2022 due to software reprogramming issues. Those issues have been resolved and this report reflects the correct expenditures to date.</t>
    </r>
  </si>
  <si>
    <r>
      <rPr>
        <vertAlign val="superscript"/>
        <sz val="10"/>
        <color rgb="FFFF0000"/>
        <rFont val="Arial"/>
        <family val="2"/>
      </rPr>
      <t>2</t>
    </r>
    <r>
      <rPr>
        <sz val="10"/>
        <color rgb="FF000000"/>
        <rFont val="Arial"/>
        <family val="2"/>
      </rPr>
      <t xml:space="preserve"> Negative amount in January is due to an accrual reversal and true-up of December actual program expenditures.</t>
    </r>
  </si>
  <si>
    <r>
      <rPr>
        <b/>
        <vertAlign val="superscript"/>
        <sz val="10"/>
        <color rgb="FFFF0000"/>
        <rFont val="Arial"/>
        <family val="2"/>
      </rPr>
      <t>3</t>
    </r>
    <r>
      <rPr>
        <sz val="10"/>
        <rFont val="Arial"/>
        <family val="2"/>
      </rPr>
      <t xml:space="preserve"> Negative amount in March is primarily due to the correction of prior period labor costs.</t>
    </r>
  </si>
  <si>
    <r>
      <rPr>
        <vertAlign val="superscript"/>
        <sz val="10"/>
        <color rgb="FFFF0000"/>
        <rFont val="Arial"/>
        <family val="2"/>
      </rPr>
      <t>4</t>
    </r>
    <r>
      <rPr>
        <sz val="10"/>
        <rFont val="Arial"/>
        <family val="2"/>
      </rPr>
      <t xml:space="preserve"> Program Cycle to Date column "O" has been revised to include December 2021 Bill Credits. </t>
    </r>
  </si>
  <si>
    <r>
      <rPr>
        <vertAlign val="superscript"/>
        <sz val="10"/>
        <color rgb="FFFF0000"/>
        <rFont val="Arial"/>
        <family val="2"/>
      </rPr>
      <t>5</t>
    </r>
    <r>
      <rPr>
        <sz val="10"/>
        <rFont val="Arial"/>
        <family val="2"/>
      </rPr>
      <t xml:space="preserve"> Negative amount in July is due to the reversal of June program expense accruals. These program expenditures were not accrued in July but will be reaccrued or paid in August.</t>
    </r>
  </si>
  <si>
    <r>
      <rPr>
        <vertAlign val="superscript"/>
        <sz val="10"/>
        <color rgb="FFFF0000"/>
        <rFont val="Arial"/>
        <family val="2"/>
      </rPr>
      <t>6</t>
    </r>
    <r>
      <rPr>
        <sz val="10"/>
        <color rgb="FF000000"/>
        <rFont val="Arial"/>
        <family val="2"/>
      </rPr>
      <t xml:space="preserve"> Per Resolution E-4906 (issued 7/21/18), Ordering Paragraph 30 approved a total fund shift of $934,498 of which $234,498 shifted from the Capacity Bidding Program, and $700,000 From Technical Incentives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r>
  </si>
  <si>
    <r>
      <rPr>
        <vertAlign val="superscript"/>
        <sz val="10"/>
        <color rgb="FFFF0000"/>
        <rFont val="Arial"/>
        <family val="2"/>
      </rPr>
      <t>7</t>
    </r>
    <r>
      <rPr>
        <sz val="10"/>
        <rFont val="Arial"/>
        <family val="2"/>
      </rPr>
      <t xml:space="preserve"> Negative Amount in August is due to labor reversals due to updated labor allocations</t>
    </r>
  </si>
  <si>
    <t>NOTE:  Any required corrections/adjustments are reported herein and supersede results reported in prior months and may reflect YTD adjustments.</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</si>
  <si>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</si>
  <si>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</si>
  <si>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</si>
  <si>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</si>
  <si>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</si>
  <si>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</si>
  <si>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</si>
  <si>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</si>
  <si>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</si>
  <si>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</si>
  <si>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</si>
  <si>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NA</t>
  </si>
  <si>
    <t>Jan and Feb revision due to correction of cell reference error.  See cells with Yellow highlight.</t>
  </si>
  <si>
    <t>MARKETING, EDUCATION &amp; OUTREACH</t>
  </si>
  <si>
    <t>2022 Expenditures for Marketing, Education and Outreach</t>
  </si>
  <si>
    <r>
      <t xml:space="preserve">Program Cycle-to Date 2018-2022 Expenditures </t>
    </r>
    <r>
      <rPr>
        <b/>
        <vertAlign val="superscript"/>
        <sz val="10"/>
        <color rgb="FFFF0000"/>
        <rFont val="Calibri"/>
        <family val="2"/>
      </rPr>
      <t>7</t>
    </r>
  </si>
  <si>
    <r>
      <t xml:space="preserve">Authorized Budget (if Applicable) </t>
    </r>
    <r>
      <rPr>
        <b/>
        <vertAlign val="superscript"/>
        <sz val="10"/>
        <color rgb="FFFF0000"/>
        <rFont val="Calibri"/>
        <family val="2"/>
      </rPr>
      <t>1</t>
    </r>
  </si>
  <si>
    <r>
      <t xml:space="preserve">July </t>
    </r>
    <r>
      <rPr>
        <b/>
        <vertAlign val="superscript"/>
        <sz val="10"/>
        <color rgb="FFFF0000"/>
        <rFont val="Arial"/>
        <family val="2"/>
      </rPr>
      <t>6</t>
    </r>
  </si>
  <si>
    <t>Carryover Expenditures to Date 2012 - 2014</t>
  </si>
  <si>
    <t>I. UTILITY MARKETING BY ACTIVITY</t>
  </si>
  <si>
    <r>
      <t>PROGRAMS, RATES &amp; ACTIVITES WHICH DO NOT REQUIRE ITEMIZED ACCOUNTING</t>
    </r>
    <r>
      <rPr>
        <b/>
        <vertAlign val="superscript"/>
        <sz val="10"/>
        <rFont val="Arial"/>
        <family val="2"/>
      </rPr>
      <t xml:space="preserve"> 1,2</t>
    </r>
  </si>
  <si>
    <r>
      <t>Local IDSM Marketing</t>
    </r>
    <r>
      <rPr>
        <vertAlign val="superscript"/>
        <sz val="10"/>
        <color rgb="FFFF0000"/>
        <rFont val="Arial"/>
        <family val="2"/>
      </rPr>
      <t xml:space="preserve"> 3</t>
    </r>
  </si>
  <si>
    <r>
      <t>Base Interruptible Program</t>
    </r>
    <r>
      <rPr>
        <vertAlign val="superscript"/>
        <sz val="9"/>
        <color rgb="FFFF0000"/>
        <rFont val="Arial"/>
        <family val="2"/>
      </rPr>
      <t xml:space="preserve"> </t>
    </r>
    <r>
      <rPr>
        <sz val="8"/>
        <color rgb="FFFF0000"/>
        <rFont val="Arial"/>
        <family val="2"/>
      </rPr>
      <t>4</t>
    </r>
  </si>
  <si>
    <t xml:space="preserve">Back Up Generators (BUGs) </t>
  </si>
  <si>
    <t xml:space="preserve">Capacity Bidding Program </t>
  </si>
  <si>
    <r>
      <t>AC Saver Day Ahead</t>
    </r>
    <r>
      <rPr>
        <vertAlign val="superscript"/>
        <sz val="10"/>
        <color rgb="FFFF0000"/>
        <rFont val="Arial"/>
        <family val="2"/>
      </rPr>
      <t xml:space="preserve"> </t>
    </r>
    <r>
      <rPr>
        <vertAlign val="superscript"/>
        <sz val="9"/>
        <color rgb="FFFF0000"/>
        <rFont val="Arial"/>
        <family val="2"/>
      </rPr>
      <t>4</t>
    </r>
  </si>
  <si>
    <t>AC Saver Day Of</t>
  </si>
  <si>
    <t xml:space="preserve">Technology Deployment </t>
  </si>
  <si>
    <t>Technology Incentives</t>
  </si>
  <si>
    <r>
      <t>Smart Pricing</t>
    </r>
    <r>
      <rPr>
        <vertAlign val="superscript"/>
        <sz val="10"/>
        <color rgb="FFFF0000"/>
        <rFont val="Arial"/>
        <family val="2"/>
      </rPr>
      <t xml:space="preserve"> </t>
    </r>
  </si>
  <si>
    <t>ELRP</t>
  </si>
  <si>
    <t>SCTD-2018 Only</t>
  </si>
  <si>
    <t>Small Commercial Energy Management</t>
  </si>
  <si>
    <r>
      <t>FLEX Alert CFA</t>
    </r>
    <r>
      <rPr>
        <vertAlign val="superscript"/>
        <sz val="10"/>
        <color rgb="FFFF0000"/>
        <rFont val="Arial"/>
        <family val="2"/>
      </rPr>
      <t xml:space="preserve"> 5</t>
    </r>
  </si>
  <si>
    <r>
      <t xml:space="preserve">FLEX Alert Admin - Phase 1 </t>
    </r>
    <r>
      <rPr>
        <vertAlign val="superscript"/>
        <sz val="10"/>
        <color rgb="FFFF0000"/>
        <rFont val="Arial"/>
        <family val="2"/>
      </rPr>
      <t>5</t>
    </r>
  </si>
  <si>
    <t>I. TOTAL UTILITY MARKETING BY ACTIVITY</t>
  </si>
  <si>
    <t xml:space="preserve">II. UTILITY MARKETING BY ITEMIZED COST </t>
  </si>
  <si>
    <t>Customer Research</t>
  </si>
  <si>
    <t xml:space="preserve">Collateral- Development, Printing, Distribution etc. (all non-labor costs) </t>
  </si>
  <si>
    <r>
      <t>Labor</t>
    </r>
    <r>
      <rPr>
        <vertAlign val="superscript"/>
        <sz val="10"/>
        <color rgb="FFFF0000"/>
        <rFont val="Arial"/>
        <family val="2"/>
      </rPr>
      <t xml:space="preserve"> 3</t>
    </r>
  </si>
  <si>
    <r>
      <t>Paid Media</t>
    </r>
    <r>
      <rPr>
        <vertAlign val="superscript"/>
        <sz val="10"/>
        <color rgb="FFFF0000"/>
        <rFont val="Arial"/>
        <family val="2"/>
      </rPr>
      <t xml:space="preserve"> </t>
    </r>
  </si>
  <si>
    <t>Other Costs</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</si>
  <si>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</si>
  <si>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</si>
  <si>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</si>
  <si>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</si>
  <si>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r>
      <t xml:space="preserve">Small and Medium Commercial </t>
    </r>
    <r>
      <rPr>
        <vertAlign val="superscript"/>
        <sz val="10"/>
        <color rgb="FFFF0000"/>
        <rFont val="Arial"/>
        <family val="2"/>
      </rPr>
      <t>3</t>
    </r>
  </si>
  <si>
    <r>
      <t>Residential</t>
    </r>
    <r>
      <rPr>
        <vertAlign val="superscript"/>
        <sz val="10"/>
        <color rgb="FFFF0000"/>
        <rFont val="Arial"/>
        <family val="2"/>
      </rPr>
      <t xml:space="preserve"> 3</t>
    </r>
  </si>
  <si>
    <t>III. TOTAL UTILITY MARKETING BY CUSTOMER SEGMENT</t>
  </si>
  <si>
    <r>
      <rPr>
        <vertAlign val="superscript"/>
        <sz val="10"/>
        <color rgb="FFFF0000"/>
        <rFont val="Arial"/>
        <family val="2"/>
      </rPr>
      <t xml:space="preserve">1 </t>
    </r>
    <r>
      <rPr>
        <sz val="10"/>
        <rFont val="Arial"/>
        <family val="2"/>
      </rPr>
      <t>LME&amp;O Approved Budget is a Five (5) Year Program Cycle 2018-2022 with the exception of Local IDSM Marketing which is funded per the approved Advice Letter 3598-E_2898-G/3599-E_2897G.</t>
    </r>
  </si>
  <si>
    <r>
      <rPr>
        <vertAlign val="superscript"/>
        <sz val="10"/>
        <color rgb="FFFF0000"/>
        <rFont val="Arial"/>
        <family val="2"/>
      </rPr>
      <t>2</t>
    </r>
    <r>
      <rPr>
        <sz val="10"/>
        <rFont val="Arial"/>
        <family val="2"/>
      </rPr>
      <t xml:space="preserve"> Programs, Rates &amp; Activities do not include "Critical Peak Pricing &gt; 200kW" (CPP-D) as program funding is not approved or directed in D. 17.12.003.</t>
    </r>
  </si>
  <si>
    <r>
      <rPr>
        <b/>
        <vertAlign val="superscript"/>
        <sz val="10"/>
        <color rgb="FFFF0000"/>
        <rFont val="Arial"/>
        <family val="2"/>
      </rPr>
      <t>3</t>
    </r>
    <r>
      <rPr>
        <sz val="10"/>
        <rFont val="Arial"/>
        <family val="2"/>
      </rPr>
      <t xml:space="preserve"> Negative amount in January is primarily due to the correction of prior period labor costs.</t>
    </r>
  </si>
  <si>
    <r>
      <rPr>
        <vertAlign val="superscript"/>
        <sz val="10"/>
        <color rgb="FFFF0000"/>
        <rFont val="Arial"/>
        <family val="2"/>
      </rPr>
      <t>4</t>
    </r>
    <r>
      <rPr>
        <sz val="10"/>
        <rFont val="Arial"/>
        <family val="2"/>
      </rPr>
      <t xml:space="preserve"> Negative amount in April is due to an accrual reversal and true-up of actual program expenditures.</t>
    </r>
  </si>
  <si>
    <r>
      <rPr>
        <vertAlign val="superscript"/>
        <sz val="10"/>
        <color rgb="FFFF0000"/>
        <rFont val="Arial"/>
        <family val="2"/>
      </rPr>
      <t>5</t>
    </r>
    <r>
      <rPr>
        <sz val="10"/>
        <color rgb="FF000000"/>
        <rFont val="Arial"/>
        <family val="2"/>
      </rPr>
      <t xml:space="preserve"> Flex Alert was approved in D. 21.03.056 and modified by D.21.12.015.</t>
    </r>
  </si>
  <si>
    <r>
      <rPr>
        <vertAlign val="superscript"/>
        <sz val="10"/>
        <color rgb="FFFF0000"/>
        <rFont val="Arial"/>
        <family val="2"/>
      </rPr>
      <t>6</t>
    </r>
    <r>
      <rPr>
        <sz val="10"/>
        <rFont val="Arial"/>
        <family val="2"/>
      </rPr>
      <t xml:space="preserve"> Negative amount in July is due to the reversal of June program expense accruals. These program expenditures were not accrued in July but will be reaccrued or paid in August.</t>
    </r>
  </si>
  <si>
    <r>
      <rPr>
        <vertAlign val="superscript"/>
        <sz val="10"/>
        <color rgb="FFFF0000"/>
        <rFont val="Arial"/>
        <family val="2"/>
      </rPr>
      <t>7</t>
    </r>
    <r>
      <rPr>
        <sz val="10"/>
        <color rgb="FF000000"/>
        <rFont val="Arial"/>
        <family val="2"/>
      </rPr>
      <t xml:space="preserve"> Program Cycle-to-Date 2012022 Expenditure have been updated to include 2021 expenditures.</t>
    </r>
  </si>
  <si>
    <t>FUND SHIFT LOG</t>
  </si>
  <si>
    <t>Program Cycle to Date (2018 - 2022)</t>
  </si>
  <si>
    <t>Fund Shift</t>
  </si>
  <si>
    <t>Programs Impacted</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</si>
  <si>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</si>
  <si>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</si>
  <si>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</si>
  <si>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Category 4: Emerging &amp; Enabling Technologies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</si>
  <si>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</si>
  <si>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</si>
  <si>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Category 7: Portfolio Support</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</si>
  <si>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</si>
  <si>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</si>
  <si>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</si>
  <si>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</si>
  <si>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</si>
  <si>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Regulatory Policy &amp; Program Support (Gen. Admin.)</t>
  </si>
  <si>
    <t>Shifting the funds to IT will allow SDG&amp;E to properly maintain systems to ensure compliance and customer experience. IT is projected to be overspent; M&amp;E and Policy (Gen Admin) have unspent dollars that can be applied towards the IT shortfall.</t>
  </si>
  <si>
    <t xml:space="preserve">EM&amp;V </t>
  </si>
  <si>
    <t xml:space="preserve">IT Infrastructure &amp; Systems Support </t>
  </si>
  <si>
    <t>-  All Fund Shifting Rules remain in effect as adopted in D.12-04-045 as referenced in D.17-12-003 at page 131.</t>
  </si>
  <si>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</si>
  <si>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</si>
  <si>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</si>
  <si>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</si>
  <si>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</si>
  <si>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</si>
  <si>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r>
      <rPr>
        <vertAlign val="superscript"/>
        <sz val="9"/>
        <color rgb="FFFF0000"/>
        <rFont val="Arial"/>
        <family val="2"/>
      </rPr>
      <t>8</t>
    </r>
  </si>
  <si>
    <t>Back Up Generators (BUGs)</t>
  </si>
  <si>
    <r>
      <t>Capacity Bidding Program (CBP)</t>
    </r>
    <r>
      <rPr>
        <vertAlign val="superscript"/>
        <sz val="9"/>
        <color rgb="FFFF0000"/>
        <rFont val="Arial"/>
        <family val="2"/>
      </rPr>
      <t xml:space="preserve"> 5</t>
    </r>
  </si>
  <si>
    <t>Demand Response Auction Mechanism (DRAM)</t>
  </si>
  <si>
    <t>Emerging Tech (ET)</t>
  </si>
  <si>
    <t>Armed Forces Pilot</t>
  </si>
  <si>
    <r>
      <t>Over Gen Pilot</t>
    </r>
    <r>
      <rPr>
        <vertAlign val="superscript"/>
        <sz val="9"/>
        <color rgb="FFFF0000"/>
        <rFont val="Arial"/>
        <family val="2"/>
      </rPr>
      <t xml:space="preserve"> </t>
    </r>
  </si>
  <si>
    <t xml:space="preserve">Small Business Energy Management Pilot (SBEMP) </t>
  </si>
  <si>
    <t xml:space="preserve">CBP Res Pilot </t>
  </si>
  <si>
    <r>
      <t>Constrained Local Capacity Program (CLCP)</t>
    </r>
    <r>
      <rPr>
        <vertAlign val="superscript"/>
        <sz val="9"/>
        <color rgb="FFFF0000"/>
        <rFont val="Arial"/>
        <family val="2"/>
      </rPr>
      <t xml:space="preserve"> 9</t>
    </r>
  </si>
  <si>
    <r>
      <t>Local Marketing Education &amp; Outreach (LMEO)</t>
    </r>
    <r>
      <rPr>
        <vertAlign val="superscript"/>
        <sz val="10"/>
        <color rgb="FFFF0000"/>
        <rFont val="Arial"/>
        <family val="2"/>
      </rPr>
      <t xml:space="preserve"> </t>
    </r>
    <r>
      <rPr>
        <vertAlign val="superscript"/>
        <sz val="9"/>
        <color rgb="FFFF0000"/>
        <rFont val="Arial"/>
        <family val="2"/>
      </rPr>
      <t>8</t>
    </r>
  </si>
  <si>
    <t>General Admin</t>
  </si>
  <si>
    <t>IT</t>
  </si>
  <si>
    <r>
      <t>EM&amp;V</t>
    </r>
    <r>
      <rPr>
        <vertAlign val="superscript"/>
        <sz val="9"/>
        <color rgb="FFFF0000"/>
        <rFont val="Arial"/>
        <family val="2"/>
      </rPr>
      <t xml:space="preserve"> 2</t>
    </r>
  </si>
  <si>
    <r>
      <t xml:space="preserve">Local Capacity Requirements (LCR) </t>
    </r>
    <r>
      <rPr>
        <vertAlign val="superscript"/>
        <sz val="9"/>
        <color rgb="FFFF0000"/>
        <rFont val="Arial"/>
        <family val="2"/>
      </rPr>
      <t>8</t>
    </r>
  </si>
  <si>
    <t>SCT - ADMINISTRATION</t>
  </si>
  <si>
    <r>
      <t>SW-COM</t>
    </r>
    <r>
      <rPr>
        <vertAlign val="superscript"/>
        <sz val="9"/>
        <color rgb="FFFF0000"/>
        <rFont val="Arial"/>
        <family val="2"/>
      </rPr>
      <t xml:space="preserve"> </t>
    </r>
  </si>
  <si>
    <r>
      <t>SW-IND</t>
    </r>
    <r>
      <rPr>
        <b/>
        <vertAlign val="superscript"/>
        <sz val="9"/>
        <color rgb="FFFF0000"/>
        <rFont val="Arial"/>
        <family val="2"/>
      </rPr>
      <t xml:space="preserve"> </t>
    </r>
    <r>
      <rPr>
        <vertAlign val="superscript"/>
        <sz val="9"/>
        <color rgb="FFFF0000"/>
        <rFont val="Arial"/>
        <family val="2"/>
      </rPr>
      <t>4</t>
    </r>
  </si>
  <si>
    <r>
      <t>SW-AG</t>
    </r>
    <r>
      <rPr>
        <vertAlign val="superscript"/>
        <sz val="9"/>
        <color rgb="FFFF0000"/>
        <rFont val="Arial"/>
        <family val="2"/>
      </rPr>
      <t xml:space="preserve"> </t>
    </r>
  </si>
  <si>
    <r>
      <t>Local Marketing Res and Non-Res</t>
    </r>
    <r>
      <rPr>
        <vertAlign val="superscript"/>
        <sz val="9"/>
        <color rgb="FFFF0000"/>
        <rFont val="Arial"/>
        <family val="2"/>
      </rPr>
      <t xml:space="preserve"> 2</t>
    </r>
  </si>
  <si>
    <r>
      <t xml:space="preserve">IDSM DR COM </t>
    </r>
    <r>
      <rPr>
        <vertAlign val="superscript"/>
        <sz val="9"/>
        <color rgb="FFFF0000"/>
        <rFont val="Arial"/>
        <family val="2"/>
      </rPr>
      <t>4,6,8,10</t>
    </r>
  </si>
  <si>
    <r>
      <t>Behavioral</t>
    </r>
    <r>
      <rPr>
        <vertAlign val="superscript"/>
        <sz val="9"/>
        <color rgb="FFFF0000"/>
        <rFont val="Arial"/>
        <family val="2"/>
      </rPr>
      <t xml:space="preserve"> 7</t>
    </r>
  </si>
  <si>
    <t xml:space="preserve">  Total Administrative (O&amp;M) </t>
  </si>
  <si>
    <t>Customer Incentives</t>
  </si>
  <si>
    <r>
      <t xml:space="preserve">AC Saver Day‐Ahead </t>
    </r>
    <r>
      <rPr>
        <b/>
        <vertAlign val="superscript"/>
        <sz val="9"/>
        <color rgb="FFFF0000"/>
        <rFont val="Arial"/>
        <family val="2"/>
      </rPr>
      <t>1</t>
    </r>
  </si>
  <si>
    <r>
      <t>AC Saver Day‐Of</t>
    </r>
    <r>
      <rPr>
        <vertAlign val="superscript"/>
        <sz val="10"/>
        <color rgb="FFFF0000"/>
        <rFont val="Arial"/>
        <family val="2"/>
      </rPr>
      <t xml:space="preserve"> </t>
    </r>
    <r>
      <rPr>
        <b/>
        <vertAlign val="superscript"/>
        <sz val="9"/>
        <color rgb="FFFF0000"/>
        <rFont val="Arial"/>
        <family val="2"/>
      </rPr>
      <t>1</t>
    </r>
  </si>
  <si>
    <r>
      <t xml:space="preserve">Base Interruptible Program (BIP) </t>
    </r>
    <r>
      <rPr>
        <vertAlign val="superscript"/>
        <sz val="9"/>
        <color rgb="FFFF0000"/>
        <rFont val="Arial"/>
        <family val="2"/>
      </rPr>
      <t>1</t>
    </r>
  </si>
  <si>
    <r>
      <t>Capacity Bidding Program (CBP)</t>
    </r>
    <r>
      <rPr>
        <vertAlign val="superscript"/>
        <sz val="9"/>
        <color rgb="FFFF0000"/>
        <rFont val="Arial"/>
        <family val="2"/>
      </rPr>
      <t xml:space="preserve"> 11</t>
    </r>
  </si>
  <si>
    <t>Capacity Bidding Program (CBP) - ELECT Incentives Only</t>
  </si>
  <si>
    <r>
      <t>Demand Response Auction Mechanism (DRAM)</t>
    </r>
    <r>
      <rPr>
        <vertAlign val="superscript"/>
        <sz val="9"/>
        <color rgb="FFFF0000"/>
        <rFont val="Arial"/>
        <family val="2"/>
      </rPr>
      <t xml:space="preserve"> 3</t>
    </r>
    <r>
      <rPr>
        <sz val="9"/>
        <color rgb="FFFF0000"/>
        <rFont val="Arial"/>
        <family val="2"/>
      </rPr>
      <t>,</t>
    </r>
    <r>
      <rPr>
        <vertAlign val="superscript"/>
        <sz val="9"/>
        <color rgb="FFFF0000"/>
        <rFont val="Arial"/>
        <family val="2"/>
      </rPr>
      <t>8</t>
    </r>
  </si>
  <si>
    <t>Technology Deployment (TD)</t>
  </si>
  <si>
    <r>
      <t>Technology Incentives (TI)</t>
    </r>
    <r>
      <rPr>
        <vertAlign val="superscript"/>
        <sz val="9"/>
        <color rgb="FFFF0000"/>
        <rFont val="Arial"/>
        <family val="2"/>
      </rPr>
      <t xml:space="preserve"> </t>
    </r>
  </si>
  <si>
    <t>Small Business Energy Management Pilot (SBEMP)</t>
  </si>
  <si>
    <t>CPPD</t>
  </si>
  <si>
    <t>Total Customer Incentives</t>
  </si>
  <si>
    <t xml:space="preserve">Total </t>
  </si>
  <si>
    <t>AMDRMA Account End of Month Balance for Monthly Activity with Interest</t>
  </si>
  <si>
    <r>
      <rPr>
        <vertAlign val="superscript"/>
        <sz val="10"/>
        <color rgb="FFFF0000"/>
        <rFont val="Arial"/>
        <family val="2"/>
      </rPr>
      <t>1</t>
    </r>
    <r>
      <rPr>
        <sz val="10"/>
        <rFont val="Arial"/>
        <family val="2"/>
      </rPr>
      <t xml:space="preserve"> SDG&amp;E’s prior reports did not include bill credits for January 2022 through June 2022 due to software reprogramming issues. Those issues have been resolved and this report reflects the correct expenditures to date.</t>
    </r>
  </si>
  <si>
    <r>
      <rPr>
        <vertAlign val="superscript"/>
        <sz val="10"/>
        <color rgb="FFFF0000"/>
        <rFont val="Arial"/>
        <family val="2"/>
      </rPr>
      <t>2</t>
    </r>
    <r>
      <rPr>
        <sz val="10"/>
        <rFont val="Arial"/>
        <family val="2"/>
      </rPr>
      <t xml:space="preserve"> Negative amount in January is due to an accrual reversal and true-up of actual program expenditures.</t>
    </r>
  </si>
  <si>
    <r>
      <rPr>
        <vertAlign val="superscript"/>
        <sz val="10"/>
        <color rgb="FFFF0000"/>
        <rFont val="Arial"/>
        <family val="2"/>
      </rPr>
      <t>3</t>
    </r>
    <r>
      <rPr>
        <sz val="10"/>
        <rFont val="Arial"/>
        <family val="2"/>
      </rPr>
      <t xml:space="preserve"> Negative amounts in February and May are due to accrual reversals and true-up of actual program expenditures.</t>
    </r>
  </si>
  <si>
    <r>
      <rPr>
        <vertAlign val="superscript"/>
        <sz val="10"/>
        <color rgb="FFFF0000"/>
        <rFont val="Arial"/>
        <family val="2"/>
      </rPr>
      <t>4</t>
    </r>
    <r>
      <rPr>
        <sz val="10"/>
        <rFont val="Arial"/>
        <family val="2"/>
      </rPr>
      <t xml:space="preserve"> February credit is related to Contractual Agreement Discount on Timely Payments.</t>
    </r>
  </si>
  <si>
    <r>
      <rPr>
        <vertAlign val="superscript"/>
        <sz val="10"/>
        <color rgb="FFFF0000"/>
        <rFont val="Arial"/>
        <family val="2"/>
      </rPr>
      <t>5</t>
    </r>
    <r>
      <rPr>
        <sz val="10"/>
        <color rgb="FF000000"/>
        <rFont val="Arial"/>
        <family val="2"/>
      </rPr>
      <t xml:space="preserve"> Negative amount in March is primarily due to the correction of prior period labor costs.</t>
    </r>
  </si>
  <si>
    <r>
      <rPr>
        <vertAlign val="superscript"/>
        <sz val="10"/>
        <color rgb="FFFF0000"/>
        <rFont val="Arial"/>
        <family val="2"/>
      </rPr>
      <t>6</t>
    </r>
    <r>
      <rPr>
        <sz val="10"/>
        <rFont val="Arial"/>
        <family val="2"/>
      </rPr>
      <t xml:space="preserve"> Negative amount in April is due to an accrual reversal and true-up of actual program expenditures.</t>
    </r>
  </si>
  <si>
    <r>
      <rPr>
        <vertAlign val="superscript"/>
        <sz val="10"/>
        <color rgb="FFFF0000"/>
        <rFont val="Arial"/>
        <family val="2"/>
      </rPr>
      <t>7</t>
    </r>
    <r>
      <rPr>
        <sz val="10"/>
        <rFont val="Arial"/>
        <family val="2"/>
      </rPr>
      <t xml:space="preserve"> Negative amount in May is due to the reclassification of expense to pre-paid in order to amortize the expense over the periods in which they are incurred. </t>
    </r>
  </si>
  <si>
    <r>
      <rPr>
        <vertAlign val="superscript"/>
        <sz val="10"/>
        <color rgb="FFFF0000"/>
        <rFont val="Arial"/>
        <family val="2"/>
      </rPr>
      <t>8</t>
    </r>
    <r>
      <rPr>
        <sz val="10"/>
        <rFont val="Arial"/>
        <family val="2"/>
      </rPr>
      <t xml:space="preserve"> Negative amount in July is due to the reversal of June program expense accruals. These program expenditures were not accrued in July but will be reaccrued or paid in August.</t>
    </r>
  </si>
  <si>
    <r>
      <rPr>
        <vertAlign val="superscript"/>
        <sz val="10"/>
        <color rgb="FFFF0000"/>
        <rFont val="Arial"/>
        <family val="2"/>
      </rPr>
      <t>9</t>
    </r>
    <r>
      <rPr>
        <sz val="10"/>
        <rFont val="Arial"/>
        <family val="2"/>
      </rPr>
      <t xml:space="preserve"> Negative Amount in August is due to labor reversals due to updated labor allocations</t>
    </r>
  </si>
  <si>
    <r>
      <rPr>
        <vertAlign val="superscript"/>
        <sz val="10"/>
        <color rgb="FFFF0000"/>
        <rFont val="Arial"/>
        <family val="2"/>
      </rPr>
      <t>10</t>
    </r>
    <r>
      <rPr>
        <sz val="10"/>
        <rFont val="Arial"/>
        <family val="2"/>
      </rPr>
      <t xml:space="preserve"> Negative amount in August is due to an accrual reversal and true-up of actual program expenditures.</t>
    </r>
  </si>
  <si>
    <r>
      <rPr>
        <vertAlign val="superscript"/>
        <sz val="10"/>
        <color rgb="FFFF0000"/>
        <rFont val="Arial"/>
        <family val="2"/>
      </rPr>
      <t xml:space="preserve">11 </t>
    </r>
    <r>
      <rPr>
        <sz val="10"/>
        <rFont val="Arial"/>
        <family val="2"/>
      </rPr>
      <t>Negative amount in August is due to a correcting Journal Entry to move charges to the correct program</t>
    </r>
  </si>
  <si>
    <t>GENERAL RATE CASE PROGRAMS ($000)</t>
  </si>
  <si>
    <t>Year-to-Date Total Cost</t>
  </si>
  <si>
    <t>Programs in General Rate Case</t>
  </si>
  <si>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</si>
  <si>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</si>
  <si>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</si>
  <si>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</si>
  <si>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</si>
  <si>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</si>
  <si>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</si>
  <si>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</si>
  <si>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</si>
  <si>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</si>
  <si>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</si>
  <si>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</si>
  <si>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Rule 32</t>
    </r>
    <r>
      <rPr>
        <b/>
        <vertAlign val="superscript"/>
        <sz val="10"/>
        <color rgb="FFFF0000"/>
        <rFont val="Arial"/>
        <family val="2"/>
      </rPr>
      <t xml:space="preserve"> </t>
    </r>
  </si>
  <si>
    <r>
      <t xml:space="preserve">Rule 32 Operations </t>
    </r>
    <r>
      <rPr>
        <vertAlign val="superscript"/>
        <sz val="10"/>
        <color rgb="FFFF0000"/>
        <rFont val="Arial"/>
        <family val="2"/>
      </rPr>
      <t>2</t>
    </r>
  </si>
  <si>
    <r>
      <t>Rule 32 Meter</t>
    </r>
    <r>
      <rPr>
        <sz val="10"/>
        <rFont val="Arial"/>
        <family val="2"/>
      </rPr>
      <t xml:space="preserve"> </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</si>
  <si>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</si>
  <si>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1,4</t>
    </r>
  </si>
  <si>
    <t>Capital Related Costs</t>
  </si>
  <si>
    <r>
      <t xml:space="preserve">Depreciation </t>
    </r>
    <r>
      <rPr>
        <b/>
        <vertAlign val="superscript"/>
        <sz val="10"/>
        <color rgb="FFFF0000"/>
        <rFont val="Arial"/>
        <family val="2"/>
      </rPr>
      <t>5</t>
    </r>
  </si>
  <si>
    <t>DPDRMA Tax</t>
  </si>
  <si>
    <t>DPDRMA Property Tax</t>
  </si>
  <si>
    <r>
      <t xml:space="preserve">Return on Rate Base </t>
    </r>
    <r>
      <rPr>
        <b/>
        <vertAlign val="superscript"/>
        <sz val="10"/>
        <color rgb="FFFF0000"/>
        <rFont val="Arial"/>
        <family val="2"/>
      </rPr>
      <t>5</t>
    </r>
  </si>
  <si>
    <t>Total DPDRMA Program Costs</t>
  </si>
  <si>
    <t>Total DPDRMA Program Costs with Interest</t>
  </si>
  <si>
    <r>
      <rPr>
        <vertAlign val="superscript"/>
        <sz val="10"/>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</si>
  <si>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</si>
  <si>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</si>
  <si>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r>
      <rPr>
        <vertAlign val="superscript"/>
        <sz val="10"/>
        <color rgb="FFFF0000"/>
        <rFont val="Arial"/>
        <family val="2"/>
      </rPr>
      <t>4</t>
    </r>
    <r>
      <rPr>
        <sz val="10"/>
        <rFont val="Arial"/>
        <family val="2"/>
      </rPr>
      <t xml:space="preserve"> Negative amount in March is primarily due to the correction of prior period labor costs.</t>
    </r>
  </si>
  <si>
    <r>
      <rPr>
        <vertAlign val="superscript"/>
        <sz val="10"/>
        <color rgb="FFFF0000"/>
        <rFont val="Arial"/>
      </rPr>
      <t>5</t>
    </r>
    <r>
      <rPr>
        <sz val="10"/>
        <color rgb="FF000000"/>
        <rFont val="Arial"/>
      </rPr>
      <t xml:space="preserve"> As of July 2022, the Rule 32 technology platform was fully depreciated. Going forward, this asset will no longer have any monthly depreciation or return on rate base.</t>
    </r>
  </si>
  <si>
    <t>SAN DIEGO GAS &amp; ELECTRIC COMPANY REPORT ON INTERRUPTIBLE LOAD AND DEMAND RESPONSE PROGRAMS</t>
  </si>
  <si>
    <t>EMERGENCY LOAD REDUCTION PROGRAM (ELRP) BALANCING ACCOUNT ($000)</t>
  </si>
  <si>
    <t>Program in Emergency Load Reduction (ELRP) Balancing Account</t>
  </si>
  <si>
    <t>ELRP Residential SubGroup A6</t>
  </si>
  <si>
    <r>
      <t xml:space="preserve">ELRP Residential - Marketing </t>
    </r>
    <r>
      <rPr>
        <b/>
        <vertAlign val="superscript"/>
        <sz val="10"/>
        <color rgb="FFFF0000"/>
        <rFont val="Arial"/>
        <family val="2"/>
      </rPr>
      <t>1</t>
    </r>
  </si>
  <si>
    <t>Depreciation</t>
  </si>
  <si>
    <t>ELRP Tax</t>
  </si>
  <si>
    <t>ELRP Property Tax</t>
  </si>
  <si>
    <t>Return on Rate Base</t>
  </si>
  <si>
    <t>Total ELRP Program Costs</t>
  </si>
  <si>
    <t>Total ELRP Program Costs with Interest</t>
  </si>
  <si>
    <t>ELRP was approved in Decision 21.03.056 and modifed by D.21.12.015.</t>
  </si>
  <si>
    <r>
      <rPr>
        <vertAlign val="superscript"/>
        <sz val="10"/>
        <color rgb="FFFF0000"/>
        <rFont val="Arial"/>
        <family val="2"/>
      </rPr>
      <t>1</t>
    </r>
    <r>
      <rPr>
        <sz val="10"/>
        <rFont val="Arial"/>
        <family val="2"/>
      </rPr>
      <t xml:space="preserve"> Negative amount in July is due to the reversal of June program expense accruals. These program expenditures were not accrued in July but will be reaccrued or paid in August.</t>
    </r>
  </si>
  <si>
    <t>FLEX ALERT BALANCING ACCOUNT - (FABA) ($000)</t>
  </si>
  <si>
    <r>
      <t>LMEO-Flex Alert Admin - Phase 1</t>
    </r>
    <r>
      <rPr>
        <b/>
        <sz val="10"/>
        <color rgb="FFFF0000"/>
        <rFont val="Arial"/>
        <family val="2"/>
      </rPr>
      <t xml:space="preserve"> </t>
    </r>
    <r>
      <rPr>
        <b/>
        <vertAlign val="superscript"/>
        <sz val="10"/>
        <color rgb="FFFF0000"/>
        <rFont val="Arial"/>
        <family val="2"/>
      </rPr>
      <t>1</t>
    </r>
  </si>
  <si>
    <t>LMEO-SW Flext Alert CFA-Marketing</t>
  </si>
  <si>
    <t>Flex Alert was approved in D. 21.03.056 and modified by D.21.12.015.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</si>
</sst>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yyyy"/>
    <numFmt numFmtId="180" formatCode="_(&quot;$&quot;* #,##0.00_);_(&quot;$&quot;* \(#,##0.00\);_(&quot;$&quot;* &quot;-&quot;?_);_(@_)"/>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amily val="2"/>
    </font>
    <font>
      <b/>
      <sz val="10"/>
      <color rgb="FFFF0000"/>
      <name val="Arial"/>
      <family val="2"/>
    </font>
    <font>
      <vertAlign val="superscript"/>
      <sz val="10"/>
      <color rgb="FFC00000"/>
      <name val="Arial"/>
      <family val="2"/>
    </font>
    <font>
      <b/>
      <sz val="9"/>
      <color rgb="FFFF0000"/>
      <name val="Arial"/>
      <family val="2"/>
    </font>
    <font>
      <sz val="10"/>
      <color theme="4"/>
      <name val="Arial"/>
      <family val="2"/>
    </font>
    <font>
      <sz val="9"/>
      <color theme="4"/>
      <name val="Arial"/>
      <family val="2"/>
    </font>
    <font>
      <sz val="8"/>
      <color rgb="FFFF0000"/>
      <name val="Arial"/>
      <family val="2"/>
    </font>
    <font>
      <sz val="9"/>
      <color rgb="FFFF0000"/>
      <name val="Arial"/>
      <family val="2"/>
    </font>
    <font>
      <sz val="10"/>
      <color rgb="FF000000"/>
      <name val="Arial"/>
      <family val="2"/>
    </font>
    <font>
      <vertAlign val="superscript"/>
      <sz val="10"/>
      <color rgb="FFFF0000"/>
      <name val="Arial"/>
    </font>
    <font>
      <sz val="10"/>
      <color rgb="FF000000"/>
      <name val="Arial"/>
    </font>
  </fonts>
  <fills count="12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
      <patternFill patternType="solid">
        <fgColor rgb="FFFFFF00"/>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5687">
    <xf numFmtId="175" fontId="0" fillId="0" borderId="0"/>
    <xf numFmtId="175" fontId="20" fillId="2" borderId="0" applyNumberFormat="0" applyBorder="0" applyAlignment="0" applyProtection="0"/>
    <xf numFmtId="175" fontId="20" fillId="3" borderId="0" applyNumberFormat="0" applyBorder="0" applyAlignment="0" applyProtection="0"/>
    <xf numFmtId="175" fontId="20" fillId="4" borderId="0" applyNumberFormat="0" applyBorder="0" applyAlignment="0" applyProtection="0"/>
    <xf numFmtId="175" fontId="20" fillId="5" borderId="0" applyNumberFormat="0" applyBorder="0" applyAlignment="0" applyProtection="0"/>
    <xf numFmtId="175" fontId="20" fillId="6" borderId="0" applyNumberFormat="0" applyBorder="0" applyAlignment="0" applyProtection="0"/>
    <xf numFmtId="175" fontId="20" fillId="7" borderId="0" applyNumberFormat="0" applyBorder="0" applyAlignment="0" applyProtection="0"/>
    <xf numFmtId="175" fontId="20" fillId="8" borderId="0" applyNumberFormat="0" applyBorder="0" applyAlignment="0" applyProtection="0"/>
    <xf numFmtId="175" fontId="20" fillId="3" borderId="0" applyNumberFormat="0" applyBorder="0" applyAlignment="0" applyProtection="0"/>
    <xf numFmtId="175" fontId="20" fillId="9" borderId="0" applyNumberFormat="0" applyBorder="0" applyAlignment="0" applyProtection="0"/>
    <xf numFmtId="175" fontId="20" fillId="10" borderId="0" applyNumberFormat="0" applyBorder="0" applyAlignment="0" applyProtection="0"/>
    <xf numFmtId="175" fontId="20" fillId="8" borderId="0" applyNumberFormat="0" applyBorder="0" applyAlignment="0" applyProtection="0"/>
    <xf numFmtId="175" fontId="20"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5" borderId="0" applyNumberFormat="0" applyBorder="0" applyAlignment="0" applyProtection="0"/>
    <xf numFmtId="175" fontId="22" fillId="16" borderId="0" applyNumberFormat="0" applyBorder="0" applyAlignment="0" applyProtection="0"/>
    <xf numFmtId="175" fontId="23" fillId="17" borderId="0" applyNumberFormat="0" applyBorder="0" applyAlignment="0" applyProtection="0"/>
    <xf numFmtId="175" fontId="23" fillId="18" borderId="0" applyNumberFormat="0" applyBorder="0" applyAlignment="0" applyProtection="0"/>
    <xf numFmtId="175" fontId="22" fillId="19" borderId="0" applyNumberFormat="0" applyBorder="0" applyAlignment="0" applyProtection="0"/>
    <xf numFmtId="175" fontId="22" fillId="19" borderId="0" applyNumberFormat="0" applyBorder="0" applyAlignment="0" applyProtection="0"/>
    <xf numFmtId="175" fontId="23" fillId="20" borderId="0" applyNumberFormat="0" applyBorder="0" applyAlignment="0" applyProtection="0"/>
    <xf numFmtId="175" fontId="23"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23" fillId="21" borderId="0" applyNumberFormat="0" applyBorder="0" applyAlignment="0" applyProtection="0"/>
    <xf numFmtId="175" fontId="23" fillId="22" borderId="0" applyNumberFormat="0" applyBorder="0" applyAlignment="0" applyProtection="0"/>
    <xf numFmtId="175" fontId="22" fillId="22" borderId="0" applyNumberFormat="0" applyBorder="0" applyAlignment="0" applyProtection="0"/>
    <xf numFmtId="175" fontId="22" fillId="24"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4" borderId="0" applyNumberFormat="0" applyBorder="0" applyAlignment="0" applyProtection="0"/>
    <xf numFmtId="175" fontId="22" fillId="25" borderId="0" applyNumberFormat="0" applyBorder="0" applyAlignment="0" applyProtection="0"/>
    <xf numFmtId="175" fontId="23" fillId="26" borderId="0" applyNumberFormat="0" applyBorder="0" applyAlignment="0" applyProtection="0"/>
    <xf numFmtId="175" fontId="23" fillId="18" borderId="0" applyNumberFormat="0" applyBorder="0" applyAlignment="0" applyProtection="0"/>
    <xf numFmtId="175" fontId="22" fillId="27"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4" fontId="51"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175" fontId="27" fillId="29" borderId="0" applyNumberFormat="0" applyBorder="0" applyAlignment="0" applyProtection="0"/>
    <xf numFmtId="175" fontId="27" fillId="30" borderId="0" applyNumberFormat="0" applyBorder="0" applyAlignment="0" applyProtection="0"/>
    <xf numFmtId="175" fontId="27" fillId="31" borderId="0" applyNumberFormat="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0" borderId="0"/>
    <xf numFmtId="175" fontId="18" fillId="0" borderId="0"/>
    <xf numFmtId="175" fontId="16" fillId="26" borderId="7" applyNumberFormat="0" applyFont="0" applyAlignment="0" applyProtection="0"/>
    <xf numFmtId="175" fontId="36" fillId="28" borderId="8" applyNumberFormat="0" applyAlignment="0" applyProtection="0"/>
    <xf numFmtId="9" fontId="51" fillId="0" borderId="0" applyFont="0" applyFill="0" applyBorder="0" applyAlignment="0" applyProtection="0"/>
    <xf numFmtId="9" fontId="16" fillId="0" borderId="0" applyFont="0" applyFill="0" applyBorder="0" applyAlignment="0" applyProtection="0"/>
    <xf numFmtId="4" fontId="37" fillId="33" borderId="9" applyNumberFormat="0" applyProtection="0">
      <alignment vertical="center"/>
    </xf>
    <xf numFmtId="4" fontId="38" fillId="33" borderId="9" applyNumberFormat="0" applyProtection="0">
      <alignment vertical="center"/>
    </xf>
    <xf numFmtId="4" fontId="37" fillId="33" borderId="9" applyNumberFormat="0" applyProtection="0">
      <alignment horizontal="left" vertical="center" indent="1"/>
    </xf>
    <xf numFmtId="175" fontId="37" fillId="33" borderId="9" applyNumberFormat="0" applyProtection="0">
      <alignment horizontal="left" vertical="top" indent="1"/>
    </xf>
    <xf numFmtId="4" fontId="37" fillId="2" borderId="0" applyNumberFormat="0" applyProtection="0">
      <alignment horizontal="left" vertical="center" indent="1"/>
    </xf>
    <xf numFmtId="4" fontId="20" fillId="7" borderId="9" applyNumberFormat="0" applyProtection="0">
      <alignment horizontal="right" vertical="center"/>
    </xf>
    <xf numFmtId="4" fontId="20" fillId="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20" fillId="36" borderId="9" applyNumberFormat="0" applyProtection="0">
      <alignment horizontal="right" vertical="center"/>
    </xf>
    <xf numFmtId="4" fontId="20" fillId="37" borderId="9" applyNumberFormat="0" applyProtection="0">
      <alignment horizontal="right" vertical="center"/>
    </xf>
    <xf numFmtId="4" fontId="20" fillId="9" borderId="9" applyNumberFormat="0" applyProtection="0">
      <alignment horizontal="right" vertical="center"/>
    </xf>
    <xf numFmtId="4" fontId="20" fillId="38" borderId="9" applyNumberFormat="0" applyProtection="0">
      <alignment horizontal="right" vertical="center"/>
    </xf>
    <xf numFmtId="4" fontId="20" fillId="39" borderId="9" applyNumberFormat="0" applyProtection="0">
      <alignment horizontal="right" vertical="center"/>
    </xf>
    <xf numFmtId="4" fontId="37" fillId="40" borderId="10" applyNumberFormat="0" applyProtection="0">
      <alignment horizontal="left" vertical="center" indent="1"/>
    </xf>
    <xf numFmtId="4" fontId="20" fillId="41" borderId="0" applyNumberFormat="0" applyProtection="0">
      <alignment horizontal="left" vertical="center" indent="1"/>
    </xf>
    <xf numFmtId="4" fontId="39" fillId="8" borderId="0" applyNumberFormat="0" applyProtection="0">
      <alignment horizontal="left" vertical="center" indent="1"/>
    </xf>
    <xf numFmtId="4" fontId="20" fillId="2" borderId="9" applyNumberFormat="0" applyProtection="0">
      <alignment horizontal="right" vertical="center"/>
    </xf>
    <xf numFmtId="4" fontId="18" fillId="41" borderId="0" applyNumberFormat="0" applyProtection="0">
      <alignment horizontal="left" vertical="center" indent="1"/>
    </xf>
    <xf numFmtId="4" fontId="18" fillId="2" borderId="0" applyNumberFormat="0" applyProtection="0">
      <alignment horizontal="left" vertical="center" indent="1"/>
    </xf>
    <xf numFmtId="175" fontId="16" fillId="8" borderId="9" applyNumberFormat="0" applyProtection="0">
      <alignment horizontal="left" vertical="center" indent="1"/>
    </xf>
    <xf numFmtId="175" fontId="16" fillId="8" borderId="9" applyNumberFormat="0" applyProtection="0">
      <alignment horizontal="left" vertical="top" indent="1"/>
    </xf>
    <xf numFmtId="175" fontId="16" fillId="2" borderId="9" applyNumberFormat="0" applyProtection="0">
      <alignment horizontal="left" vertical="center" indent="1"/>
    </xf>
    <xf numFmtId="175" fontId="16" fillId="2" borderId="9" applyNumberFormat="0" applyProtection="0">
      <alignment horizontal="left" vertical="top" indent="1"/>
    </xf>
    <xf numFmtId="175" fontId="16" fillId="6" borderId="9" applyNumberFormat="0" applyProtection="0">
      <alignment horizontal="left" vertical="center" indent="1"/>
    </xf>
    <xf numFmtId="175" fontId="16" fillId="6" borderId="9" applyNumberFormat="0" applyProtection="0">
      <alignment horizontal="left" vertical="top" indent="1"/>
    </xf>
    <xf numFmtId="175" fontId="16" fillId="41" borderId="9" applyNumberFormat="0" applyProtection="0">
      <alignment horizontal="left" vertical="center" indent="1"/>
    </xf>
    <xf numFmtId="175" fontId="16" fillId="41" borderId="9" applyNumberFormat="0" applyProtection="0">
      <alignment horizontal="left" vertical="top" indent="1"/>
    </xf>
    <xf numFmtId="175" fontId="16" fillId="5" borderId="11" applyNumberFormat="0">
      <protection locked="0"/>
    </xf>
    <xf numFmtId="4" fontId="20" fillId="4" borderId="9" applyNumberFormat="0" applyProtection="0">
      <alignment vertical="center"/>
    </xf>
    <xf numFmtId="4" fontId="40" fillId="4" borderId="9" applyNumberFormat="0" applyProtection="0">
      <alignment vertical="center"/>
    </xf>
    <xf numFmtId="4" fontId="20" fillId="4" borderId="9" applyNumberFormat="0" applyProtection="0">
      <alignment horizontal="left" vertical="center" indent="1"/>
    </xf>
    <xf numFmtId="175" fontId="20" fillId="4" borderId="9" applyNumberFormat="0" applyProtection="0">
      <alignment horizontal="left" vertical="top" indent="1"/>
    </xf>
    <xf numFmtId="4" fontId="20" fillId="41" borderId="9" applyNumberFormat="0" applyProtection="0">
      <alignment horizontal="right" vertical="center"/>
    </xf>
    <xf numFmtId="4" fontId="40" fillId="41" borderId="9" applyNumberFormat="0" applyProtection="0">
      <alignment horizontal="right" vertical="center"/>
    </xf>
    <xf numFmtId="4" fontId="20" fillId="2" borderId="9" applyNumberFormat="0" applyProtection="0">
      <alignment horizontal="left" vertical="center" indent="1"/>
    </xf>
    <xf numFmtId="175" fontId="20" fillId="2" borderId="9" applyNumberFormat="0" applyProtection="0">
      <alignment horizontal="left" vertical="top" indent="1"/>
    </xf>
    <xf numFmtId="4" fontId="41" fillId="42" borderId="0" applyNumberFormat="0" applyProtection="0">
      <alignment horizontal="left" vertical="center" indent="1"/>
    </xf>
    <xf numFmtId="4" fontId="42" fillId="41" borderId="9" applyNumberFormat="0" applyProtection="0">
      <alignment horizontal="right" vertical="center"/>
    </xf>
    <xf numFmtId="175" fontId="43" fillId="0" borderId="0" applyNumberFormat="0" applyFill="0" applyBorder="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44" fontId="16" fillId="0" borderId="0" applyFont="0" applyFill="0" applyBorder="0" applyAlignment="0" applyProtection="0"/>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18" fillId="41" borderId="0" applyNumberFormat="0" applyProtection="0">
      <alignment horizontal="left" vertical="center" indent="1"/>
    </xf>
    <xf numFmtId="4" fontId="18" fillId="2" borderId="9" applyNumberFormat="0" applyProtection="0">
      <alignment horizontal="right" vertical="center"/>
    </xf>
    <xf numFmtId="4" fontId="1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9" fontId="58" fillId="0" borderId="0" applyFont="0" applyFill="0" applyBorder="0" applyAlignment="0" applyProtection="0"/>
    <xf numFmtId="175" fontId="60" fillId="0" borderId="0"/>
    <xf numFmtId="175" fontId="15"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6" fillId="0" borderId="0"/>
    <xf numFmtId="175" fontId="14" fillId="0" borderId="0"/>
    <xf numFmtId="175" fontId="61"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4" fillId="0" borderId="0"/>
    <xf numFmtId="175" fontId="13"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3" fillId="0" borderId="0"/>
    <xf numFmtId="175" fontId="13" fillId="0" borderId="0"/>
    <xf numFmtId="175" fontId="16" fillId="0" borderId="0"/>
    <xf numFmtId="175" fontId="13" fillId="0" borderId="0"/>
    <xf numFmtId="175" fontId="12"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1" fillId="0" borderId="0"/>
    <xf numFmtId="175" fontId="10" fillId="0" borderId="0"/>
    <xf numFmtId="175" fontId="63"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6" fillId="0" borderId="0"/>
    <xf numFmtId="175" fontId="9" fillId="0" borderId="0"/>
    <xf numFmtId="0" fontId="8"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6"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7"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6" fillId="0" borderId="0"/>
    <xf numFmtId="175" fontId="74"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74"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5" fillId="0" borderId="0"/>
    <xf numFmtId="175" fontId="16"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16" fillId="0" borderId="0"/>
    <xf numFmtId="0" fontId="4" fillId="0" borderId="0"/>
    <xf numFmtId="4" fontId="45" fillId="0" borderId="56" applyNumberFormat="0" applyProtection="0">
      <alignment horizontal="right" vertical="center"/>
    </xf>
    <xf numFmtId="4" fontId="45" fillId="51" borderId="56" applyNumberFormat="0" applyProtection="0">
      <alignment horizontal="left" vertical="center" indent="1"/>
    </xf>
    <xf numFmtId="43" fontId="4"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2" fillId="27" borderId="0" applyNumberFormat="0" applyBorder="0" applyAlignment="0" applyProtection="0"/>
    <xf numFmtId="0" fontId="104" fillId="76"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104" fillId="7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3" fillId="65" borderId="0" applyNumberFormat="0" applyBorder="0" applyAlignment="0" applyProtection="0"/>
    <xf numFmtId="0" fontId="103" fillId="0" borderId="67" applyNumberFormat="0" applyFill="0" applyAlignment="0" applyProtection="0"/>
    <xf numFmtId="0" fontId="102" fillId="0" borderId="0" applyNumberFormat="0" applyFill="0" applyBorder="0" applyAlignment="0" applyProtection="0"/>
    <xf numFmtId="0" fontId="98" fillId="57" borderId="62" applyNumberFormat="0" applyAlignment="0" applyProtection="0"/>
    <xf numFmtId="0" fontId="94" fillId="53" borderId="0" applyNumberFormat="0" applyBorder="0" applyAlignment="0" applyProtection="0"/>
    <xf numFmtId="0" fontId="37" fillId="33" borderId="9" applyNumberFormat="0" applyProtection="0">
      <alignment horizontal="left" vertical="top" indent="1"/>
    </xf>
    <xf numFmtId="0" fontId="93" fillId="0" borderId="0" applyNumberFormat="0" applyFill="0" applyBorder="0" applyAlignment="0" applyProtection="0"/>
    <xf numFmtId="0" fontId="93" fillId="0" borderId="61" applyNumberFormat="0" applyFill="0" applyAlignment="0" applyProtection="0"/>
    <xf numFmtId="0" fontId="92" fillId="0" borderId="60" applyNumberFormat="0" applyFill="0" applyAlignment="0" applyProtection="0"/>
    <xf numFmtId="0" fontId="91" fillId="0" borderId="59" applyNumberFormat="0" applyFill="0" applyAlignment="0" applyProtection="0"/>
    <xf numFmtId="43" fontId="16" fillId="0" borderId="0" applyFont="0" applyFill="0" applyBorder="0" applyAlignment="0" applyProtection="0"/>
    <xf numFmtId="0" fontId="104" fillId="64" borderId="0" applyNumberFormat="0" applyBorder="0" applyAlignment="0" applyProtection="0"/>
    <xf numFmtId="0" fontId="3" fillId="61" borderId="0" applyNumberFormat="0" applyBorder="0" applyAlignment="0" applyProtection="0"/>
    <xf numFmtId="0" fontId="16" fillId="8" borderId="9" applyNumberFormat="0" applyProtection="0">
      <alignment horizontal="left" vertical="center" indent="1"/>
    </xf>
    <xf numFmtId="0" fontId="16" fillId="8" borderId="9" applyNumberFormat="0" applyProtection="0">
      <alignment horizontal="left" vertical="top" indent="1"/>
    </xf>
    <xf numFmtId="0" fontId="16" fillId="2" borderId="9" applyNumberFormat="0" applyProtection="0">
      <alignment horizontal="left" vertical="center" indent="1"/>
    </xf>
    <xf numFmtId="0" fontId="16" fillId="2" borderId="9" applyNumberFormat="0" applyProtection="0">
      <alignment horizontal="left" vertical="top" indent="1"/>
    </xf>
    <xf numFmtId="0" fontId="16" fillId="6" borderId="9" applyNumberFormat="0" applyProtection="0">
      <alignment horizontal="left" vertical="center" indent="1"/>
    </xf>
    <xf numFmtId="0" fontId="16" fillId="6" borderId="9" applyNumberFormat="0" applyProtection="0">
      <alignment horizontal="left" vertical="top" indent="1"/>
    </xf>
    <xf numFmtId="0" fontId="16" fillId="41" borderId="9" applyNumberFormat="0" applyProtection="0">
      <alignment horizontal="left" vertical="center" indent="1"/>
    </xf>
    <xf numFmtId="0" fontId="16" fillId="41" borderId="9" applyNumberFormat="0" applyProtection="0">
      <alignment horizontal="left" vertical="top" indent="1"/>
    </xf>
    <xf numFmtId="0" fontId="16" fillId="5" borderId="11" applyNumberFormat="0">
      <protection locked="0"/>
    </xf>
    <xf numFmtId="0" fontId="3" fillId="61" borderId="0" applyNumberFormat="0" applyBorder="0" applyAlignment="0" applyProtection="0"/>
    <xf numFmtId="0" fontId="99" fillId="0" borderId="64" applyNumberFormat="0" applyFill="0" applyAlignment="0" applyProtection="0"/>
    <xf numFmtId="0" fontId="3" fillId="62" borderId="0" applyNumberFormat="0" applyBorder="0" applyAlignment="0" applyProtection="0"/>
    <xf numFmtId="0" fontId="18" fillId="4" borderId="9"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95" fillId="54" borderId="0" applyNumberFormat="0" applyBorder="0" applyAlignment="0" applyProtection="0"/>
    <xf numFmtId="0" fontId="18" fillId="2" borderId="9" applyNumberFormat="0" applyProtection="0">
      <alignment horizontal="left" vertical="top" indent="1"/>
    </xf>
    <xf numFmtId="0" fontId="104" fillId="64" borderId="0" applyNumberFormat="0" applyBorder="0" applyAlignment="0" applyProtection="0"/>
    <xf numFmtId="0" fontId="104" fillId="60" borderId="0" applyNumberFormat="0" applyBorder="0" applyAlignment="0" applyProtection="0"/>
    <xf numFmtId="0" fontId="43" fillId="0" borderId="0" applyNumberFormat="0" applyFill="0" applyBorder="0" applyAlignment="0" applyProtection="0"/>
    <xf numFmtId="0" fontId="104" fillId="68" borderId="0" applyNumberFormat="0" applyBorder="0" applyAlignment="0" applyProtection="0"/>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04" fillId="80"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3" fillId="86"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101" fillId="0" borderId="0" applyNumberFormat="0" applyFill="0" applyBorder="0" applyAlignment="0" applyProtection="0"/>
    <xf numFmtId="0" fontId="100" fillId="58" borderId="65" applyNumberFormat="0" applyAlignment="0" applyProtection="0"/>
    <xf numFmtId="0" fontId="23" fillId="7"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97" fillId="57" borderId="63" applyNumberFormat="0" applyAlignment="0" applyProtection="0"/>
    <xf numFmtId="0" fontId="96" fillId="56" borderId="62" applyNumberFormat="0" applyAlignment="0" applyProtection="0"/>
    <xf numFmtId="0" fontId="23" fillId="7" borderId="0" applyNumberFormat="0" applyBorder="0" applyAlignment="0" applyProtection="0"/>
    <xf numFmtId="0" fontId="23" fillId="86"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 fillId="87" borderId="0" applyNumberFormat="0" applyBorder="0" applyAlignment="0" applyProtection="0"/>
    <xf numFmtId="0" fontId="23" fillId="8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2" fillId="88" borderId="0" applyNumberFormat="0" applyBorder="0" applyAlignment="0" applyProtection="0"/>
    <xf numFmtId="0" fontId="22" fillId="3" borderId="0" applyNumberFormat="0" applyBorder="0" applyAlignment="0" applyProtection="0"/>
    <xf numFmtId="0" fontId="22" fillId="39" borderId="0" applyNumberFormat="0" applyBorder="0" applyAlignment="0" applyProtection="0"/>
    <xf numFmtId="0" fontId="22" fillId="89" borderId="0" applyNumberFormat="0" applyBorder="0" applyAlignment="0" applyProtection="0"/>
    <xf numFmtId="0" fontId="22" fillId="51" borderId="0" applyNumberFormat="0" applyBorder="0" applyAlignment="0" applyProtection="0"/>
    <xf numFmtId="0" fontId="22" fillId="36"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91" borderId="0" applyNumberFormat="0" applyBorder="0" applyAlignment="0" applyProtection="0"/>
    <xf numFmtId="0" fontId="22" fillId="1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94" borderId="0" applyNumberFormat="0" applyBorder="0" applyAlignment="0" applyProtection="0"/>
    <xf numFmtId="0" fontId="23" fillId="94"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2" fillId="96" borderId="0" applyNumberFormat="0" applyBorder="0" applyAlignment="0" applyProtection="0"/>
    <xf numFmtId="0" fontId="22" fillId="9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1" borderId="0" applyNumberFormat="0" applyBorder="0" applyAlignment="0" applyProtection="0"/>
    <xf numFmtId="0" fontId="22" fillId="98"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04" fillId="68" borderId="0" applyNumberFormat="0" applyBorder="0" applyAlignment="0" applyProtection="0"/>
    <xf numFmtId="0" fontId="22" fillId="91" borderId="0" applyNumberFormat="0" applyBorder="0" applyAlignment="0" applyProtection="0"/>
    <xf numFmtId="0" fontId="22" fillId="9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06" fillId="26" borderId="0" applyNumberFormat="0" applyBorder="0" applyAlignment="0" applyProtection="0"/>
    <xf numFmtId="0" fontId="95" fillId="54" borderId="0" applyNumberFormat="0" applyBorder="0" applyAlignment="0" applyProtection="0"/>
    <xf numFmtId="0" fontId="107" fillId="7" borderId="0" applyNumberFormat="0" applyBorder="0" applyAlignment="0" applyProtection="0"/>
    <xf numFmtId="0" fontId="108" fillId="101" borderId="56" applyNumberFormat="0" applyAlignment="0" applyProtection="0"/>
    <xf numFmtId="0" fontId="109" fillId="10" borderId="1" applyNumberFormat="0" applyAlignment="0" applyProtection="0"/>
    <xf numFmtId="0" fontId="26" fillId="98" borderId="2" applyNumberFormat="0" applyAlignment="0" applyProtection="0"/>
    <xf numFmtId="0" fontId="26" fillId="102" borderId="2" applyNumberFormat="0" applyAlignment="0" applyProtection="0"/>
    <xf numFmtId="41"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04" fillId="60"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03" borderId="0" applyNumberFormat="0" applyBorder="0" applyAlignment="0" applyProtection="0"/>
    <xf numFmtId="0" fontId="27" fillId="104" borderId="0" applyNumberFormat="0" applyBorder="0" applyAlignment="0" applyProtection="0"/>
    <xf numFmtId="0" fontId="111" fillId="0" borderId="0" applyNumberFormat="0" applyFill="0" applyBorder="0" applyAlignment="0" applyProtection="0"/>
    <xf numFmtId="0" fontId="23" fillId="95" borderId="0" applyNumberFormat="0" applyBorder="0" applyAlignment="0" applyProtection="0"/>
    <xf numFmtId="0" fontId="29" fillId="85" borderId="0" applyNumberFormat="0" applyBorder="0" applyAlignment="0" applyProtection="0"/>
    <xf numFmtId="0" fontId="23" fillId="95" borderId="0" applyNumberFormat="0" applyBorder="0" applyAlignment="0" applyProtection="0"/>
    <xf numFmtId="0" fontId="30" fillId="0" borderId="3" applyNumberFormat="0" applyFill="0" applyAlignment="0" applyProtection="0"/>
    <xf numFmtId="0" fontId="112" fillId="0" borderId="69" applyNumberFormat="0" applyFill="0" applyAlignment="0" applyProtection="0"/>
    <xf numFmtId="0" fontId="31" fillId="0" borderId="70" applyNumberFormat="0" applyFill="0" applyAlignment="0" applyProtection="0"/>
    <xf numFmtId="0" fontId="113" fillId="0" borderId="4" applyNumberFormat="0" applyFill="0" applyAlignment="0" applyProtection="0"/>
    <xf numFmtId="0" fontId="32" fillId="0" borderId="71" applyNumberFormat="0" applyFill="0" applyAlignment="0" applyProtection="0"/>
    <xf numFmtId="0" fontId="114" fillId="0" borderId="72" applyNumberFormat="0" applyFill="0" applyAlignment="0" applyProtection="0"/>
    <xf numFmtId="0" fontId="32" fillId="0" borderId="0" applyNumberFormat="0" applyFill="0" applyBorder="0" applyAlignment="0" applyProtection="0"/>
    <xf numFmtId="0" fontId="114" fillId="0" borderId="0" applyNumberFormat="0" applyFill="0" applyBorder="0" applyAlignment="0" applyProtection="0"/>
    <xf numFmtId="0" fontId="33" fillId="27" borderId="56" applyNumberFormat="0" applyAlignment="0" applyProtection="0"/>
    <xf numFmtId="0" fontId="115" fillId="11" borderId="1" applyNumberFormat="0" applyAlignment="0" applyProtection="0"/>
    <xf numFmtId="0" fontId="29" fillId="0" borderId="73" applyNumberFormat="0" applyFill="0" applyAlignment="0" applyProtection="0"/>
    <xf numFmtId="0" fontId="116" fillId="0" borderId="74" applyNumberFormat="0" applyFill="0" applyAlignment="0" applyProtection="0"/>
    <xf numFmtId="0" fontId="29" fillId="27" borderId="0" applyNumberFormat="0" applyBorder="0" applyAlignment="0" applyProtection="0"/>
    <xf numFmtId="0" fontId="105" fillId="55" borderId="0" applyNumberFormat="0" applyBorder="0" applyAlignment="0" applyProtection="0"/>
    <xf numFmtId="0" fontId="35" fillId="33" borderId="0" applyNumberFormat="0" applyBorder="0" applyAlignment="0" applyProtection="0"/>
    <xf numFmtId="0" fontId="3" fillId="0" borderId="0"/>
    <xf numFmtId="0" fontId="3" fillId="0" borderId="0"/>
    <xf numFmtId="0" fontId="110" fillId="0" borderId="0"/>
    <xf numFmtId="0" fontId="110" fillId="0" borderId="0"/>
    <xf numFmtId="0" fontId="16" fillId="0" borderId="0"/>
    <xf numFmtId="0" fontId="110" fillId="0" borderId="0"/>
    <xf numFmtId="0" fontId="110"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45" fillId="105" borderId="0"/>
    <xf numFmtId="0" fontId="23" fillId="0" borderId="0"/>
    <xf numFmtId="0" fontId="16" fillId="0" borderId="0"/>
    <xf numFmtId="0" fontId="16" fillId="0" borderId="0"/>
    <xf numFmtId="0" fontId="23" fillId="0" borderId="0"/>
    <xf numFmtId="0" fontId="23" fillId="0" borderId="0"/>
    <xf numFmtId="0" fontId="45" fillId="105"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59" borderId="66" applyNumberFormat="0" applyFont="0" applyAlignment="0" applyProtection="0"/>
    <xf numFmtId="0" fontId="18" fillId="4" borderId="7" applyNumberFormat="0" applyFont="0" applyAlignment="0" applyProtection="0"/>
    <xf numFmtId="0" fontId="23" fillId="59" borderId="66" applyNumberFormat="0" applyFont="0" applyAlignment="0" applyProtection="0"/>
    <xf numFmtId="0" fontId="45" fillId="26" borderId="56" applyNumberFormat="0" applyFont="0" applyAlignment="0" applyProtection="0"/>
    <xf numFmtId="0" fontId="23" fillId="59" borderId="66" applyNumberFormat="0" applyFont="0" applyAlignment="0" applyProtection="0"/>
    <xf numFmtId="0" fontId="23" fillId="59" borderId="66" applyNumberFormat="0" applyFont="0" applyAlignment="0" applyProtection="0"/>
    <xf numFmtId="0" fontId="3" fillId="59" borderId="66" applyNumberFormat="0" applyFont="0" applyAlignment="0" applyProtection="0"/>
    <xf numFmtId="0" fontId="36" fillId="101" borderId="8" applyNumberFormat="0" applyAlignment="0" applyProtection="0"/>
    <xf numFmtId="0" fontId="36" fillId="1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18" fillId="106" borderId="8" applyNumberFormat="0" applyProtection="0">
      <alignment vertical="center"/>
    </xf>
    <xf numFmtId="4" fontId="18" fillId="106" borderId="8" applyNumberFormat="0" applyProtection="0">
      <alignment vertical="center"/>
    </xf>
    <xf numFmtId="4" fontId="45" fillId="33" borderId="56" applyNumberFormat="0" applyProtection="0">
      <alignment vertical="center"/>
    </xf>
    <xf numFmtId="4" fontId="45" fillId="33" borderId="56" applyNumberFormat="0" applyProtection="0">
      <alignment vertical="center"/>
    </xf>
    <xf numFmtId="4" fontId="45" fillId="33" borderId="56" applyNumberFormat="0" applyProtection="0">
      <alignment vertical="center"/>
    </xf>
    <xf numFmtId="4" fontId="40" fillId="106" borderId="8" applyNumberFormat="0" applyProtection="0">
      <alignment vertical="center"/>
    </xf>
    <xf numFmtId="4" fontId="117" fillId="106" borderId="56" applyNumberFormat="0" applyProtection="0">
      <alignment vertical="center"/>
    </xf>
    <xf numFmtId="4" fontId="18" fillId="106" borderId="8" applyNumberFormat="0" applyProtection="0">
      <alignment horizontal="left" vertical="center" indent="1"/>
    </xf>
    <xf numFmtId="4" fontId="45" fillId="106" borderId="56" applyNumberFormat="0" applyProtection="0">
      <alignment horizontal="left" vertical="center" indent="1"/>
    </xf>
    <xf numFmtId="4" fontId="45" fillId="106" borderId="56" applyNumberFormat="0" applyProtection="0">
      <alignment horizontal="left" vertical="center" indent="1"/>
    </xf>
    <xf numFmtId="4" fontId="45" fillId="106" borderId="56" applyNumberFormat="0" applyProtection="0">
      <alignment horizontal="left" vertical="center" indent="1"/>
    </xf>
    <xf numFmtId="4" fontId="18" fillId="106" borderId="8" applyNumberFormat="0" applyProtection="0">
      <alignment horizontal="left" vertical="center" indent="1"/>
    </xf>
    <xf numFmtId="0" fontId="118" fillId="33" borderId="9" applyNumberFormat="0" applyProtection="0">
      <alignment horizontal="left" vertical="top" indent="1"/>
    </xf>
    <xf numFmtId="0" fontId="16" fillId="107" borderId="8"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18" fillId="108" borderId="8" applyNumberFormat="0" applyProtection="0">
      <alignment horizontal="right" vertical="center"/>
    </xf>
    <xf numFmtId="4" fontId="45" fillId="7" borderId="56" applyNumberFormat="0" applyProtection="0">
      <alignment horizontal="right" vertical="center"/>
    </xf>
    <xf numFmtId="4" fontId="45" fillId="7" borderId="56" applyNumberFormat="0" applyProtection="0">
      <alignment horizontal="right" vertical="center"/>
    </xf>
    <xf numFmtId="4" fontId="45" fillId="7" borderId="56" applyNumberFormat="0" applyProtection="0">
      <alignment horizontal="right" vertical="center"/>
    </xf>
    <xf numFmtId="4" fontId="18" fillId="109" borderId="8" applyNumberFormat="0" applyProtection="0">
      <alignment horizontal="right" vertical="center"/>
    </xf>
    <xf numFmtId="4" fontId="45" fillId="110" borderId="56" applyNumberFormat="0" applyProtection="0">
      <alignment horizontal="right" vertical="center"/>
    </xf>
    <xf numFmtId="4" fontId="45" fillId="110" borderId="56" applyNumberFormat="0" applyProtection="0">
      <alignment horizontal="right" vertical="center"/>
    </xf>
    <xf numFmtId="4" fontId="45" fillId="110" borderId="56" applyNumberFormat="0" applyProtection="0">
      <alignment horizontal="right" vertical="center"/>
    </xf>
    <xf numFmtId="4" fontId="18" fillId="111" borderId="8" applyNumberFormat="0" applyProtection="0">
      <alignment horizontal="right" vertical="center"/>
    </xf>
    <xf numFmtId="4" fontId="45" fillId="34" borderId="68" applyNumberFormat="0" applyProtection="0">
      <alignment horizontal="right" vertical="center"/>
    </xf>
    <xf numFmtId="4" fontId="45" fillId="34" borderId="68" applyNumberFormat="0" applyProtection="0">
      <alignment horizontal="right" vertical="center"/>
    </xf>
    <xf numFmtId="4" fontId="45" fillId="34" borderId="68" applyNumberFormat="0" applyProtection="0">
      <alignment horizontal="right" vertical="center"/>
    </xf>
    <xf numFmtId="4" fontId="18" fillId="112" borderId="8" applyNumberFormat="0" applyProtection="0">
      <alignment horizontal="right" vertical="center"/>
    </xf>
    <xf numFmtId="4" fontId="45" fillId="35" borderId="56" applyNumberFormat="0" applyProtection="0">
      <alignment horizontal="right" vertical="center"/>
    </xf>
    <xf numFmtId="4" fontId="45" fillId="35" borderId="56" applyNumberFormat="0" applyProtection="0">
      <alignment horizontal="right" vertical="center"/>
    </xf>
    <xf numFmtId="4" fontId="45" fillId="35" borderId="56" applyNumberFormat="0" applyProtection="0">
      <alignment horizontal="right" vertical="center"/>
    </xf>
    <xf numFmtId="4" fontId="18" fillId="113" borderId="8" applyNumberFormat="0" applyProtection="0">
      <alignment horizontal="right" vertical="center"/>
    </xf>
    <xf numFmtId="4" fontId="45" fillId="36" borderId="56" applyNumberFormat="0" applyProtection="0">
      <alignment horizontal="right" vertical="center"/>
    </xf>
    <xf numFmtId="4" fontId="45" fillId="36" borderId="56" applyNumberFormat="0" applyProtection="0">
      <alignment horizontal="right" vertical="center"/>
    </xf>
    <xf numFmtId="4" fontId="45" fillId="36" borderId="56" applyNumberFormat="0" applyProtection="0">
      <alignment horizontal="right" vertical="center"/>
    </xf>
    <xf numFmtId="4" fontId="18" fillId="114" borderId="8" applyNumberFormat="0" applyProtection="0">
      <alignment horizontal="right" vertical="center"/>
    </xf>
    <xf numFmtId="4" fontId="45" fillId="37" borderId="56" applyNumberFormat="0" applyProtection="0">
      <alignment horizontal="right" vertical="center"/>
    </xf>
    <xf numFmtId="4" fontId="45" fillId="37" borderId="56" applyNumberFormat="0" applyProtection="0">
      <alignment horizontal="right" vertical="center"/>
    </xf>
    <xf numFmtId="4" fontId="45" fillId="37" borderId="56" applyNumberFormat="0" applyProtection="0">
      <alignment horizontal="right" vertical="center"/>
    </xf>
    <xf numFmtId="4" fontId="18" fillId="115" borderId="8" applyNumberFormat="0" applyProtection="0">
      <alignment horizontal="right" vertical="center"/>
    </xf>
    <xf numFmtId="4" fontId="45" fillId="9" borderId="56" applyNumberFormat="0" applyProtection="0">
      <alignment horizontal="right" vertical="center"/>
    </xf>
    <xf numFmtId="4" fontId="45" fillId="9" borderId="56" applyNumberFormat="0" applyProtection="0">
      <alignment horizontal="right" vertical="center"/>
    </xf>
    <xf numFmtId="4" fontId="45" fillId="9" borderId="56" applyNumberFormat="0" applyProtection="0">
      <alignment horizontal="right" vertical="center"/>
    </xf>
    <xf numFmtId="4" fontId="18" fillId="116" borderId="8" applyNumberFormat="0" applyProtection="0">
      <alignment horizontal="right" vertical="center"/>
    </xf>
    <xf numFmtId="4" fontId="45" fillId="38" borderId="56" applyNumberFormat="0" applyProtection="0">
      <alignment horizontal="right" vertical="center"/>
    </xf>
    <xf numFmtId="4" fontId="45" fillId="38" borderId="56" applyNumberFormat="0" applyProtection="0">
      <alignment horizontal="right" vertical="center"/>
    </xf>
    <xf numFmtId="4" fontId="45" fillId="38" borderId="56" applyNumberFormat="0" applyProtection="0">
      <alignment horizontal="right" vertical="center"/>
    </xf>
    <xf numFmtId="4" fontId="18" fillId="117" borderId="8" applyNumberFormat="0" applyProtection="0">
      <alignment horizontal="right" vertical="center"/>
    </xf>
    <xf numFmtId="4" fontId="45" fillId="39" borderId="56" applyNumberFormat="0" applyProtection="0">
      <alignment horizontal="right" vertical="center"/>
    </xf>
    <xf numFmtId="4" fontId="45" fillId="39" borderId="56" applyNumberFormat="0" applyProtection="0">
      <alignment horizontal="right" vertical="center"/>
    </xf>
    <xf numFmtId="4" fontId="45" fillId="39" borderId="56" applyNumberFormat="0" applyProtection="0">
      <alignment horizontal="right" vertical="center"/>
    </xf>
    <xf numFmtId="4" fontId="37" fillId="118" borderId="8" applyNumberFormat="0" applyProtection="0">
      <alignment horizontal="left" vertical="center" indent="1"/>
    </xf>
    <xf numFmtId="4" fontId="45" fillId="40" borderId="68" applyNumberFormat="0" applyProtection="0">
      <alignment horizontal="left" vertical="center" indent="1"/>
    </xf>
    <xf numFmtId="4" fontId="45" fillId="40" borderId="68" applyNumberFormat="0" applyProtection="0">
      <alignment horizontal="left" vertical="center" indent="1"/>
    </xf>
    <xf numFmtId="4" fontId="45" fillId="40" borderId="68" applyNumberFormat="0" applyProtection="0">
      <alignment horizontal="left" vertical="center" indent="1"/>
    </xf>
    <xf numFmtId="4" fontId="18" fillId="119" borderId="75" applyNumberFormat="0" applyProtection="0">
      <alignment horizontal="left" vertical="center" indent="1"/>
    </xf>
    <xf numFmtId="4" fontId="16" fillId="8" borderId="68" applyNumberFormat="0" applyProtection="0">
      <alignment horizontal="left" vertical="center" indent="1"/>
    </xf>
    <xf numFmtId="4" fontId="39" fillId="120" borderId="0" applyNumberFormat="0" applyProtection="0">
      <alignment horizontal="left" vertical="center" indent="1"/>
    </xf>
    <xf numFmtId="4" fontId="16" fillId="8" borderId="68" applyNumberFormat="0" applyProtection="0">
      <alignment horizontal="left" vertical="center" indent="1"/>
    </xf>
    <xf numFmtId="0" fontId="16" fillId="107" borderId="8" applyNumberFormat="0" applyProtection="0">
      <alignment horizontal="left" vertical="center" indent="1"/>
    </xf>
    <xf numFmtId="4" fontId="45" fillId="2" borderId="56" applyNumberFormat="0" applyProtection="0">
      <alignment horizontal="right" vertical="center"/>
    </xf>
    <xf numFmtId="4" fontId="45" fillId="2" borderId="56" applyNumberFormat="0" applyProtection="0">
      <alignment horizontal="right" vertical="center"/>
    </xf>
    <xf numFmtId="4" fontId="45" fillId="2" borderId="56" applyNumberFormat="0" applyProtection="0">
      <alignment horizontal="right" vertical="center"/>
    </xf>
    <xf numFmtId="4" fontId="18" fillId="119" borderId="8" applyNumberFormat="0" applyProtection="0">
      <alignment horizontal="left" vertical="center" indent="1"/>
    </xf>
    <xf numFmtId="4" fontId="45" fillId="41" borderId="68" applyNumberFormat="0" applyProtection="0">
      <alignment horizontal="left" vertical="center" indent="1"/>
    </xf>
    <xf numFmtId="4" fontId="45" fillId="41" borderId="68" applyNumberFormat="0" applyProtection="0">
      <alignment horizontal="left" vertical="center" indent="1"/>
    </xf>
    <xf numFmtId="4" fontId="45" fillId="41" borderId="68" applyNumberFormat="0" applyProtection="0">
      <alignment horizontal="left" vertical="center" indent="1"/>
    </xf>
    <xf numFmtId="4" fontId="18" fillId="46" borderId="8" applyNumberFormat="0" applyProtection="0">
      <alignment horizontal="left" vertical="center" indent="1"/>
    </xf>
    <xf numFmtId="4" fontId="45" fillId="2" borderId="68" applyNumberFormat="0" applyProtection="0">
      <alignment horizontal="left" vertical="center" indent="1"/>
    </xf>
    <xf numFmtId="4" fontId="45" fillId="2" borderId="68" applyNumberFormat="0" applyProtection="0">
      <alignment horizontal="left" vertical="center" indent="1"/>
    </xf>
    <xf numFmtId="4" fontId="45" fillId="2" borderId="68" applyNumberFormat="0" applyProtection="0">
      <alignment horizontal="left" vertical="center" indent="1"/>
    </xf>
    <xf numFmtId="0" fontId="16" fillId="46" borderId="8" applyNumberFormat="0" applyProtection="0">
      <alignment horizontal="left" vertical="center" indent="1"/>
    </xf>
    <xf numFmtId="0" fontId="45" fillId="10" borderId="56" applyNumberFormat="0" applyProtection="0">
      <alignment horizontal="left" vertical="center" indent="1"/>
    </xf>
    <xf numFmtId="0" fontId="45" fillId="10" borderId="56" applyNumberFormat="0" applyProtection="0">
      <alignment horizontal="left" vertical="center" indent="1"/>
    </xf>
    <xf numFmtId="0" fontId="45" fillId="10" borderId="56" applyNumberFormat="0" applyProtection="0">
      <alignment horizontal="left" vertical="center" indent="1"/>
    </xf>
    <xf numFmtId="0" fontId="16" fillId="46" borderId="8" applyNumberFormat="0" applyProtection="0">
      <alignment horizontal="left" vertical="center" indent="1"/>
    </xf>
    <xf numFmtId="0" fontId="45" fillId="8" borderId="9" applyNumberFormat="0" applyProtection="0">
      <alignment horizontal="left" vertical="top" indent="1"/>
    </xf>
    <xf numFmtId="0" fontId="16" fillId="45" borderId="8" applyNumberFormat="0" applyProtection="0">
      <alignment horizontal="left" vertical="center" indent="1"/>
    </xf>
    <xf numFmtId="0" fontId="45" fillId="121" borderId="56" applyNumberFormat="0" applyProtection="0">
      <alignment horizontal="left" vertical="center" indent="1"/>
    </xf>
    <xf numFmtId="0" fontId="45" fillId="121" borderId="56" applyNumberFormat="0" applyProtection="0">
      <alignment horizontal="left" vertical="center" indent="1"/>
    </xf>
    <xf numFmtId="0" fontId="45" fillId="121" borderId="56" applyNumberFormat="0" applyProtection="0">
      <alignment horizontal="left" vertical="center" indent="1"/>
    </xf>
    <xf numFmtId="0" fontId="16" fillId="45" borderId="8" applyNumberFormat="0" applyProtection="0">
      <alignment horizontal="left" vertical="center" indent="1"/>
    </xf>
    <xf numFmtId="0" fontId="45" fillId="2" borderId="9" applyNumberFormat="0" applyProtection="0">
      <alignment horizontal="left" vertical="top" indent="1"/>
    </xf>
    <xf numFmtId="0" fontId="16" fillId="122" borderId="8" applyNumberFormat="0" applyProtection="0">
      <alignment horizontal="left" vertical="center" indent="1"/>
    </xf>
    <xf numFmtId="0" fontId="45" fillId="6" borderId="56" applyNumberFormat="0" applyProtection="0">
      <alignment horizontal="left" vertical="center" indent="1"/>
    </xf>
    <xf numFmtId="0" fontId="45" fillId="6" borderId="56" applyNumberFormat="0" applyProtection="0">
      <alignment horizontal="left" vertical="center" indent="1"/>
    </xf>
    <xf numFmtId="0" fontId="45" fillId="6" borderId="56" applyNumberFormat="0" applyProtection="0">
      <alignment horizontal="left" vertical="center" indent="1"/>
    </xf>
    <xf numFmtId="0" fontId="16" fillId="122" borderId="8" applyNumberFormat="0" applyProtection="0">
      <alignment horizontal="left" vertical="center" indent="1"/>
    </xf>
    <xf numFmtId="0" fontId="45" fillId="6" borderId="9" applyNumberFormat="0" applyProtection="0">
      <alignment horizontal="left" vertical="top" indent="1"/>
    </xf>
    <xf numFmtId="0" fontId="16" fillId="107" borderId="8" applyNumberFormat="0" applyProtection="0">
      <alignment horizontal="left" vertical="center" indent="1"/>
    </xf>
    <xf numFmtId="0" fontId="45" fillId="41" borderId="56" applyNumberFormat="0" applyProtection="0">
      <alignment horizontal="left" vertical="center" indent="1"/>
    </xf>
    <xf numFmtId="0" fontId="45" fillId="41" borderId="56" applyNumberFormat="0" applyProtection="0">
      <alignment horizontal="left" vertical="center" indent="1"/>
    </xf>
    <xf numFmtId="0" fontId="45" fillId="41" borderId="56" applyNumberFormat="0" applyProtection="0">
      <alignment horizontal="left" vertical="center" indent="1"/>
    </xf>
    <xf numFmtId="0" fontId="16" fillId="107" borderId="8" applyNumberFormat="0" applyProtection="0">
      <alignment horizontal="left" vertical="center" indent="1"/>
    </xf>
    <xf numFmtId="0" fontId="45" fillId="41" borderId="9" applyNumberFormat="0" applyProtection="0">
      <alignment horizontal="left" vertical="top" indent="1"/>
    </xf>
    <xf numFmtId="0" fontId="3" fillId="0" borderId="0"/>
    <xf numFmtId="0" fontId="45" fillId="5" borderId="76"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8" borderId="77" applyBorder="0"/>
    <xf numFmtId="4" fontId="18" fillId="123" borderId="8" applyNumberFormat="0" applyProtection="0">
      <alignment vertical="center"/>
    </xf>
    <xf numFmtId="4" fontId="120" fillId="4" borderId="9" applyNumberFormat="0" applyProtection="0">
      <alignment vertical="center"/>
    </xf>
    <xf numFmtId="4" fontId="40" fillId="123" borderId="8" applyNumberFormat="0" applyProtection="0">
      <alignment vertical="center"/>
    </xf>
    <xf numFmtId="4" fontId="117" fillId="123" borderId="11" applyNumberFormat="0" applyProtection="0">
      <alignment vertical="center"/>
    </xf>
    <xf numFmtId="4" fontId="18" fillId="123" borderId="8" applyNumberFormat="0" applyProtection="0">
      <alignment horizontal="left" vertical="center" indent="1"/>
    </xf>
    <xf numFmtId="4" fontId="120" fillId="10" borderId="9" applyNumberFormat="0" applyProtection="0">
      <alignment horizontal="left" vertical="center" indent="1"/>
    </xf>
    <xf numFmtId="4" fontId="18" fillId="123" borderId="8" applyNumberFormat="0" applyProtection="0">
      <alignment horizontal="left" vertical="center" indent="1"/>
    </xf>
    <xf numFmtId="0" fontId="120" fillId="4" borderId="9" applyNumberFormat="0" applyProtection="0">
      <alignment horizontal="left" vertical="top" indent="1"/>
    </xf>
    <xf numFmtId="4" fontId="18" fillId="119" borderId="8" applyNumberFormat="0" applyProtection="0">
      <alignment horizontal="right" vertical="center"/>
    </xf>
    <xf numFmtId="4" fontId="18" fillId="119" borderId="8" applyNumberFormat="0" applyProtection="0">
      <alignment horizontal="right" vertical="center"/>
    </xf>
    <xf numFmtId="4" fontId="45" fillId="0" borderId="56" applyNumberFormat="0" applyProtection="0">
      <alignment horizontal="right" vertical="center"/>
    </xf>
    <xf numFmtId="4" fontId="45" fillId="0" borderId="56" applyNumberFormat="0" applyProtection="0">
      <alignment horizontal="right" vertical="center"/>
    </xf>
    <xf numFmtId="4" fontId="45" fillId="0" borderId="56" applyNumberFormat="0" applyProtection="0">
      <alignment horizontal="right" vertical="center"/>
    </xf>
    <xf numFmtId="4" fontId="45" fillId="0" borderId="56" applyNumberFormat="0" applyProtection="0">
      <alignment horizontal="right" vertical="center"/>
    </xf>
    <xf numFmtId="4" fontId="40" fillId="119" borderId="8" applyNumberFormat="0" applyProtection="0">
      <alignment horizontal="right" vertical="center"/>
    </xf>
    <xf numFmtId="4" fontId="117" fillId="43" borderId="56" applyNumberFormat="0" applyProtection="0">
      <alignment horizontal="right" vertical="center"/>
    </xf>
    <xf numFmtId="0" fontId="16" fillId="107" borderId="8"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0" fontId="16" fillId="107" borderId="8" applyNumberFormat="0" applyProtection="0">
      <alignment horizontal="left" vertical="center" indent="1"/>
    </xf>
    <xf numFmtId="0" fontId="120" fillId="2" borderId="9" applyNumberFormat="0" applyProtection="0">
      <alignment horizontal="left" vertical="top" indent="1"/>
    </xf>
    <xf numFmtId="0" fontId="121" fillId="0" borderId="0"/>
    <xf numFmtId="4" fontId="122" fillId="42" borderId="68" applyNumberFormat="0" applyProtection="0">
      <alignment horizontal="left" vertical="center" indent="1"/>
    </xf>
    <xf numFmtId="0" fontId="45" fillId="124" borderId="11"/>
    <xf numFmtId="0" fontId="45" fillId="124" borderId="11"/>
    <xf numFmtId="0" fontId="45" fillId="124" borderId="11"/>
    <xf numFmtId="4" fontId="42" fillId="119" borderId="8" applyNumberFormat="0" applyProtection="0">
      <alignment horizontal="right" vertical="center"/>
    </xf>
    <xf numFmtId="4" fontId="123" fillId="5" borderId="56" applyNumberFormat="0" applyProtection="0">
      <alignment horizontal="right" vertical="center"/>
    </xf>
    <xf numFmtId="0" fontId="124" fillId="0" borderId="0" applyNumberFormat="0" applyFill="0" applyBorder="0" applyAlignment="0" applyProtection="0"/>
    <xf numFmtId="0" fontId="27" fillId="0" borderId="12" applyNumberFormat="0" applyFill="0" applyAlignment="0" applyProtection="0"/>
    <xf numFmtId="0" fontId="27" fillId="0" borderId="78" applyNumberFormat="0" applyFill="0" applyAlignment="0" applyProtection="0"/>
    <xf numFmtId="0" fontId="125" fillId="0" borderId="0" applyNumberFormat="0" applyFill="0" applyBorder="0" applyAlignment="0" applyProtection="0"/>
    <xf numFmtId="0" fontId="44" fillId="0" borderId="0" applyNumberFormat="0" applyFill="0" applyBorder="0" applyAlignment="0" applyProtection="0"/>
    <xf numFmtId="0" fontId="126" fillId="0" borderId="0" applyNumberFormat="0" applyFill="0" applyBorder="0" applyAlignment="0" applyProtection="0"/>
    <xf numFmtId="0" fontId="105" fillId="55"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104" fillId="71" borderId="0" applyNumberFormat="0" applyBorder="0" applyAlignment="0" applyProtection="0"/>
    <xf numFmtId="0" fontId="104" fillId="75" borderId="0" applyNumberFormat="0" applyBorder="0" applyAlignment="0" applyProtection="0"/>
    <xf numFmtId="0" fontId="104" fillId="79" borderId="0" applyNumberFormat="0" applyBorder="0" applyAlignment="0" applyProtection="0"/>
    <xf numFmtId="0" fontId="104" fillId="83"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59" borderId="6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0" borderId="0"/>
    <xf numFmtId="9" fontId="3" fillId="0" borderId="0" applyFont="0" applyFill="0" applyBorder="0" applyAlignment="0" applyProtection="0"/>
    <xf numFmtId="0" fontId="23" fillId="84" borderId="0" applyNumberFormat="0" applyBorder="0" applyAlignment="0" applyProtection="0"/>
    <xf numFmtId="0" fontId="23" fillId="7"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3" fillId="11" borderId="0" applyNumberFormat="0" applyBorder="0" applyAlignment="0" applyProtection="0"/>
    <xf numFmtId="0" fontId="16" fillId="0" borderId="0"/>
    <xf numFmtId="0" fontId="23" fillId="6"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6" borderId="0" applyNumberFormat="0" applyBorder="0" applyAlignment="0" applyProtection="0"/>
    <xf numFmtId="0" fontId="23" fillId="6" borderId="0" applyNumberFormat="0" applyBorder="0" applyAlignment="0" applyProtection="0"/>
    <xf numFmtId="0" fontId="23" fillId="35" borderId="0" applyNumberFormat="0" applyBorder="0" applyAlignment="0" applyProtection="0"/>
    <xf numFmtId="0" fontId="3" fillId="0" borderId="0"/>
    <xf numFmtId="0" fontId="1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110" fillId="0" borderId="0"/>
    <xf numFmtId="0" fontId="18" fillId="4" borderId="7" applyNumberFormat="0" applyFont="0" applyAlignment="0" applyProtection="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3" fillId="0" borderId="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6"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59" borderId="6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6" applyNumberFormat="0" applyFont="0" applyAlignment="0" applyProtection="0"/>
    <xf numFmtId="0" fontId="16" fillId="0" borderId="0"/>
    <xf numFmtId="43" fontId="3" fillId="0" borderId="0" applyFont="0" applyFill="0" applyBorder="0" applyAlignment="0" applyProtection="0"/>
    <xf numFmtId="4" fontId="45" fillId="0" borderId="56" applyNumberFormat="0" applyProtection="0">
      <alignment horizontal="right" vertical="center"/>
    </xf>
    <xf numFmtId="4" fontId="18" fillId="123" borderId="8" applyNumberFormat="0" applyProtection="0">
      <alignment vertical="center"/>
    </xf>
    <xf numFmtId="4" fontId="45" fillId="34" borderId="68" applyNumberFormat="0" applyProtection="0">
      <alignment horizontal="right" vertical="center"/>
    </xf>
    <xf numFmtId="4" fontId="45" fillId="40" borderId="68" applyNumberFormat="0" applyProtection="0">
      <alignment horizontal="left" vertical="center" indent="1"/>
    </xf>
    <xf numFmtId="4" fontId="45" fillId="37" borderId="56" applyNumberFormat="0" applyProtection="0">
      <alignment horizontal="right" vertical="center"/>
    </xf>
    <xf numFmtId="4" fontId="40" fillId="106" borderId="8" applyNumberFormat="0" applyProtection="0">
      <alignment vertical="center"/>
    </xf>
    <xf numFmtId="0" fontId="16" fillId="107" borderId="8" applyNumberFormat="0" applyProtection="0">
      <alignment horizontal="left" vertical="center" indent="1"/>
    </xf>
    <xf numFmtId="4" fontId="45" fillId="37" borderId="56" applyNumberFormat="0" applyProtection="0">
      <alignment horizontal="right" vertical="center"/>
    </xf>
    <xf numFmtId="4" fontId="45" fillId="0" borderId="56" applyNumberFormat="0" applyProtection="0">
      <alignment horizontal="right" vertical="center"/>
    </xf>
    <xf numFmtId="0" fontId="45" fillId="41" borderId="56" applyNumberFormat="0" applyProtection="0">
      <alignment horizontal="left" vertical="center" indent="1"/>
    </xf>
    <xf numFmtId="0" fontId="16" fillId="46" borderId="8" applyNumberFormat="0" applyProtection="0">
      <alignment horizontal="left" vertical="center" indent="1"/>
    </xf>
    <xf numFmtId="4" fontId="18" fillId="106" borderId="8" applyNumberFormat="0" applyProtection="0">
      <alignment horizontal="left" vertical="center" indent="1"/>
    </xf>
    <xf numFmtId="4" fontId="18" fillId="119" borderId="75" applyNumberFormat="0" applyProtection="0">
      <alignment horizontal="left" vertical="center" indent="1"/>
    </xf>
    <xf numFmtId="0" fontId="45" fillId="10" borderId="56" applyNumberFormat="0" applyProtection="0">
      <alignment horizontal="left" vertical="center" indent="1"/>
    </xf>
    <xf numFmtId="4" fontId="45" fillId="35" borderId="56" applyNumberFormat="0" applyProtection="0">
      <alignment horizontal="right" vertical="center"/>
    </xf>
    <xf numFmtId="0" fontId="118" fillId="33" borderId="9" applyNumberFormat="0" applyProtection="0">
      <alignment horizontal="left" vertical="top" indent="1"/>
    </xf>
    <xf numFmtId="0" fontId="119" fillId="8" borderId="77" applyBorder="0"/>
    <xf numFmtId="0" fontId="45" fillId="121" borderId="56" applyNumberFormat="0" applyProtection="0">
      <alignment horizontal="left" vertical="center" indent="1"/>
    </xf>
    <xf numFmtId="0" fontId="45" fillId="41" borderId="9" applyNumberFormat="0" applyProtection="0">
      <alignment horizontal="left" vertical="top" indent="1"/>
    </xf>
    <xf numFmtId="4" fontId="45" fillId="39" borderId="56" applyNumberFormat="0" applyProtection="0">
      <alignment horizontal="right" vertical="center"/>
    </xf>
    <xf numFmtId="4" fontId="45" fillId="35" borderId="56" applyNumberFormat="0" applyProtection="0">
      <alignment horizontal="right" vertical="center"/>
    </xf>
    <xf numFmtId="0" fontId="45" fillId="10" borderId="56" applyNumberFormat="0" applyProtection="0">
      <alignment horizontal="left" vertical="center" indent="1"/>
    </xf>
    <xf numFmtId="4" fontId="18" fillId="113" borderId="8" applyNumberFormat="0" applyProtection="0">
      <alignment horizontal="right" vertical="center"/>
    </xf>
    <xf numFmtId="0" fontId="45" fillId="10" borderId="56" applyNumberFormat="0" applyProtection="0">
      <alignment horizontal="left" vertical="center" indent="1"/>
    </xf>
    <xf numFmtId="4" fontId="123" fillId="5" borderId="56" applyNumberFormat="0" applyProtection="0">
      <alignment horizontal="right" vertical="center"/>
    </xf>
    <xf numFmtId="4" fontId="18" fillId="117" borderId="8" applyNumberFormat="0" applyProtection="0">
      <alignment horizontal="right" vertical="center"/>
    </xf>
    <xf numFmtId="4" fontId="45" fillId="33" borderId="56" applyNumberFormat="0" applyProtection="0">
      <alignment vertical="center"/>
    </xf>
    <xf numFmtId="4" fontId="45" fillId="37" borderId="56" applyNumberFormat="0" applyProtection="0">
      <alignment horizontal="right" vertical="center"/>
    </xf>
    <xf numFmtId="0" fontId="45" fillId="121" borderId="56" applyNumberFormat="0" applyProtection="0">
      <alignment horizontal="left" vertical="center" indent="1"/>
    </xf>
    <xf numFmtId="4" fontId="18" fillId="46" borderId="8" applyNumberFormat="0" applyProtection="0">
      <alignment horizontal="left" vertical="center" indent="1"/>
    </xf>
    <xf numFmtId="4" fontId="45" fillId="37" borderId="56" applyNumberFormat="0" applyProtection="0">
      <alignment horizontal="right" vertical="center"/>
    </xf>
    <xf numFmtId="4" fontId="37" fillId="118" borderId="8" applyNumberFormat="0" applyProtection="0">
      <alignment horizontal="left" vertical="center" indent="1"/>
    </xf>
    <xf numFmtId="4" fontId="45" fillId="9" borderId="56" applyNumberFormat="0" applyProtection="0">
      <alignment horizontal="right" vertical="center"/>
    </xf>
    <xf numFmtId="0" fontId="45" fillId="6" borderId="56" applyNumberFormat="0" applyProtection="0">
      <alignment horizontal="left" vertical="center" indent="1"/>
    </xf>
    <xf numFmtId="0" fontId="120" fillId="4" borderId="9" applyNumberFormat="0" applyProtection="0">
      <alignment horizontal="left" vertical="top" indent="1"/>
    </xf>
    <xf numFmtId="4" fontId="45" fillId="41" borderId="68" applyNumberFormat="0" applyProtection="0">
      <alignment horizontal="left" vertical="center" indent="1"/>
    </xf>
    <xf numFmtId="0" fontId="45" fillId="124" borderId="79"/>
    <xf numFmtId="4" fontId="45" fillId="51" borderId="56" applyNumberFormat="0" applyProtection="0">
      <alignment horizontal="left" vertical="center" indent="1"/>
    </xf>
    <xf numFmtId="0" fontId="36" fillId="10" borderId="8" applyNumberFormat="0" applyAlignment="0" applyProtection="0"/>
    <xf numFmtId="0" fontId="18" fillId="4" borderId="7" applyNumberFormat="0" applyFont="0" applyAlignment="0" applyProtection="0"/>
    <xf numFmtId="4" fontId="18" fillId="112" borderId="8" applyNumberFormat="0" applyProtection="0">
      <alignment horizontal="right" vertical="center"/>
    </xf>
    <xf numFmtId="0" fontId="16" fillId="45" borderId="8" applyNumberFormat="0" applyProtection="0">
      <alignment horizontal="left" vertical="center" indent="1"/>
    </xf>
    <xf numFmtId="0" fontId="16" fillId="46" borderId="8" applyNumberFormat="0" applyProtection="0">
      <alignment horizontal="left" vertical="center" indent="1"/>
    </xf>
    <xf numFmtId="4" fontId="45" fillId="38" borderId="56" applyNumberFormat="0" applyProtection="0">
      <alignment horizontal="right" vertical="center"/>
    </xf>
    <xf numFmtId="4" fontId="18" fillId="108" borderId="8" applyNumberFormat="0" applyProtection="0">
      <alignment horizontal="right" vertical="center"/>
    </xf>
    <xf numFmtId="4" fontId="45" fillId="51" borderId="56" applyNumberFormat="0" applyProtection="0">
      <alignment horizontal="left" vertical="center" indent="1"/>
    </xf>
    <xf numFmtId="0" fontId="45" fillId="41" borderId="56" applyNumberFormat="0" applyProtection="0">
      <alignment horizontal="left" vertical="center" indent="1"/>
    </xf>
    <xf numFmtId="4" fontId="45" fillId="2" borderId="56"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0" fontId="45" fillId="6" borderId="56" applyNumberFormat="0" applyProtection="0">
      <alignment horizontal="left" vertical="center" indent="1"/>
    </xf>
    <xf numFmtId="4" fontId="45" fillId="51" borderId="56" applyNumberFormat="0" applyProtection="0">
      <alignment horizontal="left" vertical="center" indent="1"/>
    </xf>
    <xf numFmtId="4" fontId="45" fillId="41" borderId="68" applyNumberFormat="0" applyProtection="0">
      <alignment horizontal="left" vertical="center" indent="1"/>
    </xf>
    <xf numFmtId="0" fontId="16" fillId="107" borderId="8" applyNumberFormat="0" applyProtection="0">
      <alignment horizontal="left" vertical="center" indent="1"/>
    </xf>
    <xf numFmtId="4" fontId="18" fillId="119" borderId="8" applyNumberFormat="0" applyProtection="0">
      <alignment horizontal="right" vertical="center"/>
    </xf>
    <xf numFmtId="4" fontId="40" fillId="106" borderId="8" applyNumberFormat="0" applyProtection="0">
      <alignment vertical="center"/>
    </xf>
    <xf numFmtId="4" fontId="18" fillId="119" borderId="8" applyNumberFormat="0" applyProtection="0">
      <alignment horizontal="right" vertical="center"/>
    </xf>
    <xf numFmtId="4" fontId="45" fillId="40" borderId="68" applyNumberFormat="0" applyProtection="0">
      <alignment horizontal="left" vertical="center" indent="1"/>
    </xf>
    <xf numFmtId="0" fontId="45" fillId="2" borderId="9" applyNumberFormat="0" applyProtection="0">
      <alignment horizontal="left" vertical="top" indent="1"/>
    </xf>
    <xf numFmtId="4" fontId="45" fillId="33" borderId="56" applyNumberFormat="0" applyProtection="0">
      <alignment vertical="center"/>
    </xf>
    <xf numFmtId="4" fontId="117" fillId="123" borderId="79" applyNumberFormat="0" applyProtection="0">
      <alignment vertical="center"/>
    </xf>
    <xf numFmtId="0" fontId="120" fillId="2" borderId="9" applyNumberFormat="0" applyProtection="0">
      <alignment horizontal="left" vertical="top" indent="1"/>
    </xf>
    <xf numFmtId="4" fontId="45" fillId="37" borderId="56" applyNumberFormat="0" applyProtection="0">
      <alignment horizontal="right" vertical="center"/>
    </xf>
    <xf numFmtId="0" fontId="108" fillId="101" borderId="56" applyNumberFormat="0" applyAlignment="0" applyProtection="0"/>
    <xf numFmtId="4" fontId="45" fillId="51" borderId="56" applyNumberFormat="0" applyProtection="0">
      <alignment horizontal="left" vertical="center" indent="1"/>
    </xf>
    <xf numFmtId="4" fontId="40" fillId="123" borderId="8" applyNumberFormat="0" applyProtection="0">
      <alignment vertical="center"/>
    </xf>
    <xf numFmtId="4" fontId="45" fillId="33" borderId="56" applyNumberFormat="0" applyProtection="0">
      <alignment vertical="center"/>
    </xf>
    <xf numFmtId="0" fontId="16" fillId="107" borderId="8" applyNumberFormat="0" applyProtection="0">
      <alignment horizontal="left" vertical="center" indent="1"/>
    </xf>
    <xf numFmtId="4" fontId="45" fillId="40" borderId="68" applyNumberFormat="0" applyProtection="0">
      <alignment horizontal="left" vertical="center" indent="1"/>
    </xf>
    <xf numFmtId="4" fontId="18" fillId="119" borderId="8" applyNumberFormat="0" applyProtection="0">
      <alignment horizontal="right" vertical="center"/>
    </xf>
    <xf numFmtId="0" fontId="16" fillId="107" borderId="8" applyNumberFormat="0" applyProtection="0">
      <alignment horizontal="left" vertical="center" indent="1"/>
    </xf>
    <xf numFmtId="4" fontId="45" fillId="39" borderId="56" applyNumberFormat="0" applyProtection="0">
      <alignment horizontal="right" vertical="center"/>
    </xf>
    <xf numFmtId="0" fontId="33" fillId="27" borderId="56" applyNumberFormat="0" applyAlignment="0" applyProtection="0"/>
    <xf numFmtId="4" fontId="18" fillId="112" borderId="8" applyNumberFormat="0" applyProtection="0">
      <alignment horizontal="right" vertical="center"/>
    </xf>
    <xf numFmtId="4" fontId="45" fillId="38" borderId="56" applyNumberFormat="0" applyProtection="0">
      <alignment horizontal="right" vertical="center"/>
    </xf>
    <xf numFmtId="4" fontId="45" fillId="106" borderId="56" applyNumberFormat="0" applyProtection="0">
      <alignment horizontal="left" vertical="center" indent="1"/>
    </xf>
    <xf numFmtId="4" fontId="45" fillId="36" borderId="56" applyNumberFormat="0" applyProtection="0">
      <alignment horizontal="right" vertical="center"/>
    </xf>
    <xf numFmtId="4" fontId="45" fillId="41" borderId="68" applyNumberFormat="0" applyProtection="0">
      <alignment horizontal="left" vertical="center" indent="1"/>
    </xf>
    <xf numFmtId="4" fontId="45" fillId="110" borderId="56" applyNumberFormat="0" applyProtection="0">
      <alignment horizontal="right" vertical="center"/>
    </xf>
    <xf numFmtId="4" fontId="45" fillId="2" borderId="68" applyNumberFormat="0" applyProtection="0">
      <alignment horizontal="left" vertical="center" indent="1"/>
    </xf>
    <xf numFmtId="4" fontId="45" fillId="39" borderId="56" applyNumberFormat="0" applyProtection="0">
      <alignment horizontal="right" vertical="center"/>
    </xf>
    <xf numFmtId="4" fontId="45" fillId="41" borderId="68" applyNumberFormat="0" applyProtection="0">
      <alignment horizontal="left" vertical="center" indent="1"/>
    </xf>
    <xf numFmtId="4" fontId="18" fillId="106" borderId="8" applyNumberFormat="0" applyProtection="0">
      <alignment horizontal="left" vertical="center" indent="1"/>
    </xf>
    <xf numFmtId="4" fontId="18" fillId="115" borderId="8" applyNumberFormat="0" applyProtection="0">
      <alignment horizontal="right" vertical="center"/>
    </xf>
    <xf numFmtId="4" fontId="18" fillId="106" borderId="8" applyNumberFormat="0" applyProtection="0">
      <alignment horizontal="left" vertical="center" indent="1"/>
    </xf>
    <xf numFmtId="4" fontId="45" fillId="38" borderId="56" applyNumberFormat="0" applyProtection="0">
      <alignment horizontal="right" vertical="center"/>
    </xf>
    <xf numFmtId="4" fontId="45" fillId="2" borderId="68" applyNumberFormat="0" applyProtection="0">
      <alignment horizontal="left" vertical="center" indent="1"/>
    </xf>
    <xf numFmtId="4" fontId="45" fillId="35" borderId="56" applyNumberFormat="0" applyProtection="0">
      <alignment horizontal="right" vertical="center"/>
    </xf>
    <xf numFmtId="0" fontId="45" fillId="2" borderId="9" applyNumberFormat="0" applyProtection="0">
      <alignment horizontal="left" vertical="top" indent="1"/>
    </xf>
    <xf numFmtId="4" fontId="45" fillId="7" borderId="56" applyNumberFormat="0" applyProtection="0">
      <alignment horizontal="right" vertical="center"/>
    </xf>
    <xf numFmtId="0" fontId="36" fillId="10" borderId="8" applyNumberFormat="0" applyAlignment="0" applyProtection="0"/>
    <xf numFmtId="4" fontId="45" fillId="51" borderId="56" applyNumberFormat="0" applyProtection="0">
      <alignment horizontal="left" vertical="center" indent="1"/>
    </xf>
    <xf numFmtId="4" fontId="45" fillId="40" borderId="68" applyNumberFormat="0" applyProtection="0">
      <alignment horizontal="left" vertical="center" indent="1"/>
    </xf>
    <xf numFmtId="0" fontId="45" fillId="41" borderId="9" applyNumberFormat="0" applyProtection="0">
      <alignment horizontal="left" vertical="top" indent="1"/>
    </xf>
    <xf numFmtId="4" fontId="45" fillId="37" borderId="56" applyNumberFormat="0" applyProtection="0">
      <alignment horizontal="right" vertical="center"/>
    </xf>
    <xf numFmtId="0" fontId="16" fillId="122" borderId="8" applyNumberFormat="0" applyProtection="0">
      <alignment horizontal="left" vertical="center" indent="1"/>
    </xf>
    <xf numFmtId="0" fontId="36" fillId="101" borderId="8" applyNumberFormat="0" applyAlignment="0" applyProtection="0"/>
    <xf numFmtId="0" fontId="109" fillId="10" borderId="1" applyNumberFormat="0" applyAlignment="0" applyProtection="0"/>
    <xf numFmtId="4" fontId="18" fillId="123" borderId="8" applyNumberFormat="0" applyProtection="0">
      <alignment horizontal="left" vertical="center" indent="1"/>
    </xf>
    <xf numFmtId="4" fontId="45" fillId="34" borderId="68" applyNumberFormat="0" applyProtection="0">
      <alignment horizontal="right" vertical="center"/>
    </xf>
    <xf numFmtId="4" fontId="18" fillId="46" borderId="8" applyNumberFormat="0" applyProtection="0">
      <alignment horizontal="left" vertical="center" indent="1"/>
    </xf>
    <xf numFmtId="4" fontId="120" fillId="10" borderId="9" applyNumberFormat="0" applyProtection="0">
      <alignment horizontal="left" vertical="center" indent="1"/>
    </xf>
    <xf numFmtId="4" fontId="45" fillId="41" borderId="68" applyNumberFormat="0" applyProtection="0">
      <alignment horizontal="left" vertical="center" indent="1"/>
    </xf>
    <xf numFmtId="0" fontId="45" fillId="41" borderId="56" applyNumberFormat="0" applyProtection="0">
      <alignment horizontal="left" vertical="center" indent="1"/>
    </xf>
    <xf numFmtId="4" fontId="122" fillId="42" borderId="68" applyNumberFormat="0" applyProtection="0">
      <alignment horizontal="left" vertical="center" indent="1"/>
    </xf>
    <xf numFmtId="4" fontId="45" fillId="51" borderId="56" applyNumberFormat="0" applyProtection="0">
      <alignment horizontal="left" vertical="center" indent="1"/>
    </xf>
    <xf numFmtId="0" fontId="16" fillId="107" borderId="8" applyNumberFormat="0" applyProtection="0">
      <alignment horizontal="left" vertical="center" indent="1"/>
    </xf>
    <xf numFmtId="0" fontId="45" fillId="124" borderId="79"/>
    <xf numFmtId="0" fontId="45" fillId="6" borderId="56" applyNumberFormat="0" applyProtection="0">
      <alignment horizontal="left" vertical="center" indent="1"/>
    </xf>
    <xf numFmtId="0" fontId="16" fillId="107" borderId="8" applyNumberFormat="0" applyProtection="0">
      <alignment horizontal="left" vertical="center" indent="1"/>
    </xf>
    <xf numFmtId="4" fontId="45" fillId="38" borderId="56" applyNumberFormat="0" applyProtection="0">
      <alignment horizontal="right" vertical="center"/>
    </xf>
    <xf numFmtId="4" fontId="45" fillId="2" borderId="56" applyNumberFormat="0" applyProtection="0">
      <alignment horizontal="right" vertical="center"/>
    </xf>
    <xf numFmtId="4" fontId="18" fillId="111" borderId="8" applyNumberFormat="0" applyProtection="0">
      <alignment horizontal="right" vertical="center"/>
    </xf>
    <xf numFmtId="4" fontId="45" fillId="35" borderId="56" applyNumberFormat="0" applyProtection="0">
      <alignment horizontal="right" vertical="center"/>
    </xf>
    <xf numFmtId="4" fontId="18" fillId="119" borderId="8" applyNumberFormat="0" applyProtection="0">
      <alignment horizontal="left" vertical="center" indent="1"/>
    </xf>
    <xf numFmtId="4" fontId="18" fillId="119" borderId="8" applyNumberFormat="0" applyProtection="0">
      <alignment horizontal="right" vertical="center"/>
    </xf>
    <xf numFmtId="0" fontId="18" fillId="4" borderId="7" applyNumberFormat="0" applyFont="0" applyAlignment="0" applyProtection="0"/>
    <xf numFmtId="0" fontId="45" fillId="6" borderId="9" applyNumberFormat="0" applyProtection="0">
      <alignment horizontal="left" vertical="top" indent="1"/>
    </xf>
    <xf numFmtId="0" fontId="27" fillId="0" borderId="78" applyNumberFormat="0" applyFill="0" applyAlignment="0" applyProtection="0"/>
    <xf numFmtId="0" fontId="45" fillId="10" borderId="56" applyNumberFormat="0" applyProtection="0">
      <alignment horizontal="left" vertical="center" indent="1"/>
    </xf>
    <xf numFmtId="4" fontId="18" fillId="117" borderId="8" applyNumberFormat="0" applyProtection="0">
      <alignment horizontal="right" vertical="center"/>
    </xf>
    <xf numFmtId="4" fontId="18" fillId="123" borderId="8" applyNumberFormat="0" applyProtection="0">
      <alignment vertical="center"/>
    </xf>
    <xf numFmtId="4" fontId="45" fillId="51" borderId="56" applyNumberFormat="0" applyProtection="0">
      <alignment horizontal="left" vertical="center" indent="1"/>
    </xf>
    <xf numFmtId="0" fontId="16" fillId="122" borderId="8" applyNumberFormat="0" applyProtection="0">
      <alignment horizontal="left" vertical="center" indent="1"/>
    </xf>
    <xf numFmtId="4" fontId="45" fillId="9" borderId="56" applyNumberFormat="0" applyProtection="0">
      <alignment horizontal="right" vertical="center"/>
    </xf>
    <xf numFmtId="4" fontId="18" fillId="114" borderId="8" applyNumberFormat="0" applyProtection="0">
      <alignment horizontal="right" vertical="center"/>
    </xf>
    <xf numFmtId="4" fontId="45" fillId="36" borderId="56" applyNumberFormat="0" applyProtection="0">
      <alignment horizontal="right" vertical="center"/>
    </xf>
    <xf numFmtId="4" fontId="45" fillId="34" borderId="68" applyNumberFormat="0" applyProtection="0">
      <alignment horizontal="right" vertical="center"/>
    </xf>
    <xf numFmtId="0" fontId="27" fillId="0" borderId="12" applyNumberFormat="0" applyFill="0" applyAlignment="0" applyProtection="0"/>
    <xf numFmtId="4" fontId="45" fillId="7" borderId="56" applyNumberFormat="0" applyProtection="0">
      <alignment horizontal="right" vertical="center"/>
    </xf>
    <xf numFmtId="4" fontId="45" fillId="40" borderId="68" applyNumberFormat="0" applyProtection="0">
      <alignment horizontal="left" vertical="center" indent="1"/>
    </xf>
    <xf numFmtId="4" fontId="45" fillId="110" borderId="56" applyNumberFormat="0" applyProtection="0">
      <alignment horizontal="right" vertical="center"/>
    </xf>
    <xf numFmtId="4" fontId="45" fillId="7" borderId="56" applyNumberFormat="0" applyProtection="0">
      <alignment horizontal="right" vertical="center"/>
    </xf>
    <xf numFmtId="4" fontId="45" fillId="51" borderId="56" applyNumberFormat="0" applyProtection="0">
      <alignment horizontal="left" vertical="center" indent="1"/>
    </xf>
    <xf numFmtId="4" fontId="45" fillId="110" borderId="56" applyNumberFormat="0" applyProtection="0">
      <alignment horizontal="right" vertical="center"/>
    </xf>
    <xf numFmtId="0" fontId="45" fillId="121" borderId="56" applyNumberFormat="0" applyProtection="0">
      <alignment horizontal="left" vertical="center" indent="1"/>
    </xf>
    <xf numFmtId="4" fontId="45" fillId="51" borderId="56" applyNumberFormat="0" applyProtection="0">
      <alignment horizontal="left" vertical="center" indent="1"/>
    </xf>
    <xf numFmtId="4" fontId="45" fillId="36" borderId="56" applyNumberFormat="0" applyProtection="0">
      <alignment horizontal="right" vertical="center"/>
    </xf>
    <xf numFmtId="4" fontId="45" fillId="2" borderId="56" applyNumberFormat="0" applyProtection="0">
      <alignment horizontal="right" vertical="center"/>
    </xf>
    <xf numFmtId="4" fontId="45" fillId="51" borderId="56" applyNumberFormat="0" applyProtection="0">
      <alignment horizontal="left" vertical="center" indent="1"/>
    </xf>
    <xf numFmtId="0" fontId="120" fillId="4" borderId="9" applyNumberFormat="0" applyProtection="0">
      <alignment horizontal="left" vertical="top" indent="1"/>
    </xf>
    <xf numFmtId="0" fontId="16" fillId="107" borderId="8" applyNumberFormat="0" applyProtection="0">
      <alignment horizontal="left" vertical="center" indent="1"/>
    </xf>
    <xf numFmtId="4" fontId="45" fillId="36" borderId="56" applyNumberFormat="0" applyProtection="0">
      <alignment horizontal="right" vertical="center"/>
    </xf>
    <xf numFmtId="4" fontId="45" fillId="35" borderId="56" applyNumberFormat="0" applyProtection="0">
      <alignment horizontal="right" vertical="center"/>
    </xf>
    <xf numFmtId="0" fontId="45" fillId="121" borderId="56" applyNumberFormat="0" applyProtection="0">
      <alignment horizontal="left" vertical="center" indent="1"/>
    </xf>
    <xf numFmtId="0" fontId="45" fillId="6" borderId="56" applyNumberFormat="0" applyProtection="0">
      <alignment horizontal="left" vertical="center" indent="1"/>
    </xf>
    <xf numFmtId="4" fontId="117" fillId="106" borderId="56" applyNumberFormat="0" applyProtection="0">
      <alignment vertical="center"/>
    </xf>
    <xf numFmtId="4" fontId="45" fillId="33" borderId="56" applyNumberFormat="0" applyProtection="0">
      <alignment vertical="center"/>
    </xf>
    <xf numFmtId="4" fontId="117" fillId="106" borderId="56" applyNumberFormat="0" applyProtection="0">
      <alignment vertical="center"/>
    </xf>
    <xf numFmtId="0" fontId="16" fillId="46" borderId="8" applyNumberFormat="0" applyProtection="0">
      <alignment horizontal="left" vertical="center" indent="1"/>
    </xf>
    <xf numFmtId="4" fontId="45" fillId="34" borderId="68" applyNumberFormat="0" applyProtection="0">
      <alignment horizontal="right" vertical="center"/>
    </xf>
    <xf numFmtId="4" fontId="45" fillId="106" borderId="56" applyNumberFormat="0" applyProtection="0">
      <alignment horizontal="left" vertical="center" indent="1"/>
    </xf>
    <xf numFmtId="4" fontId="16" fillId="8" borderId="68" applyNumberFormat="0" applyProtection="0">
      <alignment horizontal="left" vertical="center" indent="1"/>
    </xf>
    <xf numFmtId="0" fontId="45" fillId="6" borderId="56" applyNumberFormat="0" applyProtection="0">
      <alignment horizontal="left" vertical="center" indent="1"/>
    </xf>
    <xf numFmtId="4" fontId="16" fillId="8" borderId="68" applyNumberFormat="0" applyProtection="0">
      <alignment horizontal="left" vertical="center" indent="1"/>
    </xf>
    <xf numFmtId="0" fontId="16" fillId="46" borderId="8" applyNumberFormat="0" applyProtection="0">
      <alignment horizontal="left" vertical="center" indent="1"/>
    </xf>
    <xf numFmtId="0" fontId="16" fillId="107" borderId="8" applyNumberFormat="0" applyProtection="0">
      <alignment horizontal="left" vertical="center" indent="1"/>
    </xf>
    <xf numFmtId="4" fontId="18" fillId="106" borderId="8" applyNumberFormat="0" applyProtection="0">
      <alignment vertical="center"/>
    </xf>
    <xf numFmtId="4" fontId="45" fillId="36" borderId="56" applyNumberFormat="0" applyProtection="0">
      <alignment horizontal="right" vertical="center"/>
    </xf>
    <xf numFmtId="4" fontId="16" fillId="8" borderId="68" applyNumberFormat="0" applyProtection="0">
      <alignment horizontal="left" vertical="center" indent="1"/>
    </xf>
    <xf numFmtId="4" fontId="37" fillId="118" borderId="8" applyNumberFormat="0" applyProtection="0">
      <alignment horizontal="left" vertical="center" indent="1"/>
    </xf>
    <xf numFmtId="4" fontId="18" fillId="116" borderId="8" applyNumberFormat="0" applyProtection="0">
      <alignment horizontal="right" vertical="center"/>
    </xf>
    <xf numFmtId="4" fontId="18" fillId="106" borderId="8" applyNumberFormat="0" applyProtection="0">
      <alignment vertical="center"/>
    </xf>
    <xf numFmtId="4" fontId="40" fillId="123" borderId="8" applyNumberFormat="0" applyProtection="0">
      <alignment vertical="center"/>
    </xf>
    <xf numFmtId="4" fontId="40" fillId="119" borderId="8" applyNumberFormat="0" applyProtection="0">
      <alignment horizontal="right" vertical="center"/>
    </xf>
    <xf numFmtId="4" fontId="18" fillId="114" borderId="8" applyNumberFormat="0" applyProtection="0">
      <alignment horizontal="right" vertical="center"/>
    </xf>
    <xf numFmtId="0" fontId="18" fillId="4" borderId="7" applyNumberFormat="0" applyFont="0" applyAlignment="0" applyProtection="0"/>
    <xf numFmtId="4" fontId="18" fillId="108" borderId="8" applyNumberFormat="0" applyProtection="0">
      <alignment horizontal="right" vertical="center"/>
    </xf>
    <xf numFmtId="4" fontId="45" fillId="9" borderId="56" applyNumberFormat="0" applyProtection="0">
      <alignment horizontal="right" vertical="center"/>
    </xf>
    <xf numFmtId="4" fontId="123" fillId="5" borderId="56" applyNumberFormat="0" applyProtection="0">
      <alignment horizontal="right" vertical="center"/>
    </xf>
    <xf numFmtId="0" fontId="16" fillId="122" borderId="8" applyNumberFormat="0" applyProtection="0">
      <alignment horizontal="left" vertical="center" indent="1"/>
    </xf>
    <xf numFmtId="0" fontId="45" fillId="41" borderId="56" applyNumberFormat="0" applyProtection="0">
      <alignment horizontal="left" vertical="center" indent="1"/>
    </xf>
    <xf numFmtId="0" fontId="45" fillId="121" borderId="56" applyNumberFormat="0" applyProtection="0">
      <alignment horizontal="left" vertical="center" indent="1"/>
    </xf>
    <xf numFmtId="4" fontId="45" fillId="34" borderId="68" applyNumberFormat="0" applyProtection="0">
      <alignment horizontal="right" vertical="center"/>
    </xf>
    <xf numFmtId="4" fontId="45" fillId="106" borderId="56" applyNumberFormat="0" applyProtection="0">
      <alignment horizontal="left" vertical="center" indent="1"/>
    </xf>
    <xf numFmtId="0" fontId="45" fillId="8" borderId="9" applyNumberFormat="0" applyProtection="0">
      <alignment horizontal="left" vertical="top" indent="1"/>
    </xf>
    <xf numFmtId="4" fontId="45" fillId="34" borderId="68" applyNumberFormat="0" applyProtection="0">
      <alignment horizontal="right" vertical="center"/>
    </xf>
    <xf numFmtId="4" fontId="45" fillId="2" borderId="68" applyNumberFormat="0" applyProtection="0">
      <alignment horizontal="left" vertical="center" indent="1"/>
    </xf>
    <xf numFmtId="4" fontId="45" fillId="40" borderId="68" applyNumberFormat="0" applyProtection="0">
      <alignment horizontal="left" vertical="center" indent="1"/>
    </xf>
    <xf numFmtId="4" fontId="45" fillId="2" borderId="56" applyNumberFormat="0" applyProtection="0">
      <alignment horizontal="right" vertical="center"/>
    </xf>
    <xf numFmtId="0" fontId="45" fillId="8" borderId="9" applyNumberFormat="0" applyProtection="0">
      <alignment horizontal="left" vertical="top" indent="1"/>
    </xf>
    <xf numFmtId="4" fontId="45" fillId="38" borderId="56" applyNumberFormat="0" applyProtection="0">
      <alignment horizontal="right" vertical="center"/>
    </xf>
    <xf numFmtId="0" fontId="45" fillId="121" borderId="56" applyNumberFormat="0" applyProtection="0">
      <alignment horizontal="left" vertical="center" indent="1"/>
    </xf>
    <xf numFmtId="0" fontId="115" fillId="11" borderId="1" applyNumberFormat="0" applyAlignment="0" applyProtection="0"/>
    <xf numFmtId="4" fontId="18" fillId="123" borderId="8" applyNumberFormat="0" applyProtection="0">
      <alignment horizontal="left" vertical="center" indent="1"/>
    </xf>
    <xf numFmtId="4" fontId="120" fillId="4" borderId="9" applyNumberFormat="0" applyProtection="0">
      <alignment vertical="center"/>
    </xf>
    <xf numFmtId="4" fontId="120" fillId="4" borderId="9" applyNumberFormat="0" applyProtection="0">
      <alignment vertical="center"/>
    </xf>
    <xf numFmtId="0" fontId="45" fillId="6" borderId="9" applyNumberFormat="0" applyProtection="0">
      <alignment horizontal="left" vertical="top" indent="1"/>
    </xf>
    <xf numFmtId="4" fontId="45" fillId="110" borderId="56" applyNumberFormat="0" applyProtection="0">
      <alignment horizontal="right" vertical="center"/>
    </xf>
    <xf numFmtId="4" fontId="45" fillId="2" borderId="68" applyNumberFormat="0" applyProtection="0">
      <alignment horizontal="left" vertical="center" indent="1"/>
    </xf>
    <xf numFmtId="0" fontId="45" fillId="10" borderId="56" applyNumberFormat="0" applyProtection="0">
      <alignment horizontal="left" vertical="center" indent="1"/>
    </xf>
    <xf numFmtId="4" fontId="18" fillId="119" borderId="8" applyNumberFormat="0" applyProtection="0">
      <alignment horizontal="left" vertical="center" indent="1"/>
    </xf>
    <xf numFmtId="4" fontId="45" fillId="9" borderId="56" applyNumberFormat="0" applyProtection="0">
      <alignment horizontal="right" vertical="center"/>
    </xf>
    <xf numFmtId="4" fontId="45" fillId="2" borderId="56" applyNumberFormat="0" applyProtection="0">
      <alignment horizontal="right" vertical="center"/>
    </xf>
    <xf numFmtId="0" fontId="45" fillId="41" borderId="56" applyNumberFormat="0" applyProtection="0">
      <alignment horizontal="left" vertical="center" indent="1"/>
    </xf>
    <xf numFmtId="4" fontId="117" fillId="43" borderId="56" applyNumberFormat="0" applyProtection="0">
      <alignment horizontal="right" vertical="center"/>
    </xf>
    <xf numFmtId="4" fontId="45" fillId="2" borderId="56" applyNumberFormat="0" applyProtection="0">
      <alignment horizontal="right" vertical="center"/>
    </xf>
    <xf numFmtId="4" fontId="45" fillId="0" borderId="56" applyNumberFormat="0" applyProtection="0">
      <alignment horizontal="right" vertical="center"/>
    </xf>
    <xf numFmtId="0" fontId="16" fillId="45" borderId="8" applyNumberFormat="0" applyProtection="0">
      <alignment horizontal="left" vertical="center" indent="1"/>
    </xf>
    <xf numFmtId="4" fontId="18" fillId="111" borderId="8" applyNumberFormat="0" applyProtection="0">
      <alignment horizontal="right" vertical="center"/>
    </xf>
    <xf numFmtId="0" fontId="16" fillId="107" borderId="8" applyNumberFormat="0" applyProtection="0">
      <alignment horizontal="left" vertical="center" indent="1"/>
    </xf>
    <xf numFmtId="4" fontId="18" fillId="106" borderId="8" applyNumberFormat="0" applyProtection="0">
      <alignment vertical="center"/>
    </xf>
    <xf numFmtId="4" fontId="45" fillId="39" borderId="56" applyNumberFormat="0" applyProtection="0">
      <alignment horizontal="right" vertical="center"/>
    </xf>
    <xf numFmtId="0" fontId="33" fillId="27" borderId="56" applyNumberFormat="0" applyAlignment="0" applyProtection="0"/>
    <xf numFmtId="0" fontId="45" fillId="41" borderId="56" applyNumberFormat="0" applyProtection="0">
      <alignment horizontal="left" vertical="center" indent="1"/>
    </xf>
    <xf numFmtId="4" fontId="18" fillId="115" borderId="8" applyNumberFormat="0" applyProtection="0">
      <alignment horizontal="right" vertical="center"/>
    </xf>
    <xf numFmtId="4" fontId="45" fillId="9" borderId="56" applyNumberFormat="0" applyProtection="0">
      <alignment horizontal="right" vertical="center"/>
    </xf>
    <xf numFmtId="4" fontId="45" fillId="39" borderId="56"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4" fontId="45" fillId="0" borderId="56" applyNumberFormat="0" applyProtection="0">
      <alignment horizontal="right" vertical="center"/>
    </xf>
    <xf numFmtId="4" fontId="45" fillId="110" borderId="56" applyNumberFormat="0" applyProtection="0">
      <alignment horizontal="right" vertical="center"/>
    </xf>
    <xf numFmtId="4" fontId="18" fillId="106" borderId="8" applyNumberFormat="0" applyProtection="0">
      <alignment horizontal="left" vertical="center" indent="1"/>
    </xf>
    <xf numFmtId="4" fontId="45" fillId="51" borderId="56" applyNumberFormat="0" applyProtection="0">
      <alignment horizontal="left" vertical="center" indent="1"/>
    </xf>
    <xf numFmtId="0" fontId="16" fillId="122" borderId="8" applyNumberFormat="0" applyProtection="0">
      <alignment horizontal="left" vertical="center" indent="1"/>
    </xf>
    <xf numFmtId="4" fontId="18" fillId="123" borderId="8" applyNumberFormat="0" applyProtection="0">
      <alignment horizontal="left" vertical="center" indent="1"/>
    </xf>
    <xf numFmtId="4" fontId="45" fillId="7" borderId="56" applyNumberFormat="0" applyProtection="0">
      <alignment horizontal="right" vertical="center"/>
    </xf>
    <xf numFmtId="0" fontId="115" fillId="11" borderId="1" applyNumberFormat="0" applyAlignment="0" applyProtection="0"/>
    <xf numFmtId="4" fontId="117" fillId="43" borderId="56" applyNumberFormat="0" applyProtection="0">
      <alignment horizontal="right" vertical="center"/>
    </xf>
    <xf numFmtId="4" fontId="45" fillId="110" borderId="56" applyNumberFormat="0" applyProtection="0">
      <alignment horizontal="right" vertical="center"/>
    </xf>
    <xf numFmtId="0" fontId="16" fillId="45" borderId="8" applyNumberFormat="0" applyProtection="0">
      <alignment horizontal="left" vertical="center" indent="1"/>
    </xf>
    <xf numFmtId="0" fontId="119" fillId="8" borderId="77" applyBorder="0"/>
    <xf numFmtId="0" fontId="45" fillId="6" borderId="56" applyNumberFormat="0" applyProtection="0">
      <alignment horizontal="left" vertical="center" indent="1"/>
    </xf>
    <xf numFmtId="4" fontId="18" fillId="116" borderId="8" applyNumberFormat="0" applyProtection="0">
      <alignment horizontal="right" vertical="center"/>
    </xf>
    <xf numFmtId="4" fontId="45" fillId="36" borderId="56" applyNumberFormat="0" applyProtection="0">
      <alignment horizontal="right" vertical="center"/>
    </xf>
    <xf numFmtId="4" fontId="45" fillId="9" borderId="56" applyNumberFormat="0" applyProtection="0">
      <alignment horizontal="right" vertical="center"/>
    </xf>
    <xf numFmtId="4" fontId="45" fillId="38" borderId="56" applyNumberFormat="0" applyProtection="0">
      <alignment horizontal="right" vertical="center"/>
    </xf>
    <xf numFmtId="4" fontId="120" fillId="10" borderId="9" applyNumberFormat="0" applyProtection="0">
      <alignment horizontal="left" vertical="center" indent="1"/>
    </xf>
    <xf numFmtId="4" fontId="45" fillId="7" borderId="56" applyNumberFormat="0" applyProtection="0">
      <alignment horizontal="right" vertical="center"/>
    </xf>
    <xf numFmtId="4" fontId="45" fillId="33" borderId="56" applyNumberFormat="0" applyProtection="0">
      <alignment vertical="center"/>
    </xf>
    <xf numFmtId="4" fontId="18" fillId="123" borderId="8" applyNumberFormat="0" applyProtection="0">
      <alignment horizontal="left" vertical="center" indent="1"/>
    </xf>
    <xf numFmtId="4" fontId="45" fillId="106" borderId="56" applyNumberFormat="0" applyProtection="0">
      <alignment horizontal="left" vertical="center" indent="1"/>
    </xf>
    <xf numFmtId="0" fontId="45" fillId="10" borderId="56" applyNumberFormat="0" applyProtection="0">
      <alignment horizontal="left" vertical="center" indent="1"/>
    </xf>
    <xf numFmtId="4" fontId="45" fillId="41" borderId="68" applyNumberFormat="0" applyProtection="0">
      <alignment horizontal="left" vertical="center" indent="1"/>
    </xf>
    <xf numFmtId="4" fontId="18" fillId="113" borderId="8" applyNumberFormat="0" applyProtection="0">
      <alignment horizontal="right" vertical="center"/>
    </xf>
    <xf numFmtId="4" fontId="45" fillId="35" borderId="56" applyNumberFormat="0" applyProtection="0">
      <alignment horizontal="right" vertical="center"/>
    </xf>
    <xf numFmtId="4" fontId="16" fillId="8" borderId="68" applyNumberFormat="0" applyProtection="0">
      <alignment horizontal="left" vertical="center" indent="1"/>
    </xf>
    <xf numFmtId="0" fontId="16" fillId="45" borderId="8" applyNumberFormat="0" applyProtection="0">
      <alignment horizontal="left" vertical="center" indent="1"/>
    </xf>
    <xf numFmtId="4" fontId="45" fillId="39" borderId="56" applyNumberFormat="0" applyProtection="0">
      <alignment horizontal="right" vertical="center"/>
    </xf>
    <xf numFmtId="4" fontId="45" fillId="2" borderId="68" applyNumberFormat="0" applyProtection="0">
      <alignment horizontal="left" vertical="center" indent="1"/>
    </xf>
    <xf numFmtId="4" fontId="42" fillId="119" borderId="8" applyNumberFormat="0" applyProtection="0">
      <alignment horizontal="right" vertical="center"/>
    </xf>
    <xf numFmtId="4" fontId="45" fillId="2" borderId="68" applyNumberFormat="0" applyProtection="0">
      <alignment horizontal="left" vertical="center" indent="1"/>
    </xf>
    <xf numFmtId="4" fontId="45" fillId="106" borderId="56" applyNumberFormat="0" applyProtection="0">
      <alignment horizontal="left" vertical="center" indent="1"/>
    </xf>
    <xf numFmtId="4" fontId="18" fillId="106" borderId="8" applyNumberFormat="0" applyProtection="0">
      <alignment vertical="center"/>
    </xf>
    <xf numFmtId="4" fontId="45" fillId="106" borderId="56" applyNumberFormat="0" applyProtection="0">
      <alignment horizontal="left" vertical="center" indent="1"/>
    </xf>
    <xf numFmtId="0" fontId="45" fillId="26" borderId="56" applyNumberFormat="0" applyFont="0" applyAlignment="0" applyProtection="0"/>
    <xf numFmtId="0" fontId="109" fillId="10" borderId="1" applyNumberFormat="0" applyAlignment="0" applyProtection="0"/>
    <xf numFmtId="4" fontId="45" fillId="7" borderId="56" applyNumberFormat="0" applyProtection="0">
      <alignment horizontal="right" vertical="center"/>
    </xf>
    <xf numFmtId="0" fontId="118" fillId="33" borderId="9" applyNumberFormat="0" applyProtection="0">
      <alignment horizontal="left" vertical="top" indent="1"/>
    </xf>
    <xf numFmtId="4" fontId="45" fillId="33" borderId="56" applyNumberFormat="0" applyProtection="0">
      <alignment vertical="center"/>
    </xf>
    <xf numFmtId="0" fontId="108" fillId="101" borderId="56" applyNumberFormat="0" applyAlignment="0" applyProtection="0"/>
    <xf numFmtId="4" fontId="122" fillId="42" borderId="68" applyNumberFormat="0" applyProtection="0">
      <alignment horizontal="left" vertical="center" indent="1"/>
    </xf>
    <xf numFmtId="0" fontId="45" fillId="124" borderId="79"/>
    <xf numFmtId="0" fontId="120" fillId="2" borderId="9" applyNumberFormat="0" applyProtection="0">
      <alignment horizontal="left" vertical="top" indent="1"/>
    </xf>
    <xf numFmtId="4" fontId="42" fillId="119" borderId="8" applyNumberFormat="0" applyProtection="0">
      <alignment horizontal="right" vertical="center"/>
    </xf>
    <xf numFmtId="4" fontId="45" fillId="0" borderId="56" applyNumberFormat="0" applyProtection="0">
      <alignment horizontal="right" vertical="center"/>
    </xf>
    <xf numFmtId="0" fontId="16" fillId="107" borderId="8" applyNumberFormat="0" applyProtection="0">
      <alignment horizontal="left" vertical="center" indent="1"/>
    </xf>
    <xf numFmtId="4" fontId="45" fillId="0" borderId="56" applyNumberFormat="0" applyProtection="0">
      <alignment horizontal="right" vertical="center"/>
    </xf>
    <xf numFmtId="4" fontId="45" fillId="51" borderId="56" applyNumberFormat="0" applyProtection="0">
      <alignment horizontal="left" vertical="center" indent="1"/>
    </xf>
    <xf numFmtId="4" fontId="40" fillId="119" borderId="8" applyNumberFormat="0" applyProtection="0">
      <alignment horizontal="right" vertical="center"/>
    </xf>
    <xf numFmtId="0" fontId="36" fillId="101" borderId="8" applyNumberFormat="0" applyAlignment="0" applyProtection="0"/>
    <xf numFmtId="0" fontId="45" fillId="26" borderId="56" applyNumberFormat="0" applyFont="0" applyAlignment="0" applyProtection="0"/>
    <xf numFmtId="0" fontId="18" fillId="4" borderId="7"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4" fillId="72" borderId="0" applyNumberFormat="0" applyBorder="0" applyAlignment="0" applyProtection="0"/>
    <xf numFmtId="0" fontId="104" fillId="76" borderId="0" applyNumberFormat="0" applyBorder="0" applyAlignment="0" applyProtection="0"/>
    <xf numFmtId="0" fontId="104" fillId="80" borderId="0" applyNumberFormat="0" applyBorder="0" applyAlignment="0" applyProtection="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4" fontId="37" fillId="33" borderId="84" applyNumberFormat="0" applyProtection="0">
      <alignment vertical="center"/>
    </xf>
    <xf numFmtId="4" fontId="38" fillId="33" borderId="84" applyNumberFormat="0" applyProtection="0">
      <alignment vertical="center"/>
    </xf>
    <xf numFmtId="4" fontId="37" fillId="33" borderId="84" applyNumberFormat="0" applyProtection="0">
      <alignment horizontal="left" vertical="center" indent="1"/>
    </xf>
    <xf numFmtId="175" fontId="37" fillId="33" borderId="84" applyNumberFormat="0" applyProtection="0">
      <alignment horizontal="left" vertical="top" indent="1"/>
    </xf>
    <xf numFmtId="4" fontId="18" fillId="7" borderId="84" applyNumberFormat="0" applyProtection="0">
      <alignment horizontal="right" vertical="center"/>
    </xf>
    <xf numFmtId="4" fontId="18" fillId="3" borderId="84" applyNumberFormat="0" applyProtection="0">
      <alignment horizontal="right" vertical="center"/>
    </xf>
    <xf numFmtId="4" fontId="18" fillId="34" borderId="84" applyNumberFormat="0" applyProtection="0">
      <alignment horizontal="right" vertical="center"/>
    </xf>
    <xf numFmtId="4" fontId="18" fillId="35" borderId="84" applyNumberFormat="0" applyProtection="0">
      <alignment horizontal="right" vertical="center"/>
    </xf>
    <xf numFmtId="4" fontId="18" fillId="36" borderId="84" applyNumberFormat="0" applyProtection="0">
      <alignment horizontal="right" vertical="center"/>
    </xf>
    <xf numFmtId="4" fontId="18" fillId="37" borderId="84" applyNumberFormat="0" applyProtection="0">
      <alignment horizontal="right" vertical="center"/>
    </xf>
    <xf numFmtId="4" fontId="18" fillId="9" borderId="84" applyNumberFormat="0" applyProtection="0">
      <alignment horizontal="right" vertical="center"/>
    </xf>
    <xf numFmtId="4" fontId="18" fillId="38" borderId="84" applyNumberFormat="0" applyProtection="0">
      <alignment horizontal="right" vertical="center"/>
    </xf>
    <xf numFmtId="4" fontId="18" fillId="39" borderId="84" applyNumberFormat="0" applyProtection="0">
      <alignment horizontal="right" vertical="center"/>
    </xf>
    <xf numFmtId="4" fontId="18" fillId="2" borderId="84" applyNumberFormat="0" applyProtection="0">
      <alignment horizontal="right" vertical="center"/>
    </xf>
    <xf numFmtId="175" fontId="16" fillId="8" borderId="84" applyNumberFormat="0" applyProtection="0">
      <alignment horizontal="left" vertical="center" indent="1"/>
    </xf>
    <xf numFmtId="175" fontId="16" fillId="8" borderId="84" applyNumberFormat="0" applyProtection="0">
      <alignment horizontal="left" vertical="top" indent="1"/>
    </xf>
    <xf numFmtId="175" fontId="16" fillId="2" borderId="84" applyNumberFormat="0" applyProtection="0">
      <alignment horizontal="left" vertical="center" indent="1"/>
    </xf>
    <xf numFmtId="175" fontId="16" fillId="2" borderId="84" applyNumberFormat="0" applyProtection="0">
      <alignment horizontal="left" vertical="top" indent="1"/>
    </xf>
    <xf numFmtId="175" fontId="16" fillId="6" borderId="84" applyNumberFormat="0" applyProtection="0">
      <alignment horizontal="left" vertical="center" indent="1"/>
    </xf>
    <xf numFmtId="175" fontId="16" fillId="6" borderId="84" applyNumberFormat="0" applyProtection="0">
      <alignment horizontal="left" vertical="top" indent="1"/>
    </xf>
    <xf numFmtId="175" fontId="16" fillId="41" borderId="84" applyNumberFormat="0" applyProtection="0">
      <alignment horizontal="left" vertical="center" indent="1"/>
    </xf>
    <xf numFmtId="175" fontId="16" fillId="41" borderId="84" applyNumberFormat="0" applyProtection="0">
      <alignment horizontal="left" vertical="top" indent="1"/>
    </xf>
    <xf numFmtId="4" fontId="18" fillId="4" borderId="84" applyNumberFormat="0" applyProtection="0">
      <alignment vertical="center"/>
    </xf>
    <xf numFmtId="4" fontId="40" fillId="4" borderId="84" applyNumberFormat="0" applyProtection="0">
      <alignment vertical="center"/>
    </xf>
    <xf numFmtId="4" fontId="18" fillId="4" borderId="84" applyNumberFormat="0" applyProtection="0">
      <alignment horizontal="left" vertical="center" indent="1"/>
    </xf>
    <xf numFmtId="175" fontId="18" fillId="4" borderId="84" applyNumberFormat="0" applyProtection="0">
      <alignment horizontal="left" vertical="top" indent="1"/>
    </xf>
    <xf numFmtId="4" fontId="18" fillId="41" borderId="84" applyNumberFormat="0" applyProtection="0">
      <alignment horizontal="right" vertical="center"/>
    </xf>
    <xf numFmtId="4" fontId="40" fillId="41" borderId="84" applyNumberFormat="0" applyProtection="0">
      <alignment horizontal="right" vertical="center"/>
    </xf>
    <xf numFmtId="4" fontId="18" fillId="2" borderId="84" applyNumberFormat="0" applyProtection="0">
      <alignment horizontal="left" vertical="center" indent="1"/>
    </xf>
    <xf numFmtId="175" fontId="18" fillId="2" borderId="84" applyNumberFormat="0" applyProtection="0">
      <alignment horizontal="left" vertical="top" indent="1"/>
    </xf>
    <xf numFmtId="4" fontId="42" fillId="41" borderId="84" applyNumberFormat="0" applyProtection="0">
      <alignment horizontal="right" vertical="center"/>
    </xf>
    <xf numFmtId="175" fontId="27" fillId="0" borderId="85" applyNumberFormat="0" applyFill="0" applyAlignment="0" applyProtection="0"/>
    <xf numFmtId="4" fontId="18" fillId="7" borderId="84" applyNumberFormat="0" applyProtection="0">
      <alignment horizontal="right" vertical="center"/>
    </xf>
    <xf numFmtId="4" fontId="18" fillId="3" borderId="84" applyNumberFormat="0" applyProtection="0">
      <alignment horizontal="right" vertical="center"/>
    </xf>
    <xf numFmtId="4" fontId="18" fillId="34" borderId="84" applyNumberFormat="0" applyProtection="0">
      <alignment horizontal="right" vertical="center"/>
    </xf>
    <xf numFmtId="4" fontId="18" fillId="35" borderId="84" applyNumberFormat="0" applyProtection="0">
      <alignment horizontal="right" vertical="center"/>
    </xf>
    <xf numFmtId="4" fontId="18" fillId="36" borderId="84" applyNumberFormat="0" applyProtection="0">
      <alignment horizontal="right" vertical="center"/>
    </xf>
    <xf numFmtId="4" fontId="18" fillId="37" borderId="84" applyNumberFormat="0" applyProtection="0">
      <alignment horizontal="right" vertical="center"/>
    </xf>
    <xf numFmtId="4" fontId="18" fillId="9" borderId="84" applyNumberFormat="0" applyProtection="0">
      <alignment horizontal="right" vertical="center"/>
    </xf>
    <xf numFmtId="4" fontId="18" fillId="38" borderId="84" applyNumberFormat="0" applyProtection="0">
      <alignment horizontal="right" vertical="center"/>
    </xf>
    <xf numFmtId="4" fontId="18" fillId="39" borderId="84" applyNumberFormat="0" applyProtection="0">
      <alignment horizontal="right" vertical="center"/>
    </xf>
    <xf numFmtId="4" fontId="18" fillId="2" borderId="84" applyNumberFormat="0" applyProtection="0">
      <alignment horizontal="right" vertical="center"/>
    </xf>
    <xf numFmtId="4" fontId="18" fillId="4" borderId="84" applyNumberFormat="0" applyProtection="0">
      <alignment vertical="center"/>
    </xf>
    <xf numFmtId="4" fontId="18" fillId="4" borderId="84" applyNumberFormat="0" applyProtection="0">
      <alignment horizontal="left" vertical="center" indent="1"/>
    </xf>
    <xf numFmtId="175" fontId="18" fillId="4" borderId="84" applyNumberFormat="0" applyProtection="0">
      <alignment horizontal="left" vertical="top" indent="1"/>
    </xf>
    <xf numFmtId="4" fontId="18" fillId="41" borderId="84" applyNumberFormat="0" applyProtection="0">
      <alignment horizontal="right" vertical="center"/>
    </xf>
    <xf numFmtId="4" fontId="18" fillId="2" borderId="84" applyNumberFormat="0" applyProtection="0">
      <alignment horizontal="left" vertical="center" indent="1"/>
    </xf>
    <xf numFmtId="175" fontId="18" fillId="2" borderId="84" applyNumberFormat="0" applyProtection="0">
      <alignment horizontal="left" vertical="top" indent="1"/>
    </xf>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4" fontId="45" fillId="0" borderId="86" applyNumberFormat="0" applyProtection="0">
      <alignment horizontal="right" vertical="center"/>
    </xf>
    <xf numFmtId="4" fontId="45" fillId="51" borderId="86" applyNumberFormat="0" applyProtection="0">
      <alignment horizontal="left" vertical="center" indent="1"/>
    </xf>
    <xf numFmtId="43" fontId="2" fillId="0" borderId="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3" borderId="0" applyNumberFormat="0" applyBorder="0" applyAlignment="0" applyProtection="0"/>
    <xf numFmtId="0" fontId="2" fillId="65" borderId="0" applyNumberFormat="0" applyBorder="0" applyAlignment="0" applyProtection="0"/>
    <xf numFmtId="0" fontId="37" fillId="33" borderId="84" applyNumberFormat="0" applyProtection="0">
      <alignment horizontal="left" vertical="top" indent="1"/>
    </xf>
    <xf numFmtId="0" fontId="2" fillId="61" borderId="0" applyNumberFormat="0" applyBorder="0" applyAlignment="0" applyProtection="0"/>
    <xf numFmtId="0" fontId="16" fillId="8" borderId="84" applyNumberFormat="0" applyProtection="0">
      <alignment horizontal="left" vertical="center" indent="1"/>
    </xf>
    <xf numFmtId="0" fontId="16" fillId="8" borderId="84" applyNumberFormat="0" applyProtection="0">
      <alignment horizontal="left" vertical="top" indent="1"/>
    </xf>
    <xf numFmtId="0" fontId="16" fillId="2" borderId="84" applyNumberFormat="0" applyProtection="0">
      <alignment horizontal="left" vertical="center" indent="1"/>
    </xf>
    <xf numFmtId="0" fontId="16" fillId="2" borderId="84" applyNumberFormat="0" applyProtection="0">
      <alignment horizontal="left" vertical="top" indent="1"/>
    </xf>
    <xf numFmtId="0" fontId="16" fillId="6" borderId="84" applyNumberFormat="0" applyProtection="0">
      <alignment horizontal="left" vertical="center" indent="1"/>
    </xf>
    <xf numFmtId="0" fontId="16" fillId="6" borderId="84" applyNumberFormat="0" applyProtection="0">
      <alignment horizontal="left" vertical="top" indent="1"/>
    </xf>
    <xf numFmtId="0" fontId="16" fillId="41" borderId="84" applyNumberFormat="0" applyProtection="0">
      <alignment horizontal="left" vertical="center" indent="1"/>
    </xf>
    <xf numFmtId="0" fontId="16" fillId="41" borderId="84" applyNumberFormat="0" applyProtection="0">
      <alignment horizontal="left" vertical="top" indent="1"/>
    </xf>
    <xf numFmtId="0" fontId="2" fillId="61" borderId="0" applyNumberFormat="0" applyBorder="0" applyAlignment="0" applyProtection="0"/>
    <xf numFmtId="0" fontId="2" fillId="62" borderId="0" applyNumberFormat="0" applyBorder="0" applyAlignment="0" applyProtection="0"/>
    <xf numFmtId="0" fontId="18" fillId="4" borderId="84" applyNumberFormat="0" applyProtection="0">
      <alignment horizontal="left" vertical="top" indent="1"/>
    </xf>
    <xf numFmtId="0" fontId="2" fillId="61" borderId="0" applyNumberFormat="0" applyBorder="0" applyAlignment="0" applyProtection="0"/>
    <xf numFmtId="0" fontId="2" fillId="61" borderId="0" applyNumberFormat="0" applyBorder="0" applyAlignment="0" applyProtection="0"/>
    <xf numFmtId="0" fontId="18" fillId="2" borderId="84" applyNumberFormat="0" applyProtection="0">
      <alignment horizontal="left" vertical="top" indent="1"/>
    </xf>
    <xf numFmtId="0" fontId="2" fillId="6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1" borderId="0" applyNumberFormat="0" applyBorder="0" applyAlignment="0" applyProtection="0"/>
    <xf numFmtId="0" fontId="2" fillId="82" borderId="0" applyNumberFormat="0" applyBorder="0" applyAlignment="0" applyProtection="0"/>
    <xf numFmtId="0" fontId="2" fillId="0" borderId="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108" fillId="101" borderId="86" applyNumberFormat="0" applyAlignment="0" applyProtection="0"/>
    <xf numFmtId="0" fontId="109" fillId="10" borderId="8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33" fillId="27" borderId="86" applyNumberFormat="0" applyAlignment="0" applyProtection="0"/>
    <xf numFmtId="0" fontId="115" fillId="11" borderId="8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18" fillId="4" borderId="82" applyNumberFormat="0" applyFont="0" applyAlignment="0" applyProtection="0"/>
    <xf numFmtId="0" fontId="45" fillId="26" borderId="86" applyNumberFormat="0" applyFont="0" applyAlignment="0" applyProtection="0"/>
    <xf numFmtId="0" fontId="2" fillId="59" borderId="66" applyNumberFormat="0" applyFont="0" applyAlignment="0" applyProtection="0"/>
    <xf numFmtId="0" fontId="36" fillId="101" borderId="83" applyNumberFormat="0" applyAlignment="0" applyProtection="0"/>
    <xf numFmtId="0" fontId="36" fillId="10" borderId="83" applyNumberFormat="0" applyAlignment="0" applyProtection="0"/>
    <xf numFmtId="9" fontId="2" fillId="0" borderId="0" applyFont="0" applyFill="0" applyBorder="0" applyAlignment="0" applyProtection="0"/>
    <xf numFmtId="9" fontId="2" fillId="0" borderId="0" applyFont="0" applyFill="0" applyBorder="0" applyAlignment="0" applyProtection="0"/>
    <xf numFmtId="4" fontId="18" fillId="106" borderId="83" applyNumberFormat="0" applyProtection="0">
      <alignment vertical="center"/>
    </xf>
    <xf numFmtId="4" fontId="18" fillId="106" borderId="83" applyNumberFormat="0" applyProtection="0">
      <alignment vertical="center"/>
    </xf>
    <xf numFmtId="4" fontId="45" fillId="33" borderId="86" applyNumberFormat="0" applyProtection="0">
      <alignment vertical="center"/>
    </xf>
    <xf numFmtId="4" fontId="45" fillId="33" borderId="86" applyNumberFormat="0" applyProtection="0">
      <alignment vertical="center"/>
    </xf>
    <xf numFmtId="4" fontId="45" fillId="33" borderId="86" applyNumberFormat="0" applyProtection="0">
      <alignment vertical="center"/>
    </xf>
    <xf numFmtId="4" fontId="40" fillId="106" borderId="83" applyNumberFormat="0" applyProtection="0">
      <alignment vertical="center"/>
    </xf>
    <xf numFmtId="4" fontId="117" fillId="106" borderId="86" applyNumberFormat="0" applyProtection="0">
      <alignment vertical="center"/>
    </xf>
    <xf numFmtId="4" fontId="18" fillId="106" borderId="83" applyNumberFormat="0" applyProtection="0">
      <alignment horizontal="left" vertical="center" indent="1"/>
    </xf>
    <xf numFmtId="4" fontId="45" fillId="106" borderId="86" applyNumberFormat="0" applyProtection="0">
      <alignment horizontal="left" vertical="center" indent="1"/>
    </xf>
    <xf numFmtId="4" fontId="45" fillId="106" borderId="86" applyNumberFormat="0" applyProtection="0">
      <alignment horizontal="left" vertical="center" indent="1"/>
    </xf>
    <xf numFmtId="4" fontId="45" fillId="106" borderId="86" applyNumberFormat="0" applyProtection="0">
      <alignment horizontal="left" vertical="center" indent="1"/>
    </xf>
    <xf numFmtId="4" fontId="18" fillId="106" borderId="83" applyNumberFormat="0" applyProtection="0">
      <alignment horizontal="left" vertical="center" indent="1"/>
    </xf>
    <xf numFmtId="0" fontId="118" fillId="33" borderId="84" applyNumberFormat="0" applyProtection="0">
      <alignment horizontal="left" vertical="top" indent="1"/>
    </xf>
    <xf numFmtId="0" fontId="16" fillId="107" borderId="83"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4" fontId="18" fillId="108" borderId="83" applyNumberFormat="0" applyProtection="0">
      <alignment horizontal="right" vertical="center"/>
    </xf>
    <xf numFmtId="4" fontId="45" fillId="7" borderId="86" applyNumberFormat="0" applyProtection="0">
      <alignment horizontal="right" vertical="center"/>
    </xf>
    <xf numFmtId="4" fontId="45" fillId="7" borderId="86" applyNumberFormat="0" applyProtection="0">
      <alignment horizontal="right" vertical="center"/>
    </xf>
    <xf numFmtId="4" fontId="45" fillId="7" borderId="86" applyNumberFormat="0" applyProtection="0">
      <alignment horizontal="right" vertical="center"/>
    </xf>
    <xf numFmtId="4" fontId="18" fillId="109" borderId="83" applyNumberFormat="0" applyProtection="0">
      <alignment horizontal="right" vertical="center"/>
    </xf>
    <xf numFmtId="4" fontId="45" fillId="110" borderId="86" applyNumberFormat="0" applyProtection="0">
      <alignment horizontal="right" vertical="center"/>
    </xf>
    <xf numFmtId="4" fontId="45" fillId="110" borderId="86" applyNumberFormat="0" applyProtection="0">
      <alignment horizontal="right" vertical="center"/>
    </xf>
    <xf numFmtId="4" fontId="45" fillId="110" borderId="86" applyNumberFormat="0" applyProtection="0">
      <alignment horizontal="right" vertical="center"/>
    </xf>
    <xf numFmtId="4" fontId="18" fillId="111" borderId="83" applyNumberFormat="0" applyProtection="0">
      <alignment horizontal="right" vertical="center"/>
    </xf>
    <xf numFmtId="4" fontId="45" fillId="34" borderId="87" applyNumberFormat="0" applyProtection="0">
      <alignment horizontal="right" vertical="center"/>
    </xf>
    <xf numFmtId="4" fontId="45" fillId="34" borderId="87" applyNumberFormat="0" applyProtection="0">
      <alignment horizontal="right" vertical="center"/>
    </xf>
    <xf numFmtId="4" fontId="45" fillId="34" borderId="87" applyNumberFormat="0" applyProtection="0">
      <alignment horizontal="right" vertical="center"/>
    </xf>
    <xf numFmtId="4" fontId="18" fillId="112" borderId="83" applyNumberFormat="0" applyProtection="0">
      <alignment horizontal="right" vertical="center"/>
    </xf>
    <xf numFmtId="4" fontId="45" fillId="35" borderId="86" applyNumberFormat="0" applyProtection="0">
      <alignment horizontal="right" vertical="center"/>
    </xf>
    <xf numFmtId="4" fontId="45" fillId="35" borderId="86" applyNumberFormat="0" applyProtection="0">
      <alignment horizontal="right" vertical="center"/>
    </xf>
    <xf numFmtId="4" fontId="45" fillId="35" borderId="86" applyNumberFormat="0" applyProtection="0">
      <alignment horizontal="right" vertical="center"/>
    </xf>
    <xf numFmtId="4" fontId="18" fillId="113" borderId="83" applyNumberFormat="0" applyProtection="0">
      <alignment horizontal="right" vertical="center"/>
    </xf>
    <xf numFmtId="4" fontId="45" fillId="36" borderId="86" applyNumberFormat="0" applyProtection="0">
      <alignment horizontal="right" vertical="center"/>
    </xf>
    <xf numFmtId="4" fontId="45" fillId="36" borderId="86" applyNumberFormat="0" applyProtection="0">
      <alignment horizontal="right" vertical="center"/>
    </xf>
    <xf numFmtId="4" fontId="45" fillId="36" borderId="86" applyNumberFormat="0" applyProtection="0">
      <alignment horizontal="right" vertical="center"/>
    </xf>
    <xf numFmtId="4" fontId="18" fillId="114" borderId="83" applyNumberFormat="0" applyProtection="0">
      <alignment horizontal="right" vertical="center"/>
    </xf>
    <xf numFmtId="4" fontId="45" fillId="37" borderId="86" applyNumberFormat="0" applyProtection="0">
      <alignment horizontal="right" vertical="center"/>
    </xf>
    <xf numFmtId="4" fontId="45" fillId="37" borderId="86" applyNumberFormat="0" applyProtection="0">
      <alignment horizontal="right" vertical="center"/>
    </xf>
    <xf numFmtId="4" fontId="45" fillId="37" borderId="86" applyNumberFormat="0" applyProtection="0">
      <alignment horizontal="right" vertical="center"/>
    </xf>
    <xf numFmtId="4" fontId="18" fillId="115" borderId="83" applyNumberFormat="0" applyProtection="0">
      <alignment horizontal="right" vertical="center"/>
    </xf>
    <xf numFmtId="4" fontId="45" fillId="9" borderId="86" applyNumberFormat="0" applyProtection="0">
      <alignment horizontal="right" vertical="center"/>
    </xf>
    <xf numFmtId="4" fontId="45" fillId="9" borderId="86" applyNumberFormat="0" applyProtection="0">
      <alignment horizontal="right" vertical="center"/>
    </xf>
    <xf numFmtId="4" fontId="45" fillId="9" borderId="86" applyNumberFormat="0" applyProtection="0">
      <alignment horizontal="right" vertical="center"/>
    </xf>
    <xf numFmtId="4" fontId="18" fillId="116" borderId="83" applyNumberFormat="0" applyProtection="0">
      <alignment horizontal="right" vertical="center"/>
    </xf>
    <xf numFmtId="4" fontId="45" fillId="38" borderId="86" applyNumberFormat="0" applyProtection="0">
      <alignment horizontal="right" vertical="center"/>
    </xf>
    <xf numFmtId="4" fontId="45" fillId="38" borderId="86" applyNumberFormat="0" applyProtection="0">
      <alignment horizontal="right" vertical="center"/>
    </xf>
    <xf numFmtId="4" fontId="45" fillId="38" borderId="86" applyNumberFormat="0" applyProtection="0">
      <alignment horizontal="right" vertical="center"/>
    </xf>
    <xf numFmtId="4" fontId="18" fillId="117" borderId="83" applyNumberFormat="0" applyProtection="0">
      <alignment horizontal="right" vertical="center"/>
    </xf>
    <xf numFmtId="4" fontId="45" fillId="39" borderId="86" applyNumberFormat="0" applyProtection="0">
      <alignment horizontal="right" vertical="center"/>
    </xf>
    <xf numFmtId="4" fontId="45" fillId="39" borderId="86" applyNumberFormat="0" applyProtection="0">
      <alignment horizontal="right" vertical="center"/>
    </xf>
    <xf numFmtId="4" fontId="45" fillId="39" borderId="86" applyNumberFormat="0" applyProtection="0">
      <alignment horizontal="right" vertical="center"/>
    </xf>
    <xf numFmtId="4" fontId="37" fillId="118" borderId="83" applyNumberFormat="0" applyProtection="0">
      <alignment horizontal="left" vertical="center" indent="1"/>
    </xf>
    <xf numFmtId="4" fontId="45" fillId="40" borderId="87" applyNumberFormat="0" applyProtection="0">
      <alignment horizontal="left" vertical="center" indent="1"/>
    </xf>
    <xf numFmtId="4" fontId="45" fillId="40" borderId="87" applyNumberFormat="0" applyProtection="0">
      <alignment horizontal="left" vertical="center" indent="1"/>
    </xf>
    <xf numFmtId="4" fontId="45" fillId="40" borderId="87" applyNumberFormat="0" applyProtection="0">
      <alignment horizontal="left" vertical="center" indent="1"/>
    </xf>
    <xf numFmtId="4" fontId="18" fillId="119" borderId="88" applyNumberFormat="0" applyProtection="0">
      <alignment horizontal="left" vertical="center" indent="1"/>
    </xf>
    <xf numFmtId="4" fontId="16" fillId="8" borderId="87" applyNumberFormat="0" applyProtection="0">
      <alignment horizontal="left" vertical="center" indent="1"/>
    </xf>
    <xf numFmtId="4" fontId="16" fillId="8" borderId="87" applyNumberFormat="0" applyProtection="0">
      <alignment horizontal="left" vertical="center" indent="1"/>
    </xf>
    <xf numFmtId="0" fontId="16" fillId="107" borderId="83" applyNumberFormat="0" applyProtection="0">
      <alignment horizontal="left" vertical="center" indent="1"/>
    </xf>
    <xf numFmtId="4" fontId="45" fillId="2" borderId="86" applyNumberFormat="0" applyProtection="0">
      <alignment horizontal="right" vertical="center"/>
    </xf>
    <xf numFmtId="4" fontId="45" fillId="2" borderId="86" applyNumberFormat="0" applyProtection="0">
      <alignment horizontal="right" vertical="center"/>
    </xf>
    <xf numFmtId="4" fontId="45" fillId="2" borderId="86" applyNumberFormat="0" applyProtection="0">
      <alignment horizontal="right" vertical="center"/>
    </xf>
    <xf numFmtId="4" fontId="18" fillId="119" borderId="83" applyNumberFormat="0" applyProtection="0">
      <alignment horizontal="left" vertical="center" indent="1"/>
    </xf>
    <xf numFmtId="4" fontId="45" fillId="41" borderId="87" applyNumberFormat="0" applyProtection="0">
      <alignment horizontal="left" vertical="center" indent="1"/>
    </xf>
    <xf numFmtId="4" fontId="45" fillId="41" borderId="87" applyNumberFormat="0" applyProtection="0">
      <alignment horizontal="left" vertical="center" indent="1"/>
    </xf>
    <xf numFmtId="4" fontId="45" fillId="41" borderId="87" applyNumberFormat="0" applyProtection="0">
      <alignment horizontal="left" vertical="center" indent="1"/>
    </xf>
    <xf numFmtId="4" fontId="18" fillId="46" borderId="83" applyNumberFormat="0" applyProtection="0">
      <alignment horizontal="left" vertical="center" indent="1"/>
    </xf>
    <xf numFmtId="4" fontId="45" fillId="2" borderId="87" applyNumberFormat="0" applyProtection="0">
      <alignment horizontal="left" vertical="center" indent="1"/>
    </xf>
    <xf numFmtId="4" fontId="45" fillId="2" borderId="87" applyNumberFormat="0" applyProtection="0">
      <alignment horizontal="left" vertical="center" indent="1"/>
    </xf>
    <xf numFmtId="4" fontId="45" fillId="2" borderId="87" applyNumberFormat="0" applyProtection="0">
      <alignment horizontal="left" vertical="center" indent="1"/>
    </xf>
    <xf numFmtId="0" fontId="16" fillId="46" borderId="83" applyNumberFormat="0" applyProtection="0">
      <alignment horizontal="left" vertical="center" indent="1"/>
    </xf>
    <xf numFmtId="0" fontId="45" fillId="10" borderId="86" applyNumberFormat="0" applyProtection="0">
      <alignment horizontal="left" vertical="center" indent="1"/>
    </xf>
    <xf numFmtId="0" fontId="45" fillId="10" borderId="86" applyNumberFormat="0" applyProtection="0">
      <alignment horizontal="left" vertical="center" indent="1"/>
    </xf>
    <xf numFmtId="0" fontId="45" fillId="10" borderId="86" applyNumberFormat="0" applyProtection="0">
      <alignment horizontal="left" vertical="center" indent="1"/>
    </xf>
    <xf numFmtId="0" fontId="16" fillId="46" borderId="83" applyNumberFormat="0" applyProtection="0">
      <alignment horizontal="left" vertical="center" indent="1"/>
    </xf>
    <xf numFmtId="0" fontId="45" fillId="8" borderId="84" applyNumberFormat="0" applyProtection="0">
      <alignment horizontal="left" vertical="top" indent="1"/>
    </xf>
    <xf numFmtId="0" fontId="16" fillId="45" borderId="83" applyNumberFormat="0" applyProtection="0">
      <alignment horizontal="left" vertical="center" indent="1"/>
    </xf>
    <xf numFmtId="0" fontId="45" fillId="121" borderId="86" applyNumberFormat="0" applyProtection="0">
      <alignment horizontal="left" vertical="center" indent="1"/>
    </xf>
    <xf numFmtId="0" fontId="45" fillId="121" borderId="86" applyNumberFormat="0" applyProtection="0">
      <alignment horizontal="left" vertical="center" indent="1"/>
    </xf>
    <xf numFmtId="0" fontId="45" fillId="121" borderId="86" applyNumberFormat="0" applyProtection="0">
      <alignment horizontal="left" vertical="center" indent="1"/>
    </xf>
    <xf numFmtId="0" fontId="16" fillId="45" borderId="83" applyNumberFormat="0" applyProtection="0">
      <alignment horizontal="left" vertical="center" indent="1"/>
    </xf>
    <xf numFmtId="0" fontId="45" fillId="2" borderId="84" applyNumberFormat="0" applyProtection="0">
      <alignment horizontal="left" vertical="top" indent="1"/>
    </xf>
    <xf numFmtId="0" fontId="16" fillId="122" borderId="83" applyNumberFormat="0" applyProtection="0">
      <alignment horizontal="left" vertical="center" indent="1"/>
    </xf>
    <xf numFmtId="0" fontId="45" fillId="6" borderId="86" applyNumberFormat="0" applyProtection="0">
      <alignment horizontal="left" vertical="center" indent="1"/>
    </xf>
    <xf numFmtId="0" fontId="45" fillId="6" borderId="86" applyNumberFormat="0" applyProtection="0">
      <alignment horizontal="left" vertical="center" indent="1"/>
    </xf>
    <xf numFmtId="0" fontId="45" fillId="6" borderId="86" applyNumberFormat="0" applyProtection="0">
      <alignment horizontal="left" vertical="center" indent="1"/>
    </xf>
    <xf numFmtId="0" fontId="16" fillId="122" borderId="83" applyNumberFormat="0" applyProtection="0">
      <alignment horizontal="left" vertical="center" indent="1"/>
    </xf>
    <xf numFmtId="0" fontId="45" fillId="6" borderId="84" applyNumberFormat="0" applyProtection="0">
      <alignment horizontal="left" vertical="top" indent="1"/>
    </xf>
    <xf numFmtId="0" fontId="16" fillId="107" borderId="83" applyNumberFormat="0" applyProtection="0">
      <alignment horizontal="left" vertical="center" indent="1"/>
    </xf>
    <xf numFmtId="0" fontId="45" fillId="41" borderId="86" applyNumberFormat="0" applyProtection="0">
      <alignment horizontal="left" vertical="center" indent="1"/>
    </xf>
    <xf numFmtId="0" fontId="45" fillId="41" borderId="86" applyNumberFormat="0" applyProtection="0">
      <alignment horizontal="left" vertical="center" indent="1"/>
    </xf>
    <xf numFmtId="0" fontId="45" fillId="41" borderId="86" applyNumberFormat="0" applyProtection="0">
      <alignment horizontal="left" vertical="center" indent="1"/>
    </xf>
    <xf numFmtId="0" fontId="16" fillId="107" borderId="83" applyNumberFormat="0" applyProtection="0">
      <alignment horizontal="left" vertical="center" indent="1"/>
    </xf>
    <xf numFmtId="0" fontId="45" fillId="41" borderId="84"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8" borderId="89" applyBorder="0"/>
    <xf numFmtId="4" fontId="18" fillId="123" borderId="83" applyNumberFormat="0" applyProtection="0">
      <alignment vertical="center"/>
    </xf>
    <xf numFmtId="4" fontId="120" fillId="4" borderId="84" applyNumberFormat="0" applyProtection="0">
      <alignment vertical="center"/>
    </xf>
    <xf numFmtId="4" fontId="40" fillId="123" borderId="83" applyNumberFormat="0" applyProtection="0">
      <alignment vertical="center"/>
    </xf>
    <xf numFmtId="4" fontId="18" fillId="123" borderId="83" applyNumberFormat="0" applyProtection="0">
      <alignment horizontal="left" vertical="center" indent="1"/>
    </xf>
    <xf numFmtId="4" fontId="120" fillId="10" borderId="84" applyNumberFormat="0" applyProtection="0">
      <alignment horizontal="left" vertical="center" indent="1"/>
    </xf>
    <xf numFmtId="4" fontId="18" fillId="123" borderId="83" applyNumberFormat="0" applyProtection="0">
      <alignment horizontal="left" vertical="center" indent="1"/>
    </xf>
    <xf numFmtId="0" fontId="120" fillId="4" borderId="84" applyNumberFormat="0" applyProtection="0">
      <alignment horizontal="left" vertical="top" indent="1"/>
    </xf>
    <xf numFmtId="4" fontId="18" fillId="119" borderId="83" applyNumberFormat="0" applyProtection="0">
      <alignment horizontal="right" vertical="center"/>
    </xf>
    <xf numFmtId="4" fontId="18" fillId="119" borderId="83" applyNumberFormat="0" applyProtection="0">
      <alignment horizontal="right" vertical="center"/>
    </xf>
    <xf numFmtId="4" fontId="45" fillId="0" borderId="86" applyNumberFormat="0" applyProtection="0">
      <alignment horizontal="right" vertical="center"/>
    </xf>
    <xf numFmtId="4" fontId="45" fillId="0" borderId="86" applyNumberFormat="0" applyProtection="0">
      <alignment horizontal="right" vertical="center"/>
    </xf>
    <xf numFmtId="4" fontId="45" fillId="0" borderId="86" applyNumberFormat="0" applyProtection="0">
      <alignment horizontal="right" vertical="center"/>
    </xf>
    <xf numFmtId="4" fontId="40" fillId="119" borderId="83" applyNumberFormat="0" applyProtection="0">
      <alignment horizontal="right" vertical="center"/>
    </xf>
    <xf numFmtId="4" fontId="117" fillId="43" borderId="86" applyNumberFormat="0" applyProtection="0">
      <alignment horizontal="right" vertical="center"/>
    </xf>
    <xf numFmtId="0" fontId="16" fillId="107" borderId="83"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0" fontId="16" fillId="107" borderId="83" applyNumberFormat="0" applyProtection="0">
      <alignment horizontal="left" vertical="center" indent="1"/>
    </xf>
    <xf numFmtId="0" fontId="120" fillId="2" borderId="84" applyNumberFormat="0" applyProtection="0">
      <alignment horizontal="left" vertical="top" indent="1"/>
    </xf>
    <xf numFmtId="4" fontId="122" fillId="42" borderId="87" applyNumberFormat="0" applyProtection="0">
      <alignment horizontal="left" vertical="center" indent="1"/>
    </xf>
    <xf numFmtId="4" fontId="42" fillId="119" borderId="83" applyNumberFormat="0" applyProtection="0">
      <alignment horizontal="right" vertical="center"/>
    </xf>
    <xf numFmtId="4" fontId="123" fillId="5" borderId="86" applyNumberFormat="0" applyProtection="0">
      <alignment horizontal="right" vertical="center"/>
    </xf>
    <xf numFmtId="0" fontId="27" fillId="0" borderId="85" applyNumberFormat="0" applyFill="0" applyAlignment="0" applyProtection="0"/>
    <xf numFmtId="0" fontId="27" fillId="0" borderId="90" applyNumberFormat="0" applyFill="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82" applyNumberFormat="0" applyFont="0" applyAlignment="0" applyProtection="0"/>
    <xf numFmtId="0" fontId="2" fillId="0" borderId="0"/>
    <xf numFmtId="44" fontId="2" fillId="0" borderId="0" applyFont="0" applyFill="0" applyBorder="0" applyAlignment="0" applyProtection="0"/>
    <xf numFmtId="0" fontId="2" fillId="0" borderId="0"/>
    <xf numFmtId="0" fontId="2" fillId="59" borderId="66" applyNumberFormat="0" applyFont="0" applyAlignment="0" applyProtection="0"/>
    <xf numFmtId="0" fontId="2" fillId="0" borderId="0"/>
    <xf numFmtId="0" fontId="2" fillId="0" borderId="0"/>
    <xf numFmtId="0" fontId="2" fillId="0" borderId="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59" borderId="6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6" applyNumberFormat="0" applyFont="0" applyAlignment="0" applyProtection="0"/>
    <xf numFmtId="43" fontId="2" fillId="0" borderId="0" applyFont="0" applyFill="0" applyBorder="0" applyAlignment="0" applyProtection="0"/>
    <xf numFmtId="4" fontId="45" fillId="0" borderId="86" applyNumberFormat="0" applyProtection="0">
      <alignment horizontal="right" vertical="center"/>
    </xf>
    <xf numFmtId="4" fontId="18" fillId="123" borderId="83" applyNumberFormat="0" applyProtection="0">
      <alignment vertical="center"/>
    </xf>
    <xf numFmtId="4" fontId="45" fillId="34" borderId="87" applyNumberFormat="0" applyProtection="0">
      <alignment horizontal="right" vertical="center"/>
    </xf>
    <xf numFmtId="4" fontId="45" fillId="40" borderId="87" applyNumberFormat="0" applyProtection="0">
      <alignment horizontal="left" vertical="center" indent="1"/>
    </xf>
    <xf numFmtId="4" fontId="45" fillId="37" borderId="86" applyNumberFormat="0" applyProtection="0">
      <alignment horizontal="right" vertical="center"/>
    </xf>
    <xf numFmtId="4" fontId="40" fillId="106" borderId="83" applyNumberFormat="0" applyProtection="0">
      <alignment vertical="center"/>
    </xf>
    <xf numFmtId="0" fontId="16" fillId="107" borderId="83" applyNumberFormat="0" applyProtection="0">
      <alignment horizontal="left" vertical="center" indent="1"/>
    </xf>
    <xf numFmtId="4" fontId="45" fillId="37" borderId="86" applyNumberFormat="0" applyProtection="0">
      <alignment horizontal="right" vertical="center"/>
    </xf>
    <xf numFmtId="4" fontId="45" fillId="0" borderId="86" applyNumberFormat="0" applyProtection="0">
      <alignment horizontal="right" vertical="center"/>
    </xf>
    <xf numFmtId="0" fontId="45" fillId="41" borderId="86" applyNumberFormat="0" applyProtection="0">
      <alignment horizontal="left" vertical="center" indent="1"/>
    </xf>
    <xf numFmtId="0" fontId="16" fillId="46" borderId="83" applyNumberFormat="0" applyProtection="0">
      <alignment horizontal="left" vertical="center" indent="1"/>
    </xf>
    <xf numFmtId="4" fontId="18" fillId="106" borderId="83" applyNumberFormat="0" applyProtection="0">
      <alignment horizontal="left" vertical="center" indent="1"/>
    </xf>
    <xf numFmtId="4" fontId="18" fillId="119" borderId="88" applyNumberFormat="0" applyProtection="0">
      <alignment horizontal="left" vertical="center" indent="1"/>
    </xf>
    <xf numFmtId="0" fontId="45" fillId="10" borderId="86" applyNumberFormat="0" applyProtection="0">
      <alignment horizontal="left" vertical="center" indent="1"/>
    </xf>
    <xf numFmtId="4" fontId="45" fillId="35" borderId="86" applyNumberFormat="0" applyProtection="0">
      <alignment horizontal="right" vertical="center"/>
    </xf>
    <xf numFmtId="0" fontId="118" fillId="33" borderId="84" applyNumberFormat="0" applyProtection="0">
      <alignment horizontal="left" vertical="top" indent="1"/>
    </xf>
    <xf numFmtId="0" fontId="119" fillId="8" borderId="89" applyBorder="0"/>
    <xf numFmtId="0" fontId="45" fillId="121" borderId="86" applyNumberFormat="0" applyProtection="0">
      <alignment horizontal="left" vertical="center" indent="1"/>
    </xf>
    <xf numFmtId="0" fontId="45" fillId="41" borderId="84" applyNumberFormat="0" applyProtection="0">
      <alignment horizontal="left" vertical="top" indent="1"/>
    </xf>
    <xf numFmtId="4" fontId="45" fillId="39" borderId="86" applyNumberFormat="0" applyProtection="0">
      <alignment horizontal="right" vertical="center"/>
    </xf>
    <xf numFmtId="4" fontId="45" fillId="35" borderId="86" applyNumberFormat="0" applyProtection="0">
      <alignment horizontal="right" vertical="center"/>
    </xf>
    <xf numFmtId="0" fontId="45" fillId="10" borderId="86" applyNumberFormat="0" applyProtection="0">
      <alignment horizontal="left" vertical="center" indent="1"/>
    </xf>
    <xf numFmtId="4" fontId="18" fillId="113" borderId="83" applyNumberFormat="0" applyProtection="0">
      <alignment horizontal="right" vertical="center"/>
    </xf>
    <xf numFmtId="0" fontId="45" fillId="10" borderId="86" applyNumberFormat="0" applyProtection="0">
      <alignment horizontal="left" vertical="center" indent="1"/>
    </xf>
    <xf numFmtId="4" fontId="123" fillId="5" borderId="86" applyNumberFormat="0" applyProtection="0">
      <alignment horizontal="right" vertical="center"/>
    </xf>
    <xf numFmtId="4" fontId="18" fillId="117" borderId="83" applyNumberFormat="0" applyProtection="0">
      <alignment horizontal="right" vertical="center"/>
    </xf>
    <xf numFmtId="4" fontId="45" fillId="33" borderId="86" applyNumberFormat="0" applyProtection="0">
      <alignment vertical="center"/>
    </xf>
    <xf numFmtId="4" fontId="45" fillId="37" borderId="86" applyNumberFormat="0" applyProtection="0">
      <alignment horizontal="right" vertical="center"/>
    </xf>
    <xf numFmtId="0" fontId="45" fillId="121" borderId="86" applyNumberFormat="0" applyProtection="0">
      <alignment horizontal="left" vertical="center" indent="1"/>
    </xf>
    <xf numFmtId="4" fontId="18" fillId="46" borderId="83" applyNumberFormat="0" applyProtection="0">
      <alignment horizontal="left" vertical="center" indent="1"/>
    </xf>
    <xf numFmtId="4" fontId="45" fillId="37" borderId="86" applyNumberFormat="0" applyProtection="0">
      <alignment horizontal="right" vertical="center"/>
    </xf>
    <xf numFmtId="4" fontId="37" fillId="118" borderId="83" applyNumberFormat="0" applyProtection="0">
      <alignment horizontal="left" vertical="center" indent="1"/>
    </xf>
    <xf numFmtId="4" fontId="45" fillId="9" borderId="86" applyNumberFormat="0" applyProtection="0">
      <alignment horizontal="right" vertical="center"/>
    </xf>
    <xf numFmtId="0" fontId="45" fillId="6" borderId="86" applyNumberFormat="0" applyProtection="0">
      <alignment horizontal="left" vertical="center" indent="1"/>
    </xf>
    <xf numFmtId="0" fontId="120" fillId="4" borderId="84" applyNumberFormat="0" applyProtection="0">
      <alignment horizontal="left" vertical="top" indent="1"/>
    </xf>
    <xf numFmtId="4" fontId="45" fillId="41" borderId="87" applyNumberFormat="0" applyProtection="0">
      <alignment horizontal="left" vertical="center" indent="1"/>
    </xf>
    <xf numFmtId="0" fontId="45" fillId="124" borderId="91"/>
    <xf numFmtId="4" fontId="45" fillId="51" borderId="86" applyNumberFormat="0" applyProtection="0">
      <alignment horizontal="left" vertical="center" indent="1"/>
    </xf>
    <xf numFmtId="0" fontId="36" fillId="10" borderId="83" applyNumberFormat="0" applyAlignment="0" applyProtection="0"/>
    <xf numFmtId="0" fontId="18" fillId="4" borderId="82" applyNumberFormat="0" applyFont="0" applyAlignment="0" applyProtection="0"/>
    <xf numFmtId="4" fontId="18" fillId="112" borderId="83" applyNumberFormat="0" applyProtection="0">
      <alignment horizontal="right" vertical="center"/>
    </xf>
    <xf numFmtId="0" fontId="16" fillId="45" borderId="83" applyNumberFormat="0" applyProtection="0">
      <alignment horizontal="left" vertical="center" indent="1"/>
    </xf>
    <xf numFmtId="0" fontId="16" fillId="46" borderId="83" applyNumberFormat="0" applyProtection="0">
      <alignment horizontal="left" vertical="center" indent="1"/>
    </xf>
    <xf numFmtId="4" fontId="45" fillId="38" borderId="86" applyNumberFormat="0" applyProtection="0">
      <alignment horizontal="right" vertical="center"/>
    </xf>
    <xf numFmtId="4" fontId="18" fillId="108" borderId="83" applyNumberFormat="0" applyProtection="0">
      <alignment horizontal="right" vertical="center"/>
    </xf>
    <xf numFmtId="4" fontId="45" fillId="51" borderId="86" applyNumberFormat="0" applyProtection="0">
      <alignment horizontal="left" vertical="center" indent="1"/>
    </xf>
    <xf numFmtId="0" fontId="45" fillId="41" borderId="86" applyNumberFormat="0" applyProtection="0">
      <alignment horizontal="left" vertical="center" indent="1"/>
    </xf>
    <xf numFmtId="4" fontId="45" fillId="2" borderId="86" applyNumberFormat="0" applyProtection="0">
      <alignment horizontal="right" vertical="center"/>
    </xf>
    <xf numFmtId="0" fontId="16" fillId="107" borderId="83" applyNumberFormat="0" applyProtection="0">
      <alignment horizontal="left" vertical="center" indent="1"/>
    </xf>
    <xf numFmtId="4" fontId="18" fillId="109" borderId="83" applyNumberFormat="0" applyProtection="0">
      <alignment horizontal="right" vertical="center"/>
    </xf>
    <xf numFmtId="0" fontId="45" fillId="6" borderId="86" applyNumberFormat="0" applyProtection="0">
      <alignment horizontal="left" vertical="center" indent="1"/>
    </xf>
    <xf numFmtId="4" fontId="45" fillId="51" borderId="86" applyNumberFormat="0" applyProtection="0">
      <alignment horizontal="left" vertical="center" indent="1"/>
    </xf>
    <xf numFmtId="4" fontId="45" fillId="41" borderId="87" applyNumberFormat="0" applyProtection="0">
      <alignment horizontal="left" vertical="center" indent="1"/>
    </xf>
    <xf numFmtId="0" fontId="16" fillId="107" borderId="83" applyNumberFormat="0" applyProtection="0">
      <alignment horizontal="left" vertical="center" indent="1"/>
    </xf>
    <xf numFmtId="4" fontId="18" fillId="119" borderId="83" applyNumberFormat="0" applyProtection="0">
      <alignment horizontal="right" vertical="center"/>
    </xf>
    <xf numFmtId="4" fontId="40" fillId="106" borderId="83" applyNumberFormat="0" applyProtection="0">
      <alignment vertical="center"/>
    </xf>
    <xf numFmtId="4" fontId="18" fillId="119" borderId="83" applyNumberFormat="0" applyProtection="0">
      <alignment horizontal="right" vertical="center"/>
    </xf>
    <xf numFmtId="4" fontId="45" fillId="40" borderId="87" applyNumberFormat="0" applyProtection="0">
      <alignment horizontal="left" vertical="center" indent="1"/>
    </xf>
    <xf numFmtId="0" fontId="45" fillId="2" borderId="84" applyNumberFormat="0" applyProtection="0">
      <alignment horizontal="left" vertical="top" indent="1"/>
    </xf>
    <xf numFmtId="4" fontId="45" fillId="33" borderId="86" applyNumberFormat="0" applyProtection="0">
      <alignment vertical="center"/>
    </xf>
    <xf numFmtId="4" fontId="117" fillId="123" borderId="91" applyNumberFormat="0" applyProtection="0">
      <alignment vertical="center"/>
    </xf>
    <xf numFmtId="0" fontId="120" fillId="2" borderId="84" applyNumberFormat="0" applyProtection="0">
      <alignment horizontal="left" vertical="top" indent="1"/>
    </xf>
    <xf numFmtId="4" fontId="45" fillId="37" borderId="86" applyNumberFormat="0" applyProtection="0">
      <alignment horizontal="right" vertical="center"/>
    </xf>
    <xf numFmtId="0" fontId="108" fillId="101" borderId="86" applyNumberFormat="0" applyAlignment="0" applyProtection="0"/>
    <xf numFmtId="4" fontId="45" fillId="51" borderId="86" applyNumberFormat="0" applyProtection="0">
      <alignment horizontal="left" vertical="center" indent="1"/>
    </xf>
    <xf numFmtId="4" fontId="40" fillId="123" borderId="83" applyNumberFormat="0" applyProtection="0">
      <alignment vertical="center"/>
    </xf>
    <xf numFmtId="4" fontId="45" fillId="33" borderId="86" applyNumberFormat="0" applyProtection="0">
      <alignment vertical="center"/>
    </xf>
    <xf numFmtId="0" fontId="16" fillId="107" borderId="83" applyNumberFormat="0" applyProtection="0">
      <alignment horizontal="left" vertical="center" indent="1"/>
    </xf>
    <xf numFmtId="4" fontId="45" fillId="40" borderId="87" applyNumberFormat="0" applyProtection="0">
      <alignment horizontal="left" vertical="center" indent="1"/>
    </xf>
    <xf numFmtId="4" fontId="18" fillId="119" borderId="83" applyNumberFormat="0" applyProtection="0">
      <alignment horizontal="right" vertical="center"/>
    </xf>
    <xf numFmtId="0" fontId="16" fillId="107" borderId="83" applyNumberFormat="0" applyProtection="0">
      <alignment horizontal="left" vertical="center" indent="1"/>
    </xf>
    <xf numFmtId="4" fontId="45" fillId="39" borderId="86" applyNumberFormat="0" applyProtection="0">
      <alignment horizontal="right" vertical="center"/>
    </xf>
    <xf numFmtId="0" fontId="33" fillId="27" borderId="86" applyNumberFormat="0" applyAlignment="0" applyProtection="0"/>
    <xf numFmtId="4" fontId="18" fillId="112" borderId="83" applyNumberFormat="0" applyProtection="0">
      <alignment horizontal="right" vertical="center"/>
    </xf>
    <xf numFmtId="4" fontId="45" fillId="38" borderId="86" applyNumberFormat="0" applyProtection="0">
      <alignment horizontal="right" vertical="center"/>
    </xf>
    <xf numFmtId="4" fontId="45" fillId="106" borderId="86" applyNumberFormat="0" applyProtection="0">
      <alignment horizontal="left" vertical="center" indent="1"/>
    </xf>
    <xf numFmtId="4" fontId="45" fillId="36" borderId="86" applyNumberFormat="0" applyProtection="0">
      <alignment horizontal="right" vertical="center"/>
    </xf>
    <xf numFmtId="4" fontId="45" fillId="41" borderId="87" applyNumberFormat="0" applyProtection="0">
      <alignment horizontal="left" vertical="center" indent="1"/>
    </xf>
    <xf numFmtId="4" fontId="45" fillId="110" borderId="86" applyNumberFormat="0" applyProtection="0">
      <alignment horizontal="right" vertical="center"/>
    </xf>
    <xf numFmtId="4" fontId="45" fillId="2" borderId="87" applyNumberFormat="0" applyProtection="0">
      <alignment horizontal="left" vertical="center" indent="1"/>
    </xf>
    <xf numFmtId="4" fontId="45" fillId="39" borderId="86" applyNumberFormat="0" applyProtection="0">
      <alignment horizontal="right" vertical="center"/>
    </xf>
    <xf numFmtId="4" fontId="45" fillId="41" borderId="87" applyNumberFormat="0" applyProtection="0">
      <alignment horizontal="left" vertical="center" indent="1"/>
    </xf>
    <xf numFmtId="4" fontId="18" fillId="106" borderId="83" applyNumberFormat="0" applyProtection="0">
      <alignment horizontal="left" vertical="center" indent="1"/>
    </xf>
    <xf numFmtId="4" fontId="18" fillId="115" borderId="83" applyNumberFormat="0" applyProtection="0">
      <alignment horizontal="right" vertical="center"/>
    </xf>
    <xf numFmtId="4" fontId="18" fillId="106" borderId="83" applyNumberFormat="0" applyProtection="0">
      <alignment horizontal="left" vertical="center" indent="1"/>
    </xf>
    <xf numFmtId="4" fontId="45" fillId="38" borderId="86" applyNumberFormat="0" applyProtection="0">
      <alignment horizontal="right" vertical="center"/>
    </xf>
    <xf numFmtId="4" fontId="45" fillId="2" borderId="87" applyNumberFormat="0" applyProtection="0">
      <alignment horizontal="left" vertical="center" indent="1"/>
    </xf>
    <xf numFmtId="4" fontId="45" fillId="35" borderId="86" applyNumberFormat="0" applyProtection="0">
      <alignment horizontal="right" vertical="center"/>
    </xf>
    <xf numFmtId="0" fontId="45" fillId="2" borderId="84" applyNumberFormat="0" applyProtection="0">
      <alignment horizontal="left" vertical="top" indent="1"/>
    </xf>
    <xf numFmtId="4" fontId="45" fillId="7" borderId="86" applyNumberFormat="0" applyProtection="0">
      <alignment horizontal="right" vertical="center"/>
    </xf>
    <xf numFmtId="0" fontId="36" fillId="10" borderId="83" applyNumberFormat="0" applyAlignment="0" applyProtection="0"/>
    <xf numFmtId="4" fontId="45" fillId="51" borderId="86" applyNumberFormat="0" applyProtection="0">
      <alignment horizontal="left" vertical="center" indent="1"/>
    </xf>
    <xf numFmtId="4" fontId="45" fillId="40" borderId="87" applyNumberFormat="0" applyProtection="0">
      <alignment horizontal="left" vertical="center" indent="1"/>
    </xf>
    <xf numFmtId="0" fontId="45" fillId="41" borderId="84" applyNumberFormat="0" applyProtection="0">
      <alignment horizontal="left" vertical="top" indent="1"/>
    </xf>
    <xf numFmtId="4" fontId="45" fillId="37" borderId="86" applyNumberFormat="0" applyProtection="0">
      <alignment horizontal="right" vertical="center"/>
    </xf>
    <xf numFmtId="0" fontId="16" fillId="122" borderId="83" applyNumberFormat="0" applyProtection="0">
      <alignment horizontal="left" vertical="center" indent="1"/>
    </xf>
    <xf numFmtId="0" fontId="36" fillId="101" borderId="83" applyNumberFormat="0" applyAlignment="0" applyProtection="0"/>
    <xf numFmtId="0" fontId="109" fillId="10" borderId="81" applyNumberFormat="0" applyAlignment="0" applyProtection="0"/>
    <xf numFmtId="4" fontId="18" fillId="123" borderId="83" applyNumberFormat="0" applyProtection="0">
      <alignment horizontal="left" vertical="center" indent="1"/>
    </xf>
    <xf numFmtId="4" fontId="45" fillId="34" borderId="87" applyNumberFormat="0" applyProtection="0">
      <alignment horizontal="right" vertical="center"/>
    </xf>
    <xf numFmtId="4" fontId="18" fillId="46" borderId="83" applyNumberFormat="0" applyProtection="0">
      <alignment horizontal="left" vertical="center" indent="1"/>
    </xf>
    <xf numFmtId="4" fontId="120" fillId="10" borderId="84" applyNumberFormat="0" applyProtection="0">
      <alignment horizontal="left" vertical="center" indent="1"/>
    </xf>
    <xf numFmtId="4" fontId="45" fillId="41" borderId="87" applyNumberFormat="0" applyProtection="0">
      <alignment horizontal="left" vertical="center" indent="1"/>
    </xf>
    <xf numFmtId="0" fontId="45" fillId="41" borderId="86" applyNumberFormat="0" applyProtection="0">
      <alignment horizontal="left" vertical="center" indent="1"/>
    </xf>
    <xf numFmtId="4" fontId="122" fillId="42" borderId="87" applyNumberFormat="0" applyProtection="0">
      <alignment horizontal="left" vertical="center" indent="1"/>
    </xf>
    <xf numFmtId="4" fontId="45" fillId="51" borderId="86" applyNumberFormat="0" applyProtection="0">
      <alignment horizontal="left" vertical="center" indent="1"/>
    </xf>
    <xf numFmtId="0" fontId="16" fillId="107" borderId="83" applyNumberFormat="0" applyProtection="0">
      <alignment horizontal="left" vertical="center" indent="1"/>
    </xf>
    <xf numFmtId="0" fontId="45" fillId="124" borderId="91"/>
    <xf numFmtId="0" fontId="45" fillId="6" borderId="86" applyNumberFormat="0" applyProtection="0">
      <alignment horizontal="left" vertical="center" indent="1"/>
    </xf>
    <xf numFmtId="0" fontId="16" fillId="107" borderId="83" applyNumberFormat="0" applyProtection="0">
      <alignment horizontal="left" vertical="center" indent="1"/>
    </xf>
    <xf numFmtId="4" fontId="45" fillId="38" borderId="86" applyNumberFormat="0" applyProtection="0">
      <alignment horizontal="right" vertical="center"/>
    </xf>
    <xf numFmtId="4" fontId="45" fillId="2" borderId="86" applyNumberFormat="0" applyProtection="0">
      <alignment horizontal="right" vertical="center"/>
    </xf>
    <xf numFmtId="4" fontId="18" fillId="111" borderId="83" applyNumberFormat="0" applyProtection="0">
      <alignment horizontal="right" vertical="center"/>
    </xf>
    <xf numFmtId="4" fontId="45" fillId="35" borderId="86" applyNumberFormat="0" applyProtection="0">
      <alignment horizontal="right" vertical="center"/>
    </xf>
    <xf numFmtId="4" fontId="18" fillId="119" borderId="83" applyNumberFormat="0" applyProtection="0">
      <alignment horizontal="left" vertical="center" indent="1"/>
    </xf>
    <xf numFmtId="4" fontId="18" fillId="119" borderId="83" applyNumberFormat="0" applyProtection="0">
      <alignment horizontal="right" vertical="center"/>
    </xf>
    <xf numFmtId="0" fontId="18" fillId="4" borderId="82" applyNumberFormat="0" applyFont="0" applyAlignment="0" applyProtection="0"/>
    <xf numFmtId="0" fontId="45" fillId="6" borderId="84" applyNumberFormat="0" applyProtection="0">
      <alignment horizontal="left" vertical="top" indent="1"/>
    </xf>
    <xf numFmtId="0" fontId="27" fillId="0" borderId="90" applyNumberFormat="0" applyFill="0" applyAlignment="0" applyProtection="0"/>
    <xf numFmtId="0" fontId="45" fillId="10" borderId="86" applyNumberFormat="0" applyProtection="0">
      <alignment horizontal="left" vertical="center" indent="1"/>
    </xf>
    <xf numFmtId="4" fontId="18" fillId="117" borderId="83" applyNumberFormat="0" applyProtection="0">
      <alignment horizontal="right" vertical="center"/>
    </xf>
    <xf numFmtId="4" fontId="18" fillId="123" borderId="83" applyNumberFormat="0" applyProtection="0">
      <alignment vertical="center"/>
    </xf>
    <xf numFmtId="4" fontId="45" fillId="51" borderId="86" applyNumberFormat="0" applyProtection="0">
      <alignment horizontal="left" vertical="center" indent="1"/>
    </xf>
    <xf numFmtId="0" fontId="16" fillId="122" borderId="83" applyNumberFormat="0" applyProtection="0">
      <alignment horizontal="left" vertical="center" indent="1"/>
    </xf>
    <xf numFmtId="4" fontId="45" fillId="9" borderId="86" applyNumberFormat="0" applyProtection="0">
      <alignment horizontal="right" vertical="center"/>
    </xf>
    <xf numFmtId="4" fontId="18" fillId="114" borderId="83" applyNumberFormat="0" applyProtection="0">
      <alignment horizontal="right" vertical="center"/>
    </xf>
    <xf numFmtId="4" fontId="45" fillId="36" borderId="86" applyNumberFormat="0" applyProtection="0">
      <alignment horizontal="right" vertical="center"/>
    </xf>
    <xf numFmtId="4" fontId="45" fillId="34" borderId="87" applyNumberFormat="0" applyProtection="0">
      <alignment horizontal="right" vertical="center"/>
    </xf>
    <xf numFmtId="0" fontId="27" fillId="0" borderId="85" applyNumberFormat="0" applyFill="0" applyAlignment="0" applyProtection="0"/>
    <xf numFmtId="4" fontId="45" fillId="7" borderId="86" applyNumberFormat="0" applyProtection="0">
      <alignment horizontal="right" vertical="center"/>
    </xf>
    <xf numFmtId="4" fontId="45" fillId="40" borderId="87" applyNumberFormat="0" applyProtection="0">
      <alignment horizontal="left" vertical="center" indent="1"/>
    </xf>
    <xf numFmtId="4" fontId="45" fillId="110" borderId="86" applyNumberFormat="0" applyProtection="0">
      <alignment horizontal="right" vertical="center"/>
    </xf>
    <xf numFmtId="4" fontId="45" fillId="7" borderId="86" applyNumberFormat="0" applyProtection="0">
      <alignment horizontal="right" vertical="center"/>
    </xf>
    <xf numFmtId="4" fontId="45" fillId="51" borderId="86" applyNumberFormat="0" applyProtection="0">
      <alignment horizontal="left" vertical="center" indent="1"/>
    </xf>
    <xf numFmtId="4" fontId="45" fillId="110" borderId="86" applyNumberFormat="0" applyProtection="0">
      <alignment horizontal="right" vertical="center"/>
    </xf>
    <xf numFmtId="0" fontId="45" fillId="121" borderId="86" applyNumberFormat="0" applyProtection="0">
      <alignment horizontal="left" vertical="center" indent="1"/>
    </xf>
    <xf numFmtId="4" fontId="45" fillId="51" borderId="86" applyNumberFormat="0" applyProtection="0">
      <alignment horizontal="left" vertical="center" indent="1"/>
    </xf>
    <xf numFmtId="4" fontId="45" fillId="36" borderId="86" applyNumberFormat="0" applyProtection="0">
      <alignment horizontal="right" vertical="center"/>
    </xf>
    <xf numFmtId="4" fontId="45" fillId="2" borderId="86" applyNumberFormat="0" applyProtection="0">
      <alignment horizontal="right" vertical="center"/>
    </xf>
    <xf numFmtId="4" fontId="45" fillId="51" borderId="86" applyNumberFormat="0" applyProtection="0">
      <alignment horizontal="left" vertical="center" indent="1"/>
    </xf>
    <xf numFmtId="0" fontId="120" fillId="4" borderId="84" applyNumberFormat="0" applyProtection="0">
      <alignment horizontal="left" vertical="top" indent="1"/>
    </xf>
    <xf numFmtId="0" fontId="16" fillId="107" borderId="83" applyNumberFormat="0" applyProtection="0">
      <alignment horizontal="left" vertical="center" indent="1"/>
    </xf>
    <xf numFmtId="4" fontId="45" fillId="36" borderId="86" applyNumberFormat="0" applyProtection="0">
      <alignment horizontal="right" vertical="center"/>
    </xf>
    <xf numFmtId="4" fontId="45" fillId="35" borderId="86" applyNumberFormat="0" applyProtection="0">
      <alignment horizontal="right" vertical="center"/>
    </xf>
    <xf numFmtId="0" fontId="45" fillId="121" borderId="86" applyNumberFormat="0" applyProtection="0">
      <alignment horizontal="left" vertical="center" indent="1"/>
    </xf>
    <xf numFmtId="0" fontId="45" fillId="6" borderId="86" applyNumberFormat="0" applyProtection="0">
      <alignment horizontal="left" vertical="center" indent="1"/>
    </xf>
    <xf numFmtId="4" fontId="117" fillId="106" borderId="86" applyNumberFormat="0" applyProtection="0">
      <alignment vertical="center"/>
    </xf>
    <xf numFmtId="4" fontId="45" fillId="33" borderId="86" applyNumberFormat="0" applyProtection="0">
      <alignment vertical="center"/>
    </xf>
    <xf numFmtId="4" fontId="117" fillId="106" borderId="86" applyNumberFormat="0" applyProtection="0">
      <alignment vertical="center"/>
    </xf>
    <xf numFmtId="0" fontId="16" fillId="46" borderId="83" applyNumberFormat="0" applyProtection="0">
      <alignment horizontal="left" vertical="center" indent="1"/>
    </xf>
    <xf numFmtId="4" fontId="45" fillId="34" borderId="87" applyNumberFormat="0" applyProtection="0">
      <alignment horizontal="right" vertical="center"/>
    </xf>
    <xf numFmtId="4" fontId="45" fillId="106" borderId="86" applyNumberFormat="0" applyProtection="0">
      <alignment horizontal="left" vertical="center" indent="1"/>
    </xf>
    <xf numFmtId="4" fontId="16" fillId="8" borderId="87" applyNumberFormat="0" applyProtection="0">
      <alignment horizontal="left" vertical="center" indent="1"/>
    </xf>
    <xf numFmtId="0" fontId="45" fillId="6" borderId="86" applyNumberFormat="0" applyProtection="0">
      <alignment horizontal="left" vertical="center" indent="1"/>
    </xf>
    <xf numFmtId="4" fontId="16" fillId="8" borderId="87" applyNumberFormat="0" applyProtection="0">
      <alignment horizontal="left" vertical="center" indent="1"/>
    </xf>
    <xf numFmtId="0" fontId="16" fillId="46" borderId="83" applyNumberFormat="0" applyProtection="0">
      <alignment horizontal="left" vertical="center" indent="1"/>
    </xf>
    <xf numFmtId="0" fontId="16" fillId="107" borderId="83" applyNumberFormat="0" applyProtection="0">
      <alignment horizontal="left" vertical="center" indent="1"/>
    </xf>
    <xf numFmtId="4" fontId="18" fillId="106" borderId="83" applyNumberFormat="0" applyProtection="0">
      <alignment vertical="center"/>
    </xf>
    <xf numFmtId="4" fontId="45" fillId="36" borderId="86" applyNumberFormat="0" applyProtection="0">
      <alignment horizontal="right" vertical="center"/>
    </xf>
    <xf numFmtId="4" fontId="16" fillId="8" borderId="87" applyNumberFormat="0" applyProtection="0">
      <alignment horizontal="left" vertical="center" indent="1"/>
    </xf>
    <xf numFmtId="4" fontId="37" fillId="118" borderId="83" applyNumberFormat="0" applyProtection="0">
      <alignment horizontal="left" vertical="center" indent="1"/>
    </xf>
    <xf numFmtId="4" fontId="18" fillId="116" borderId="83" applyNumberFormat="0" applyProtection="0">
      <alignment horizontal="right" vertical="center"/>
    </xf>
    <xf numFmtId="4" fontId="18" fillId="106" borderId="83" applyNumberFormat="0" applyProtection="0">
      <alignment vertical="center"/>
    </xf>
    <xf numFmtId="4" fontId="40" fillId="123" borderId="83" applyNumberFormat="0" applyProtection="0">
      <alignment vertical="center"/>
    </xf>
    <xf numFmtId="4" fontId="40" fillId="119" borderId="83" applyNumberFormat="0" applyProtection="0">
      <alignment horizontal="right" vertical="center"/>
    </xf>
    <xf numFmtId="4" fontId="18" fillId="114" borderId="83" applyNumberFormat="0" applyProtection="0">
      <alignment horizontal="right" vertical="center"/>
    </xf>
    <xf numFmtId="0" fontId="18" fillId="4" borderId="82" applyNumberFormat="0" applyFont="0" applyAlignment="0" applyProtection="0"/>
    <xf numFmtId="4" fontId="18" fillId="108" borderId="83" applyNumberFormat="0" applyProtection="0">
      <alignment horizontal="right" vertical="center"/>
    </xf>
    <xf numFmtId="4" fontId="45" fillId="9" borderId="86" applyNumberFormat="0" applyProtection="0">
      <alignment horizontal="right" vertical="center"/>
    </xf>
    <xf numFmtId="4" fontId="123" fillId="5" borderId="86" applyNumberFormat="0" applyProtection="0">
      <alignment horizontal="right" vertical="center"/>
    </xf>
    <xf numFmtId="0" fontId="16" fillId="122" borderId="83" applyNumberFormat="0" applyProtection="0">
      <alignment horizontal="left" vertical="center" indent="1"/>
    </xf>
    <xf numFmtId="0" fontId="45" fillId="41" borderId="86" applyNumberFormat="0" applyProtection="0">
      <alignment horizontal="left" vertical="center" indent="1"/>
    </xf>
    <xf numFmtId="0" fontId="45" fillId="121" borderId="86" applyNumberFormat="0" applyProtection="0">
      <alignment horizontal="left" vertical="center" indent="1"/>
    </xf>
    <xf numFmtId="4" fontId="45" fillId="34" borderId="87" applyNumberFormat="0" applyProtection="0">
      <alignment horizontal="right" vertical="center"/>
    </xf>
    <xf numFmtId="4" fontId="45" fillId="106" borderId="86" applyNumberFormat="0" applyProtection="0">
      <alignment horizontal="left" vertical="center" indent="1"/>
    </xf>
    <xf numFmtId="0" fontId="45" fillId="8" borderId="84" applyNumberFormat="0" applyProtection="0">
      <alignment horizontal="left" vertical="top" indent="1"/>
    </xf>
    <xf numFmtId="4" fontId="45" fillId="34" borderId="87" applyNumberFormat="0" applyProtection="0">
      <alignment horizontal="right" vertical="center"/>
    </xf>
    <xf numFmtId="4" fontId="45" fillId="2" borderId="87" applyNumberFormat="0" applyProtection="0">
      <alignment horizontal="left" vertical="center" indent="1"/>
    </xf>
    <xf numFmtId="4" fontId="45" fillId="40" borderId="87" applyNumberFormat="0" applyProtection="0">
      <alignment horizontal="left" vertical="center" indent="1"/>
    </xf>
    <xf numFmtId="4" fontId="45" fillId="2" borderId="86" applyNumberFormat="0" applyProtection="0">
      <alignment horizontal="right" vertical="center"/>
    </xf>
    <xf numFmtId="0" fontId="45" fillId="8" borderId="84" applyNumberFormat="0" applyProtection="0">
      <alignment horizontal="left" vertical="top" indent="1"/>
    </xf>
    <xf numFmtId="4" fontId="45" fillId="38" borderId="86" applyNumberFormat="0" applyProtection="0">
      <alignment horizontal="right" vertical="center"/>
    </xf>
    <xf numFmtId="0" fontId="45" fillId="121" borderId="86" applyNumberFormat="0" applyProtection="0">
      <alignment horizontal="left" vertical="center" indent="1"/>
    </xf>
    <xf numFmtId="0" fontId="115" fillId="11" borderId="81" applyNumberFormat="0" applyAlignment="0" applyProtection="0"/>
    <xf numFmtId="4" fontId="18" fillId="123" borderId="83" applyNumberFormat="0" applyProtection="0">
      <alignment horizontal="left" vertical="center" indent="1"/>
    </xf>
    <xf numFmtId="4" fontId="120" fillId="4" borderId="84" applyNumberFormat="0" applyProtection="0">
      <alignment vertical="center"/>
    </xf>
    <xf numFmtId="4" fontId="120" fillId="4" borderId="84" applyNumberFormat="0" applyProtection="0">
      <alignment vertical="center"/>
    </xf>
    <xf numFmtId="0" fontId="45" fillId="6" borderId="84" applyNumberFormat="0" applyProtection="0">
      <alignment horizontal="left" vertical="top" indent="1"/>
    </xf>
    <xf numFmtId="4" fontId="45" fillId="110" borderId="86" applyNumberFormat="0" applyProtection="0">
      <alignment horizontal="right" vertical="center"/>
    </xf>
    <xf numFmtId="4" fontId="45" fillId="2" borderId="87" applyNumberFormat="0" applyProtection="0">
      <alignment horizontal="left" vertical="center" indent="1"/>
    </xf>
    <xf numFmtId="0" fontId="45" fillId="10" borderId="86" applyNumberFormat="0" applyProtection="0">
      <alignment horizontal="left" vertical="center" indent="1"/>
    </xf>
    <xf numFmtId="4" fontId="18" fillId="119" borderId="83" applyNumberFormat="0" applyProtection="0">
      <alignment horizontal="left" vertical="center" indent="1"/>
    </xf>
    <xf numFmtId="4" fontId="45" fillId="9" borderId="86" applyNumberFormat="0" applyProtection="0">
      <alignment horizontal="right" vertical="center"/>
    </xf>
    <xf numFmtId="4" fontId="45" fillId="2" borderId="86" applyNumberFormat="0" applyProtection="0">
      <alignment horizontal="right" vertical="center"/>
    </xf>
    <xf numFmtId="0" fontId="45" fillId="41" borderId="86" applyNumberFormat="0" applyProtection="0">
      <alignment horizontal="left" vertical="center" indent="1"/>
    </xf>
    <xf numFmtId="4" fontId="117" fillId="43" borderId="86" applyNumberFormat="0" applyProtection="0">
      <alignment horizontal="right" vertical="center"/>
    </xf>
    <xf numFmtId="4" fontId="45" fillId="2" borderId="86" applyNumberFormat="0" applyProtection="0">
      <alignment horizontal="right" vertical="center"/>
    </xf>
    <xf numFmtId="4" fontId="45" fillId="0" borderId="86" applyNumberFormat="0" applyProtection="0">
      <alignment horizontal="right" vertical="center"/>
    </xf>
    <xf numFmtId="0" fontId="16" fillId="45" borderId="83" applyNumberFormat="0" applyProtection="0">
      <alignment horizontal="left" vertical="center" indent="1"/>
    </xf>
    <xf numFmtId="4" fontId="18" fillId="111" borderId="83" applyNumberFormat="0" applyProtection="0">
      <alignment horizontal="right" vertical="center"/>
    </xf>
    <xf numFmtId="0" fontId="16" fillId="107" borderId="83" applyNumberFormat="0" applyProtection="0">
      <alignment horizontal="left" vertical="center" indent="1"/>
    </xf>
    <xf numFmtId="4" fontId="18" fillId="106" borderId="83" applyNumberFormat="0" applyProtection="0">
      <alignment vertical="center"/>
    </xf>
    <xf numFmtId="4" fontId="45" fillId="39" borderId="86" applyNumberFormat="0" applyProtection="0">
      <alignment horizontal="right" vertical="center"/>
    </xf>
    <xf numFmtId="0" fontId="33" fillId="27" borderId="86" applyNumberFormat="0" applyAlignment="0" applyProtection="0"/>
    <xf numFmtId="0" fontId="45" fillId="41" borderId="86" applyNumberFormat="0" applyProtection="0">
      <alignment horizontal="left" vertical="center" indent="1"/>
    </xf>
    <xf numFmtId="4" fontId="18" fillId="115" borderId="83" applyNumberFormat="0" applyProtection="0">
      <alignment horizontal="right" vertical="center"/>
    </xf>
    <xf numFmtId="4" fontId="45" fillId="9" borderId="86" applyNumberFormat="0" applyProtection="0">
      <alignment horizontal="right" vertical="center"/>
    </xf>
    <xf numFmtId="4" fontId="45" fillId="39" borderId="86" applyNumberFormat="0" applyProtection="0">
      <alignment horizontal="right" vertical="center"/>
    </xf>
    <xf numFmtId="0" fontId="16" fillId="107" borderId="83" applyNumberFormat="0" applyProtection="0">
      <alignment horizontal="left" vertical="center" indent="1"/>
    </xf>
    <xf numFmtId="4" fontId="18" fillId="109" borderId="83" applyNumberFormat="0" applyProtection="0">
      <alignment horizontal="right" vertical="center"/>
    </xf>
    <xf numFmtId="4" fontId="45" fillId="0" borderId="86" applyNumberFormat="0" applyProtection="0">
      <alignment horizontal="right" vertical="center"/>
    </xf>
    <xf numFmtId="4" fontId="45" fillId="110" borderId="86" applyNumberFormat="0" applyProtection="0">
      <alignment horizontal="right" vertical="center"/>
    </xf>
    <xf numFmtId="4" fontId="18" fillId="106" borderId="83" applyNumberFormat="0" applyProtection="0">
      <alignment horizontal="left" vertical="center" indent="1"/>
    </xf>
    <xf numFmtId="4" fontId="45" fillId="51" borderId="86" applyNumberFormat="0" applyProtection="0">
      <alignment horizontal="left" vertical="center" indent="1"/>
    </xf>
    <xf numFmtId="0" fontId="16" fillId="122" borderId="83" applyNumberFormat="0" applyProtection="0">
      <alignment horizontal="left" vertical="center" indent="1"/>
    </xf>
    <xf numFmtId="4" fontId="18" fillId="123" borderId="83" applyNumberFormat="0" applyProtection="0">
      <alignment horizontal="left" vertical="center" indent="1"/>
    </xf>
    <xf numFmtId="4" fontId="45" fillId="7" borderId="86" applyNumberFormat="0" applyProtection="0">
      <alignment horizontal="right" vertical="center"/>
    </xf>
    <xf numFmtId="0" fontId="115" fillId="11" borderId="81" applyNumberFormat="0" applyAlignment="0" applyProtection="0"/>
    <xf numFmtId="4" fontId="117" fillId="43" borderId="86" applyNumberFormat="0" applyProtection="0">
      <alignment horizontal="right" vertical="center"/>
    </xf>
    <xf numFmtId="4" fontId="45" fillId="110" borderId="86" applyNumberFormat="0" applyProtection="0">
      <alignment horizontal="right" vertical="center"/>
    </xf>
    <xf numFmtId="0" fontId="16" fillId="45" borderId="83" applyNumberFormat="0" applyProtection="0">
      <alignment horizontal="left" vertical="center" indent="1"/>
    </xf>
    <xf numFmtId="0" fontId="119" fillId="8" borderId="89" applyBorder="0"/>
    <xf numFmtId="0" fontId="45" fillId="6" borderId="86" applyNumberFormat="0" applyProtection="0">
      <alignment horizontal="left" vertical="center" indent="1"/>
    </xf>
    <xf numFmtId="4" fontId="18" fillId="116" borderId="83" applyNumberFormat="0" applyProtection="0">
      <alignment horizontal="right" vertical="center"/>
    </xf>
    <xf numFmtId="4" fontId="45" fillId="36" borderId="86" applyNumberFormat="0" applyProtection="0">
      <alignment horizontal="right" vertical="center"/>
    </xf>
    <xf numFmtId="4" fontId="45" fillId="9" borderId="86" applyNumberFormat="0" applyProtection="0">
      <alignment horizontal="right" vertical="center"/>
    </xf>
    <xf numFmtId="4" fontId="45" fillId="38" borderId="86" applyNumberFormat="0" applyProtection="0">
      <alignment horizontal="right" vertical="center"/>
    </xf>
    <xf numFmtId="4" fontId="120" fillId="10" borderId="84" applyNumberFormat="0" applyProtection="0">
      <alignment horizontal="left" vertical="center" indent="1"/>
    </xf>
    <xf numFmtId="4" fontId="45" fillId="7" borderId="86" applyNumberFormat="0" applyProtection="0">
      <alignment horizontal="right" vertical="center"/>
    </xf>
    <xf numFmtId="4" fontId="45" fillId="33" borderId="86" applyNumberFormat="0" applyProtection="0">
      <alignment vertical="center"/>
    </xf>
    <xf numFmtId="4" fontId="18" fillId="123" borderId="83" applyNumberFormat="0" applyProtection="0">
      <alignment horizontal="left" vertical="center" indent="1"/>
    </xf>
    <xf numFmtId="4" fontId="45" fillId="106" borderId="86" applyNumberFormat="0" applyProtection="0">
      <alignment horizontal="left" vertical="center" indent="1"/>
    </xf>
    <xf numFmtId="0" fontId="45" fillId="10" borderId="86" applyNumberFormat="0" applyProtection="0">
      <alignment horizontal="left" vertical="center" indent="1"/>
    </xf>
    <xf numFmtId="4" fontId="45" fillId="41" borderId="87" applyNumberFormat="0" applyProtection="0">
      <alignment horizontal="left" vertical="center" indent="1"/>
    </xf>
    <xf numFmtId="4" fontId="18" fillId="113" borderId="83" applyNumberFormat="0" applyProtection="0">
      <alignment horizontal="right" vertical="center"/>
    </xf>
    <xf numFmtId="4" fontId="45" fillId="35" borderId="86" applyNumberFormat="0" applyProtection="0">
      <alignment horizontal="right" vertical="center"/>
    </xf>
    <xf numFmtId="4" fontId="16" fillId="8" borderId="87" applyNumberFormat="0" applyProtection="0">
      <alignment horizontal="left" vertical="center" indent="1"/>
    </xf>
    <xf numFmtId="0" fontId="16" fillId="45" borderId="83" applyNumberFormat="0" applyProtection="0">
      <alignment horizontal="left" vertical="center" indent="1"/>
    </xf>
    <xf numFmtId="4" fontId="45" fillId="39" borderId="86" applyNumberFormat="0" applyProtection="0">
      <alignment horizontal="right" vertical="center"/>
    </xf>
    <xf numFmtId="4" fontId="45" fillId="2" borderId="87" applyNumberFormat="0" applyProtection="0">
      <alignment horizontal="left" vertical="center" indent="1"/>
    </xf>
    <xf numFmtId="4" fontId="42" fillId="119" borderId="83" applyNumberFormat="0" applyProtection="0">
      <alignment horizontal="right" vertical="center"/>
    </xf>
    <xf numFmtId="4" fontId="45" fillId="2" borderId="87" applyNumberFormat="0" applyProtection="0">
      <alignment horizontal="left" vertical="center" indent="1"/>
    </xf>
    <xf numFmtId="4" fontId="45" fillId="106" borderId="86" applyNumberFormat="0" applyProtection="0">
      <alignment horizontal="left" vertical="center" indent="1"/>
    </xf>
    <xf numFmtId="4" fontId="18" fillId="106" borderId="83" applyNumberFormat="0" applyProtection="0">
      <alignment vertical="center"/>
    </xf>
    <xf numFmtId="4" fontId="45" fillId="106" borderId="86" applyNumberFormat="0" applyProtection="0">
      <alignment horizontal="left" vertical="center" indent="1"/>
    </xf>
    <xf numFmtId="0" fontId="45" fillId="26" borderId="86" applyNumberFormat="0" applyFont="0" applyAlignment="0" applyProtection="0"/>
    <xf numFmtId="0" fontId="109" fillId="10" borderId="81" applyNumberFormat="0" applyAlignment="0" applyProtection="0"/>
    <xf numFmtId="4" fontId="45" fillId="7" borderId="86" applyNumberFormat="0" applyProtection="0">
      <alignment horizontal="right" vertical="center"/>
    </xf>
    <xf numFmtId="0" fontId="118" fillId="33" borderId="84" applyNumberFormat="0" applyProtection="0">
      <alignment horizontal="left" vertical="top" indent="1"/>
    </xf>
    <xf numFmtId="4" fontId="45" fillId="33" borderId="86" applyNumberFormat="0" applyProtection="0">
      <alignment vertical="center"/>
    </xf>
    <xf numFmtId="0" fontId="108" fillId="101" borderId="86" applyNumberFormat="0" applyAlignment="0" applyProtection="0"/>
    <xf numFmtId="4" fontId="122" fillId="42" borderId="87" applyNumberFormat="0" applyProtection="0">
      <alignment horizontal="left" vertical="center" indent="1"/>
    </xf>
    <xf numFmtId="0" fontId="45" fillId="124" borderId="91"/>
    <xf numFmtId="0" fontId="120" fillId="2" borderId="84" applyNumberFormat="0" applyProtection="0">
      <alignment horizontal="left" vertical="top" indent="1"/>
    </xf>
    <xf numFmtId="4" fontId="42" fillId="119" borderId="83" applyNumberFormat="0" applyProtection="0">
      <alignment horizontal="right" vertical="center"/>
    </xf>
    <xf numFmtId="4" fontId="45" fillId="0" borderId="86" applyNumberFormat="0" applyProtection="0">
      <alignment horizontal="right" vertical="center"/>
    </xf>
    <xf numFmtId="0" fontId="16" fillId="107" borderId="83" applyNumberFormat="0" applyProtection="0">
      <alignment horizontal="left" vertical="center" indent="1"/>
    </xf>
    <xf numFmtId="4" fontId="45" fillId="0" borderId="86" applyNumberFormat="0" applyProtection="0">
      <alignment horizontal="right" vertical="center"/>
    </xf>
    <xf numFmtId="4" fontId="45" fillId="51" borderId="86" applyNumberFormat="0" applyProtection="0">
      <alignment horizontal="left" vertical="center" indent="1"/>
    </xf>
    <xf numFmtId="4" fontId="40" fillId="119" borderId="83" applyNumberFormat="0" applyProtection="0">
      <alignment horizontal="right" vertical="center"/>
    </xf>
    <xf numFmtId="0" fontId="36" fillId="101" borderId="83" applyNumberFormat="0" applyAlignment="0" applyProtection="0"/>
    <xf numFmtId="0" fontId="45" fillId="26" borderId="86" applyNumberFormat="0" applyFont="0" applyAlignment="0" applyProtection="0"/>
    <xf numFmtId="0" fontId="18" fillId="4" borderId="8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4" fillId="0" borderId="0" applyFont="0" applyFill="0" applyBorder="0" applyAlignment="0" applyProtection="0"/>
    <xf numFmtId="0" fontId="1" fillId="0" borderId="0"/>
  </cellStyleXfs>
  <cellXfs count="724">
    <xf numFmtId="175" fontId="0" fillId="0" borderId="0" xfId="0"/>
    <xf numFmtId="3" fontId="16" fillId="0" borderId="19" xfId="0" applyNumberFormat="1" applyFont="1" applyBorder="1" applyAlignment="1">
      <alignment horizontal="center"/>
    </xf>
    <xf numFmtId="3" fontId="16" fillId="0" borderId="25" xfId="0" applyNumberFormat="1" applyFont="1" applyBorder="1" applyAlignment="1">
      <alignment horizontal="center"/>
    </xf>
    <xf numFmtId="3" fontId="16" fillId="0" borderId="27" xfId="0" applyNumberFormat="1" applyFont="1" applyBorder="1" applyAlignment="1">
      <alignment horizontal="center"/>
    </xf>
    <xf numFmtId="3" fontId="16" fillId="0" borderId="34" xfId="0" applyNumberFormat="1" applyFont="1" applyBorder="1" applyAlignment="1" applyProtection="1">
      <alignment wrapText="1"/>
      <protection locked="0"/>
    </xf>
    <xf numFmtId="165" fontId="16" fillId="0" borderId="20" xfId="0" applyNumberFormat="1" applyFont="1" applyBorder="1" applyAlignment="1" applyProtection="1">
      <alignment horizontal="center"/>
      <protection locked="0"/>
    </xf>
    <xf numFmtId="165" fontId="16" fillId="0" borderId="0" xfId="0" applyNumberFormat="1" applyFont="1" applyProtection="1">
      <protection locked="0"/>
    </xf>
    <xf numFmtId="165" fontId="16" fillId="0" borderId="26" xfId="0" applyNumberFormat="1" applyFont="1" applyBorder="1" applyAlignment="1" applyProtection="1">
      <alignment horizontal="center"/>
      <protection locked="0"/>
    </xf>
    <xf numFmtId="165" fontId="16" fillId="0" borderId="0" xfId="0" applyNumberFormat="1" applyFont="1" applyAlignment="1" applyProtection="1">
      <alignment horizontal="center"/>
      <protection locked="0"/>
    </xf>
    <xf numFmtId="175" fontId="16" fillId="0" borderId="0" xfId="0" applyFont="1" applyProtection="1">
      <protection locked="0"/>
    </xf>
    <xf numFmtId="175" fontId="17" fillId="0" borderId="0" xfId="0" applyFont="1" applyAlignment="1" applyProtection="1">
      <alignment horizontal="center" wrapText="1"/>
      <protection locked="0"/>
    </xf>
    <xf numFmtId="3" fontId="16" fillId="0" borderId="0" xfId="0" applyNumberFormat="1" applyFont="1" applyProtection="1">
      <protection locked="0"/>
    </xf>
    <xf numFmtId="175" fontId="17" fillId="0" borderId="0" xfId="0" applyFont="1" applyAlignment="1" applyProtection="1">
      <alignment wrapText="1"/>
      <protection locked="0"/>
    </xf>
    <xf numFmtId="3" fontId="48" fillId="0" borderId="16" xfId="0" applyNumberFormat="1" applyFont="1" applyBorder="1" applyAlignment="1">
      <alignment horizontal="center"/>
    </xf>
    <xf numFmtId="6" fontId="16" fillId="0" borderId="0" xfId="66" applyNumberFormat="1"/>
    <xf numFmtId="175" fontId="16" fillId="0" borderId="0" xfId="66"/>
    <xf numFmtId="175" fontId="18" fillId="0" borderId="0" xfId="67"/>
    <xf numFmtId="175" fontId="37" fillId="0" borderId="0" xfId="67" applyFont="1" applyAlignment="1">
      <alignment horizontal="center"/>
    </xf>
    <xf numFmtId="175" fontId="17" fillId="0" borderId="37" xfId="66" applyFont="1" applyBorder="1" applyAlignment="1">
      <alignment wrapText="1"/>
    </xf>
    <xf numFmtId="175" fontId="46" fillId="0" borderId="0" xfId="66" applyFont="1"/>
    <xf numFmtId="175" fontId="17" fillId="44" borderId="29" xfId="66" applyFont="1" applyFill="1" applyBorder="1" applyAlignment="1">
      <alignment horizontal="center"/>
    </xf>
    <xf numFmtId="175" fontId="17" fillId="0" borderId="30" xfId="66" applyFont="1" applyBorder="1" applyAlignment="1">
      <alignment horizontal="center"/>
    </xf>
    <xf numFmtId="175" fontId="47" fillId="0" borderId="36" xfId="66" applyFont="1" applyBorder="1" applyAlignment="1">
      <alignment horizontal="center"/>
    </xf>
    <xf numFmtId="175" fontId="17" fillId="0" borderId="36" xfId="66" applyFont="1" applyBorder="1" applyAlignment="1">
      <alignment horizontal="center"/>
    </xf>
    <xf numFmtId="175" fontId="16" fillId="0" borderId="36" xfId="66" applyBorder="1"/>
    <xf numFmtId="164" fontId="16" fillId="0" borderId="0" xfId="66" applyNumberFormat="1"/>
    <xf numFmtId="175" fontId="17" fillId="0" borderId="36" xfId="66" applyFont="1" applyBorder="1"/>
    <xf numFmtId="164" fontId="16" fillId="0" borderId="0" xfId="66" applyNumberFormat="1" applyAlignment="1">
      <alignment horizontal="right"/>
    </xf>
    <xf numFmtId="175" fontId="17" fillId="0" borderId="36" xfId="66" applyFont="1" applyBorder="1" applyAlignment="1">
      <alignment horizontal="left" indent="1"/>
    </xf>
    <xf numFmtId="175" fontId="17" fillId="0" borderId="36" xfId="66" applyFont="1" applyBorder="1" applyAlignment="1">
      <alignment horizontal="center" wrapText="1"/>
    </xf>
    <xf numFmtId="164" fontId="16" fillId="44" borderId="0" xfId="66" applyNumberFormat="1" applyFill="1"/>
    <xf numFmtId="175" fontId="17" fillId="0" borderId="31" xfId="66" applyFont="1" applyBorder="1" applyAlignment="1">
      <alignment wrapText="1"/>
    </xf>
    <xf numFmtId="164" fontId="17" fillId="0" borderId="31" xfId="66" applyNumberFormat="1" applyFont="1" applyBorder="1"/>
    <xf numFmtId="175" fontId="17" fillId="0" borderId="0" xfId="0" applyFont="1"/>
    <xf numFmtId="175" fontId="17" fillId="0" borderId="28" xfId="0" applyFont="1" applyBorder="1"/>
    <xf numFmtId="175" fontId="16" fillId="0" borderId="0" xfId="0" applyFont="1"/>
    <xf numFmtId="175" fontId="16" fillId="0" borderId="13" xfId="0" applyFont="1" applyBorder="1"/>
    <xf numFmtId="175" fontId="37" fillId="0" borderId="0" xfId="0" applyFont="1" applyProtection="1">
      <protection locked="0"/>
    </xf>
    <xf numFmtId="175" fontId="18" fillId="0" borderId="0" xfId="0" applyFont="1" applyProtection="1">
      <protection locked="0"/>
    </xf>
    <xf numFmtId="165" fontId="18" fillId="0" borderId="0" xfId="0" applyNumberFormat="1" applyFont="1" applyProtection="1">
      <protection locked="0"/>
    </xf>
    <xf numFmtId="175" fontId="49" fillId="0" borderId="0" xfId="0" applyFont="1" applyProtection="1">
      <protection locked="0"/>
    </xf>
    <xf numFmtId="172" fontId="37" fillId="0" borderId="0" xfId="0" applyNumberFormat="1" applyFont="1" applyAlignment="1" applyProtection="1">
      <alignment horizontal="right"/>
      <protection locked="0"/>
    </xf>
    <xf numFmtId="172" fontId="37" fillId="0" borderId="0" xfId="0" applyNumberFormat="1" applyFont="1" applyAlignment="1" applyProtection="1">
      <alignment horizontal="center"/>
      <protection locked="0"/>
    </xf>
    <xf numFmtId="38" fontId="50" fillId="0" borderId="0" xfId="0" applyNumberFormat="1" applyFont="1" applyProtection="1">
      <protection locked="0"/>
    </xf>
    <xf numFmtId="165" fontId="50" fillId="0" borderId="0" xfId="0" applyNumberFormat="1" applyFont="1" applyProtection="1">
      <protection locked="0"/>
    </xf>
    <xf numFmtId="175" fontId="50" fillId="0" borderId="0" xfId="0" applyFont="1" applyProtection="1">
      <protection locked="0"/>
    </xf>
    <xf numFmtId="175" fontId="18" fillId="0" borderId="0" xfId="0" applyFont="1" applyAlignment="1" applyProtection="1">
      <alignment horizontal="left" indent="1"/>
      <protection locked="0"/>
    </xf>
    <xf numFmtId="175" fontId="18" fillId="0" borderId="0" xfId="0" applyFont="1"/>
    <xf numFmtId="175" fontId="37" fillId="0" borderId="0" xfId="0" applyFont="1"/>
    <xf numFmtId="38" fontId="18" fillId="0" borderId="0" xfId="0" applyNumberFormat="1" applyFont="1"/>
    <xf numFmtId="165" fontId="18" fillId="0" borderId="0" xfId="0" applyNumberFormat="1" applyFont="1"/>
    <xf numFmtId="175" fontId="16" fillId="0" borderId="13" xfId="0" applyFont="1" applyBorder="1" applyProtection="1">
      <protection locked="0"/>
    </xf>
    <xf numFmtId="9" fontId="16" fillId="0" borderId="0" xfId="145" applyFont="1" applyProtection="1">
      <protection locked="0"/>
    </xf>
    <xf numFmtId="175" fontId="17" fillId="0" borderId="14" xfId="0" applyFont="1" applyBorder="1" applyAlignment="1" applyProtection="1">
      <alignment horizontal="center"/>
      <protection locked="0"/>
    </xf>
    <xf numFmtId="175" fontId="16" fillId="0" borderId="15" xfId="0" applyFont="1" applyBorder="1" applyProtection="1">
      <protection locked="0"/>
    </xf>
    <xf numFmtId="166" fontId="16" fillId="0" borderId="0" xfId="0" applyNumberFormat="1" applyFont="1" applyAlignment="1">
      <alignment horizontal="center"/>
    </xf>
    <xf numFmtId="173" fontId="16" fillId="0" borderId="0" xfId="0" applyNumberFormat="1" applyFont="1" applyAlignment="1">
      <alignment horizontal="center"/>
    </xf>
    <xf numFmtId="3" fontId="16" fillId="0" borderId="0" xfId="0" applyNumberFormat="1" applyFont="1" applyAlignment="1">
      <alignment horizontal="center"/>
    </xf>
    <xf numFmtId="165" fontId="16" fillId="0" borderId="0" xfId="0" applyNumberFormat="1" applyFont="1" applyAlignment="1">
      <alignment horizontal="center"/>
    </xf>
    <xf numFmtId="175" fontId="37" fillId="0" borderId="15" xfId="0" applyFont="1" applyBorder="1" applyAlignment="1" applyProtection="1">
      <alignment horizontal="center"/>
      <protection locked="0"/>
    </xf>
    <xf numFmtId="175" fontId="18" fillId="0" borderId="15" xfId="0" applyFont="1" applyBorder="1" applyProtection="1">
      <protection locked="0"/>
    </xf>
    <xf numFmtId="38" fontId="56" fillId="0" borderId="16" xfId="0" applyNumberFormat="1" applyFont="1" applyBorder="1" applyAlignment="1">
      <alignment horizontal="center"/>
    </xf>
    <xf numFmtId="175" fontId="62" fillId="0" borderId="0" xfId="0" applyFont="1"/>
    <xf numFmtId="3" fontId="48" fillId="0" borderId="16" xfId="0" applyNumberFormat="1" applyFont="1" applyBorder="1" applyAlignment="1" applyProtection="1">
      <alignment horizontal="center"/>
      <protection locked="0"/>
    </xf>
    <xf numFmtId="3" fontId="16" fillId="0" borderId="19" xfId="0" applyNumberFormat="1" applyFont="1" applyBorder="1" applyAlignment="1" applyProtection="1">
      <alignment horizontal="center"/>
      <protection locked="0"/>
    </xf>
    <xf numFmtId="175" fontId="17" fillId="0" borderId="0" xfId="66" applyFont="1" applyProtection="1">
      <protection locked="0"/>
    </xf>
    <xf numFmtId="175" fontId="16" fillId="0" borderId="0" xfId="66" applyProtection="1">
      <protection locked="0"/>
    </xf>
    <xf numFmtId="175" fontId="16" fillId="0" borderId="30" xfId="66" applyBorder="1" applyProtection="1">
      <protection locked="0"/>
    </xf>
    <xf numFmtId="175" fontId="16" fillId="0" borderId="31" xfId="66" applyBorder="1" applyProtection="1">
      <protection locked="0"/>
    </xf>
    <xf numFmtId="175" fontId="16" fillId="0" borderId="32" xfId="66" applyBorder="1" applyProtection="1">
      <protection locked="0"/>
    </xf>
    <xf numFmtId="175" fontId="16" fillId="0" borderId="14" xfId="66" applyBorder="1" applyProtection="1">
      <protection locked="0"/>
    </xf>
    <xf numFmtId="6" fontId="16" fillId="0" borderId="0" xfId="66" applyNumberFormat="1" applyProtection="1">
      <protection locked="0"/>
    </xf>
    <xf numFmtId="175" fontId="16" fillId="0" borderId="13" xfId="66" applyBorder="1" applyProtection="1">
      <protection locked="0"/>
    </xf>
    <xf numFmtId="164" fontId="16" fillId="0" borderId="35" xfId="66" applyNumberFormat="1" applyBorder="1" applyProtection="1">
      <protection locked="0"/>
    </xf>
    <xf numFmtId="175" fontId="16" fillId="0" borderId="35" xfId="66" applyBorder="1" applyProtection="1">
      <protection locked="0"/>
    </xf>
    <xf numFmtId="175" fontId="18" fillId="0" borderId="0" xfId="67" applyProtection="1">
      <protection locked="0"/>
    </xf>
    <xf numFmtId="175" fontId="55" fillId="0" borderId="0" xfId="0" applyFont="1" applyProtection="1">
      <protection locked="0"/>
    </xf>
    <xf numFmtId="175" fontId="17" fillId="0" borderId="0" xfId="0" applyFont="1" applyProtection="1">
      <protection locked="0"/>
    </xf>
    <xf numFmtId="175" fontId="66" fillId="0" borderId="0" xfId="0" applyFont="1" applyAlignment="1">
      <alignment horizontal="left" vertical="center" indent="4"/>
    </xf>
    <xf numFmtId="175" fontId="17" fillId="0" borderId="0" xfId="0" applyFont="1" applyAlignment="1" applyProtection="1">
      <alignment horizontal="center"/>
      <protection locked="0"/>
    </xf>
    <xf numFmtId="17" fontId="17" fillId="0" borderId="0" xfId="0" quotePrefix="1" applyNumberFormat="1" applyFont="1" applyAlignment="1" applyProtection="1">
      <alignment horizontal="center"/>
      <protection locked="0"/>
    </xf>
    <xf numFmtId="175" fontId="0" fillId="47" borderId="0" xfId="0" applyFill="1"/>
    <xf numFmtId="17" fontId="17" fillId="47" borderId="0" xfId="0" quotePrefix="1" applyNumberFormat="1" applyFont="1" applyFill="1" applyAlignment="1" applyProtection="1">
      <alignment horizontal="center"/>
      <protection locked="0"/>
    </xf>
    <xf numFmtId="175" fontId="16" fillId="47" borderId="0" xfId="0" applyFont="1" applyFill="1" applyProtection="1">
      <protection locked="0"/>
    </xf>
    <xf numFmtId="175" fontId="54" fillId="0" borderId="0" xfId="0" applyFont="1" applyAlignment="1">
      <alignment horizontal="center"/>
    </xf>
    <xf numFmtId="38" fontId="16" fillId="0" borderId="19" xfId="0" applyNumberFormat="1" applyFont="1" applyBorder="1" applyAlignment="1">
      <alignment horizontal="center"/>
    </xf>
    <xf numFmtId="38" fontId="16" fillId="0" borderId="19" xfId="0" applyNumberFormat="1" applyFont="1" applyBorder="1" applyAlignment="1" applyProtection="1">
      <alignment horizontal="center"/>
      <protection locked="0"/>
    </xf>
    <xf numFmtId="175" fontId="16" fillId="0" borderId="16" xfId="0" applyFont="1" applyBorder="1" applyProtection="1">
      <protection locked="0"/>
    </xf>
    <xf numFmtId="3" fontId="16" fillId="0" borderId="23" xfId="0" applyNumberFormat="1" applyFont="1" applyBorder="1" applyAlignment="1">
      <alignment horizontal="center"/>
    </xf>
    <xf numFmtId="3" fontId="56" fillId="0" borderId="16" xfId="0" applyNumberFormat="1" applyFont="1" applyBorder="1" applyAlignment="1">
      <alignment horizontal="center"/>
    </xf>
    <xf numFmtId="175" fontId="16" fillId="47" borderId="0" xfId="66" applyFill="1"/>
    <xf numFmtId="175" fontId="17" fillId="47" borderId="0" xfId="0" applyFont="1" applyFill="1" applyAlignment="1" applyProtection="1">
      <alignment horizontal="center"/>
      <protection locked="0"/>
    </xf>
    <xf numFmtId="17" fontId="18" fillId="0" borderId="0" xfId="0" applyNumberFormat="1" applyFont="1" applyAlignment="1" applyProtection="1">
      <alignment horizontal="center"/>
      <protection locked="0"/>
    </xf>
    <xf numFmtId="3" fontId="17" fillId="0" borderId="21" xfId="0" applyNumberFormat="1" applyFont="1" applyBorder="1" applyAlignment="1">
      <alignment horizontal="center" wrapText="1"/>
    </xf>
    <xf numFmtId="174" fontId="16" fillId="0" borderId="19" xfId="0" applyNumberFormat="1" applyFont="1" applyBorder="1"/>
    <xf numFmtId="175" fontId="17" fillId="0" borderId="40" xfId="0" applyFont="1" applyBorder="1" applyAlignment="1">
      <alignment horizontal="center"/>
    </xf>
    <xf numFmtId="4" fontId="16" fillId="0" borderId="26" xfId="0" applyNumberFormat="1" applyFont="1" applyBorder="1" applyAlignment="1">
      <alignment horizontal="right"/>
    </xf>
    <xf numFmtId="4" fontId="16" fillId="0" borderId="23" xfId="0" applyNumberFormat="1" applyFont="1" applyBorder="1" applyAlignment="1">
      <alignment horizontal="right"/>
    </xf>
    <xf numFmtId="175" fontId="17" fillId="0" borderId="16" xfId="0" applyFont="1" applyBorder="1" applyProtection="1">
      <protection locked="0"/>
    </xf>
    <xf numFmtId="175" fontId="17" fillId="0" borderId="18" xfId="0" applyFont="1" applyBorder="1" applyProtection="1">
      <protection locked="0"/>
    </xf>
    <xf numFmtId="175" fontId="17" fillId="0" borderId="21" xfId="0" applyFont="1" applyBorder="1" applyAlignment="1">
      <alignment horizontal="center"/>
    </xf>
    <xf numFmtId="175" fontId="17" fillId="0" borderId="39" xfId="0" applyFont="1" applyBorder="1" applyAlignment="1">
      <alignment horizontal="center"/>
    </xf>
    <xf numFmtId="175" fontId="17" fillId="0" borderId="22" xfId="0" applyFont="1" applyBorder="1" applyProtection="1">
      <protection locked="0"/>
    </xf>
    <xf numFmtId="175"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175" fontId="16" fillId="47" borderId="0" xfId="66" applyFill="1" applyProtection="1">
      <protection locked="0"/>
    </xf>
    <xf numFmtId="17" fontId="17" fillId="47" borderId="0" xfId="0" applyNumberFormat="1" applyFont="1" applyFill="1" applyAlignment="1" applyProtection="1">
      <alignment horizontal="center"/>
      <protection locked="0"/>
    </xf>
    <xf numFmtId="175" fontId="18" fillId="47" borderId="0" xfId="0" applyFont="1" applyFill="1" applyProtection="1">
      <protection locked="0"/>
    </xf>
    <xf numFmtId="164" fontId="16" fillId="0" borderId="41" xfId="66" applyNumberFormat="1" applyBorder="1" applyProtection="1">
      <protection locked="0"/>
    </xf>
    <xf numFmtId="175" fontId="54" fillId="47" borderId="0" xfId="0" applyFont="1" applyFill="1" applyAlignment="1">
      <alignment horizontal="center"/>
    </xf>
    <xf numFmtId="175" fontId="17" fillId="0" borderId="41" xfId="66" applyFont="1" applyBorder="1" applyProtection="1">
      <protection locked="0"/>
    </xf>
    <xf numFmtId="175" fontId="17" fillId="47" borderId="0" xfId="0" applyFont="1" applyFill="1" applyProtection="1">
      <protection locked="0"/>
    </xf>
    <xf numFmtId="175" fontId="0" fillId="0" borderId="0" xfId="0" quotePrefix="1"/>
    <xf numFmtId="175" fontId="16" fillId="47" borderId="16" xfId="0" applyFont="1" applyFill="1" applyBorder="1"/>
    <xf numFmtId="3" fontId="56" fillId="47" borderId="16" xfId="0" applyNumberFormat="1" applyFont="1" applyFill="1" applyBorder="1" applyAlignment="1">
      <alignment horizontal="center"/>
    </xf>
    <xf numFmtId="175" fontId="18" fillId="0" borderId="0" xfId="0" quotePrefix="1" applyFont="1" applyProtection="1">
      <protection locked="0"/>
    </xf>
    <xf numFmtId="175" fontId="68" fillId="0" borderId="0" xfId="0" applyFont="1" applyAlignment="1" applyProtection="1">
      <alignment horizontal="center"/>
      <protection locked="0"/>
    </xf>
    <xf numFmtId="168" fontId="53" fillId="0" borderId="0" xfId="52" applyNumberFormat="1" applyFont="1"/>
    <xf numFmtId="175" fontId="69" fillId="43" borderId="0" xfId="66" applyFont="1" applyFill="1"/>
    <xf numFmtId="44" fontId="69" fillId="43" borderId="0" xfId="50" applyFont="1" applyFill="1"/>
    <xf numFmtId="175" fontId="69" fillId="47" borderId="0" xfId="66" applyFont="1" applyFill="1"/>
    <xf numFmtId="17" fontId="68" fillId="47" borderId="0" xfId="0" applyNumberFormat="1" applyFont="1" applyFill="1" applyAlignment="1" applyProtection="1">
      <alignment horizontal="center"/>
      <protection locked="0"/>
    </xf>
    <xf numFmtId="175" fontId="68" fillId="44" borderId="29" xfId="66" applyFont="1" applyFill="1" applyBorder="1"/>
    <xf numFmtId="175" fontId="69" fillId="43" borderId="31" xfId="66" applyFont="1" applyFill="1" applyBorder="1"/>
    <xf numFmtId="44" fontId="69" fillId="43" borderId="31" xfId="50" applyFont="1" applyFill="1" applyBorder="1"/>
    <xf numFmtId="175" fontId="68" fillId="44" borderId="36" xfId="66" applyFont="1" applyFill="1" applyBorder="1" applyAlignment="1">
      <alignment horizontal="center"/>
    </xf>
    <xf numFmtId="175" fontId="68" fillId="43" borderId="0" xfId="66" applyFont="1" applyFill="1" applyAlignment="1">
      <alignment horizontal="center"/>
    </xf>
    <xf numFmtId="175" fontId="68" fillId="0" borderId="36" xfId="66" applyFont="1" applyBorder="1" applyAlignment="1">
      <alignment horizontal="center"/>
    </xf>
    <xf numFmtId="164" fontId="69" fillId="0" borderId="0" xfId="66" applyNumberFormat="1" applyFont="1"/>
    <xf numFmtId="175" fontId="69" fillId="0" borderId="0" xfId="66" applyFont="1"/>
    <xf numFmtId="43" fontId="16" fillId="0" borderId="19" xfId="0" applyNumberFormat="1" applyFont="1" applyBorder="1" applyAlignment="1">
      <alignment horizontal="right"/>
    </xf>
    <xf numFmtId="175" fontId="16" fillId="47" borderId="13" xfId="0" applyFont="1" applyFill="1" applyBorder="1"/>
    <xf numFmtId="4" fontId="16" fillId="0" borderId="19" xfId="0" applyNumberFormat="1" applyFont="1" applyBorder="1" applyAlignment="1">
      <alignment horizontal="right"/>
    </xf>
    <xf numFmtId="4" fontId="16" fillId="0" borderId="20" xfId="0" applyNumberFormat="1" applyFont="1" applyBorder="1" applyAlignment="1">
      <alignment horizontal="right"/>
    </xf>
    <xf numFmtId="2" fontId="16" fillId="0" borderId="19" xfId="0" applyNumberFormat="1" applyFont="1" applyBorder="1" applyAlignment="1">
      <alignment horizontal="right"/>
    </xf>
    <xf numFmtId="2" fontId="16" fillId="0" borderId="23" xfId="0" applyNumberFormat="1" applyFont="1" applyBorder="1" applyAlignment="1">
      <alignment horizontal="right"/>
    </xf>
    <xf numFmtId="165" fontId="16" fillId="0" borderId="26" xfId="0" applyNumberFormat="1" applyFont="1" applyBorder="1" applyAlignment="1">
      <alignment horizontal="right"/>
    </xf>
    <xf numFmtId="165" fontId="16" fillId="0" borderId="20" xfId="0" applyNumberFormat="1" applyFont="1" applyBorder="1" applyAlignment="1">
      <alignment horizontal="right"/>
    </xf>
    <xf numFmtId="175" fontId="71" fillId="0" borderId="0" xfId="0" applyFont="1" applyAlignment="1">
      <alignment vertical="center"/>
    </xf>
    <xf numFmtId="164" fontId="17" fillId="0" borderId="31" xfId="66" applyNumberFormat="1" applyFont="1" applyBorder="1" applyAlignment="1">
      <alignment horizontal="center"/>
    </xf>
    <xf numFmtId="175" fontId="16" fillId="0" borderId="0" xfId="66" applyAlignment="1">
      <alignment horizontal="center"/>
    </xf>
    <xf numFmtId="2" fontId="16" fillId="0" borderId="19" xfId="0" applyNumberFormat="1" applyFont="1" applyBorder="1"/>
    <xf numFmtId="2" fontId="16" fillId="0" borderId="20" xfId="0" applyNumberFormat="1" applyFont="1" applyBorder="1" applyAlignment="1">
      <alignment horizontal="right"/>
    </xf>
    <xf numFmtId="2" fontId="16" fillId="0" borderId="26" xfId="0" applyNumberFormat="1" applyFont="1" applyBorder="1" applyAlignment="1">
      <alignment horizontal="right"/>
    </xf>
    <xf numFmtId="2" fontId="16" fillId="0" borderId="23" xfId="0" applyNumberFormat="1" applyFont="1" applyBorder="1"/>
    <xf numFmtId="175" fontId="17" fillId="47" borderId="0" xfId="66" applyFont="1" applyFill="1" applyAlignment="1" applyProtection="1">
      <alignment horizontal="center"/>
      <protection locked="0"/>
    </xf>
    <xf numFmtId="171" fontId="17" fillId="47" borderId="0" xfId="0" applyNumberFormat="1" applyFont="1" applyFill="1" applyAlignment="1" applyProtection="1">
      <alignment horizontal="center"/>
      <protection locked="0"/>
    </xf>
    <xf numFmtId="175" fontId="71" fillId="0" borderId="0" xfId="0" applyFont="1" applyProtection="1">
      <protection locked="0"/>
    </xf>
    <xf numFmtId="175" fontId="71" fillId="0" borderId="0" xfId="0" applyFont="1"/>
    <xf numFmtId="175" fontId="71" fillId="0" borderId="0" xfId="0" applyFont="1" applyAlignment="1">
      <alignment vertical="top"/>
    </xf>
    <xf numFmtId="175" fontId="73" fillId="0" borderId="0" xfId="0" applyFont="1" applyAlignment="1" applyProtection="1">
      <alignment horizontal="left"/>
      <protection locked="0"/>
    </xf>
    <xf numFmtId="175" fontId="73" fillId="0" borderId="0" xfId="0" applyFont="1" applyAlignment="1">
      <alignment horizontal="left" vertical="top"/>
    </xf>
    <xf numFmtId="4" fontId="16" fillId="0" borderId="0" xfId="66" applyNumberFormat="1" applyProtection="1">
      <protection locked="0"/>
    </xf>
    <xf numFmtId="175" fontId="68" fillId="0" borderId="0" xfId="66" applyFont="1" applyAlignment="1">
      <alignment wrapText="1"/>
    </xf>
    <xf numFmtId="164" fontId="68" fillId="43" borderId="0" xfId="66" applyNumberFormat="1" applyFont="1" applyFill="1"/>
    <xf numFmtId="164" fontId="68" fillId="0" borderId="0" xfId="66" applyNumberFormat="1" applyFont="1" applyAlignment="1">
      <alignment horizontal="right"/>
    </xf>
    <xf numFmtId="165" fontId="16" fillId="0" borderId="19" xfId="0" applyNumberFormat="1" applyFont="1" applyBorder="1" applyAlignment="1">
      <alignment horizontal="right"/>
    </xf>
    <xf numFmtId="165" fontId="16" fillId="0" borderId="24" xfId="0" applyNumberFormat="1" applyFont="1" applyBorder="1" applyAlignment="1">
      <alignment horizontal="right"/>
    </xf>
    <xf numFmtId="6" fontId="16" fillId="0" borderId="0" xfId="66" applyNumberFormat="1" applyAlignment="1" applyProtection="1">
      <alignment horizontal="center"/>
      <protection locked="0"/>
    </xf>
    <xf numFmtId="40" fontId="16" fillId="0" borderId="19" xfId="0" applyNumberFormat="1" applyFont="1" applyBorder="1" applyAlignment="1">
      <alignment horizontal="right"/>
    </xf>
    <xf numFmtId="40" fontId="16" fillId="0" borderId="20" xfId="0" applyNumberFormat="1" applyFont="1" applyBorder="1" applyAlignment="1">
      <alignment horizontal="right"/>
    </xf>
    <xf numFmtId="175" fontId="17" fillId="0" borderId="14" xfId="66" applyFont="1" applyBorder="1" applyAlignment="1" applyProtection="1">
      <alignment horizontal="right"/>
      <protection locked="0"/>
    </xf>
    <xf numFmtId="175" fontId="17" fillId="0" borderId="14" xfId="66" quotePrefix="1" applyFont="1" applyBorder="1" applyAlignment="1" applyProtection="1">
      <alignment horizontal="right"/>
      <protection locked="0"/>
    </xf>
    <xf numFmtId="6" fontId="53" fillId="0" borderId="0" xfId="520" applyNumberFormat="1" applyFont="1"/>
    <xf numFmtId="0" fontId="53" fillId="0" borderId="0" xfId="520" applyFont="1"/>
    <xf numFmtId="0" fontId="16" fillId="0" borderId="0" xfId="522"/>
    <xf numFmtId="168" fontId="53" fillId="0" borderId="0" xfId="520" applyNumberFormat="1" applyFont="1"/>
    <xf numFmtId="4" fontId="16" fillId="0" borderId="24" xfId="0" applyNumberFormat="1" applyFont="1" applyBorder="1" applyAlignment="1">
      <alignment horizontal="right"/>
    </xf>
    <xf numFmtId="175" fontId="37" fillId="0" borderId="0" xfId="67" applyFont="1"/>
    <xf numFmtId="3" fontId="56" fillId="47" borderId="17" xfId="0" applyNumberFormat="1" applyFont="1" applyFill="1" applyBorder="1" applyAlignment="1">
      <alignment horizontal="center"/>
    </xf>
    <xf numFmtId="175" fontId="16" fillId="47" borderId="16" xfId="0" applyFont="1" applyFill="1" applyBorder="1" applyProtection="1">
      <protection locked="0"/>
    </xf>
    <xf numFmtId="175" fontId="16" fillId="47" borderId="13" xfId="0" applyFont="1" applyFill="1" applyBorder="1" applyProtection="1">
      <protection locked="0"/>
    </xf>
    <xf numFmtId="175" fontId="17" fillId="0" borderId="28" xfId="0" applyFont="1" applyBorder="1" applyAlignment="1">
      <alignment horizontal="center"/>
    </xf>
    <xf numFmtId="44" fontId="69" fillId="0" borderId="0" xfId="50" applyFont="1"/>
    <xf numFmtId="0" fontId="75" fillId="0" borderId="0" xfId="520" applyFont="1"/>
    <xf numFmtId="0" fontId="76"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8" fillId="0" borderId="0" xfId="520" applyFont="1"/>
    <xf numFmtId="6" fontId="76" fillId="0" borderId="0" xfId="520" applyNumberFormat="1" applyFont="1"/>
    <xf numFmtId="165" fontId="18" fillId="47" borderId="0" xfId="0" applyNumberFormat="1" applyFont="1" applyFill="1" applyProtection="1">
      <protection locked="0"/>
    </xf>
    <xf numFmtId="6" fontId="75" fillId="0" borderId="34" xfId="520" applyNumberFormat="1" applyFont="1" applyBorder="1"/>
    <xf numFmtId="6" fontId="75" fillId="0" borderId="15" xfId="520" applyNumberFormat="1" applyFont="1" applyBorder="1"/>
    <xf numFmtId="0" fontId="75" fillId="0" borderId="16" xfId="520" applyFont="1" applyBorder="1"/>
    <xf numFmtId="175" fontId="16" fillId="0" borderId="44" xfId="66" applyBorder="1" applyProtection="1">
      <protection locked="0"/>
    </xf>
    <xf numFmtId="175" fontId="16" fillId="0" borderId="45" xfId="66" applyBorder="1" applyProtection="1">
      <protection locked="0"/>
    </xf>
    <xf numFmtId="175" fontId="17" fillId="0" borderId="46" xfId="66" applyFont="1" applyBorder="1" applyProtection="1">
      <protection locked="0"/>
    </xf>
    <xf numFmtId="175" fontId="17" fillId="0" borderId="28" xfId="66" applyFont="1" applyBorder="1" applyProtection="1">
      <protection locked="0"/>
    </xf>
    <xf numFmtId="175" fontId="19" fillId="0" borderId="16" xfId="66" applyFont="1" applyBorder="1" applyAlignment="1">
      <alignment wrapText="1"/>
    </xf>
    <xf numFmtId="175" fontId="16" fillId="0" borderId="16" xfId="66" applyBorder="1" applyAlignment="1">
      <alignment horizontal="left" indent="1"/>
    </xf>
    <xf numFmtId="175" fontId="16" fillId="47" borderId="16" xfId="66" applyFill="1" applyBorder="1" applyAlignment="1">
      <alignment horizontal="left" indent="1"/>
    </xf>
    <xf numFmtId="175" fontId="17" fillId="0" borderId="16" xfId="66" applyFont="1" applyBorder="1"/>
    <xf numFmtId="175" fontId="16" fillId="0" borderId="16" xfId="66" quotePrefix="1" applyBorder="1" applyAlignment="1">
      <alignment horizontal="left" indent="1"/>
    </xf>
    <xf numFmtId="175" fontId="68" fillId="47" borderId="33" xfId="66" applyFont="1" applyFill="1" applyBorder="1" applyAlignment="1">
      <alignment horizontal="center"/>
    </xf>
    <xf numFmtId="175" fontId="69" fillId="0" borderId="33" xfId="66" applyFont="1" applyBorder="1"/>
    <xf numFmtId="175" fontId="69" fillId="47" borderId="33" xfId="66" applyFont="1" applyFill="1" applyBorder="1"/>
    <xf numFmtId="175" fontId="16" fillId="47" borderId="13" xfId="66" applyFill="1" applyBorder="1" applyProtection="1">
      <protection locked="0"/>
    </xf>
    <xf numFmtId="6" fontId="75" fillId="0" borderId="13" xfId="520" applyNumberFormat="1" applyFont="1" applyBorder="1"/>
    <xf numFmtId="175" fontId="64" fillId="0" borderId="0" xfId="66" applyFont="1" applyProtection="1">
      <protection locked="0"/>
    </xf>
    <xf numFmtId="175" fontId="16" fillId="0" borderId="16" xfId="66" applyBorder="1"/>
    <xf numFmtId="175" fontId="16" fillId="47" borderId="16" xfId="0" applyFont="1" applyFill="1" applyBorder="1" applyAlignment="1">
      <alignment horizontal="left"/>
    </xf>
    <xf numFmtId="175" fontId="17" fillId="0" borderId="43" xfId="66" applyFont="1" applyBorder="1" applyAlignment="1">
      <alignment horizontal="center"/>
    </xf>
    <xf numFmtId="175" fontId="17" fillId="0" borderId="43" xfId="66" applyFont="1" applyBorder="1" applyAlignment="1">
      <alignment horizontal="left"/>
    </xf>
    <xf numFmtId="175" fontId="16" fillId="0" borderId="43" xfId="66" applyBorder="1"/>
    <xf numFmtId="175" fontId="17" fillId="0" borderId="43" xfId="66" applyFont="1" applyBorder="1"/>
    <xf numFmtId="175" fontId="17" fillId="0" borderId="43" xfId="66" applyFont="1" applyBorder="1" applyAlignment="1">
      <alignment horizontal="left" indent="1"/>
    </xf>
    <xf numFmtId="175" fontId="17" fillId="0" borderId="43" xfId="66" applyFont="1" applyBorder="1" applyAlignment="1">
      <alignment horizontal="center" wrapText="1"/>
    </xf>
    <xf numFmtId="175" fontId="17" fillId="0" borderId="48" xfId="66" applyFont="1" applyBorder="1" applyAlignment="1">
      <alignment wrapText="1"/>
    </xf>
    <xf numFmtId="43" fontId="16" fillId="50" borderId="0" xfId="46" quotePrefix="1" applyFill="1" applyAlignment="1">
      <alignment horizontal="left"/>
    </xf>
    <xf numFmtId="43" fontId="16" fillId="50" borderId="34" xfId="46" quotePrefix="1" applyFill="1" applyBorder="1" applyAlignment="1">
      <alignment horizontal="left"/>
    </xf>
    <xf numFmtId="43" fontId="16" fillId="50" borderId="14" xfId="46" quotePrefix="1" applyFill="1" applyBorder="1" applyAlignment="1">
      <alignment horizontal="left"/>
    </xf>
    <xf numFmtId="43" fontId="16" fillId="50" borderId="15" xfId="46" quotePrefix="1" applyFill="1" applyBorder="1" applyAlignment="1">
      <alignment horizontal="left"/>
    </xf>
    <xf numFmtId="43" fontId="16" fillId="50" borderId="0" xfId="46" quotePrefix="1" applyFill="1" applyAlignment="1">
      <alignment horizontal="center"/>
    </xf>
    <xf numFmtId="175" fontId="17" fillId="47" borderId="21" xfId="0" applyFont="1" applyFill="1" applyBorder="1" applyAlignment="1">
      <alignment horizontal="center"/>
    </xf>
    <xf numFmtId="175" fontId="82" fillId="0" borderId="0" xfId="0" applyFont="1" applyAlignment="1" applyProtection="1">
      <alignment vertical="center"/>
      <protection locked="0"/>
    </xf>
    <xf numFmtId="175" fontId="83" fillId="0" borderId="0" xfId="0" applyFont="1" applyAlignment="1" applyProtection="1">
      <alignment vertical="center"/>
      <protection locked="0"/>
    </xf>
    <xf numFmtId="175" fontId="37" fillId="47" borderId="0" xfId="0" applyFont="1" applyFill="1" applyProtection="1">
      <protection locked="0"/>
    </xf>
    <xf numFmtId="43" fontId="16" fillId="0" borderId="0" xfId="46" applyProtection="1">
      <protection locked="0"/>
    </xf>
    <xf numFmtId="2" fontId="18" fillId="0" borderId="0" xfId="0" applyNumberFormat="1" applyFont="1" applyProtection="1">
      <protection locked="0"/>
    </xf>
    <xf numFmtId="175" fontId="37" fillId="0" borderId="0" xfId="67" applyFont="1" applyAlignment="1">
      <alignment horizontal="center" vertical="center"/>
    </xf>
    <xf numFmtId="175" fontId="18" fillId="0" borderId="0" xfId="67" applyAlignment="1" applyProtection="1">
      <alignment vertical="center"/>
      <protection locked="0"/>
    </xf>
    <xf numFmtId="175" fontId="18" fillId="0" borderId="0" xfId="0" applyFont="1" applyAlignment="1">
      <alignment horizontal="center"/>
    </xf>
    <xf numFmtId="172" fontId="16" fillId="0" borderId="0" xfId="0" applyNumberFormat="1" applyFont="1"/>
    <xf numFmtId="175" fontId="42" fillId="0" borderId="0" xfId="0" applyFont="1"/>
    <xf numFmtId="3" fontId="42" fillId="0" borderId="0" xfId="0" applyNumberFormat="1" applyFont="1"/>
    <xf numFmtId="175" fontId="18" fillId="47" borderId="0" xfId="0" applyFont="1" applyFill="1" applyAlignment="1">
      <alignment horizontal="center"/>
    </xf>
    <xf numFmtId="0" fontId="16" fillId="0" borderId="0" xfId="66" applyNumberFormat="1"/>
    <xf numFmtId="175" fontId="16" fillId="47" borderId="0" xfId="66" applyFill="1" applyAlignment="1" applyProtection="1">
      <alignment horizontal="center"/>
      <protection locked="0"/>
    </xf>
    <xf numFmtId="171" fontId="16" fillId="47" borderId="0" xfId="66" applyNumberFormat="1" applyFill="1" applyAlignment="1" applyProtection="1">
      <alignment horizontal="center"/>
      <protection locked="0"/>
    </xf>
    <xf numFmtId="175" fontId="17" fillId="44" borderId="42" xfId="66" applyFont="1" applyFill="1" applyBorder="1" applyAlignment="1">
      <alignment horizontal="center"/>
    </xf>
    <xf numFmtId="175" fontId="17" fillId="0" borderId="42" xfId="0" applyFont="1" applyBorder="1" applyAlignment="1">
      <alignment wrapText="1"/>
    </xf>
    <xf numFmtId="175" fontId="17" fillId="0" borderId="47" xfId="66" applyFont="1" applyBorder="1" applyAlignment="1">
      <alignment horizontal="left"/>
    </xf>
    <xf numFmtId="0" fontId="76" fillId="0" borderId="17" xfId="520" applyFont="1" applyBorder="1"/>
    <xf numFmtId="175" fontId="80" fillId="0" borderId="0" xfId="0" quotePrefix="1" applyFont="1" applyAlignment="1">
      <alignment vertical="center"/>
    </xf>
    <xf numFmtId="175" fontId="80" fillId="0" borderId="0" xfId="0" quotePrefix="1" applyFont="1" applyProtection="1">
      <protection locked="0"/>
    </xf>
    <xf numFmtId="175" fontId="84" fillId="47" borderId="0" xfId="0" quotePrefix="1" applyFont="1" applyFill="1" applyProtection="1">
      <protection locked="0"/>
    </xf>
    <xf numFmtId="0" fontId="17" fillId="0" borderId="14" xfId="520" applyFont="1" applyBorder="1" applyAlignment="1">
      <alignment horizontal="center"/>
    </xf>
    <xf numFmtId="0" fontId="17" fillId="0" borderId="17" xfId="520" applyFont="1" applyBorder="1" applyAlignment="1">
      <alignment wrapText="1"/>
    </xf>
    <xf numFmtId="0" fontId="16" fillId="0" borderId="16" xfId="520" applyBorder="1" applyAlignment="1">
      <alignment horizontal="left" indent="2"/>
    </xf>
    <xf numFmtId="0" fontId="16" fillId="0" borderId="16" xfId="520" applyBorder="1" applyAlignment="1">
      <alignment horizontal="left" wrapText="1" indent="2"/>
    </xf>
    <xf numFmtId="0" fontId="87" fillId="0" borderId="16" xfId="520" applyFont="1" applyBorder="1"/>
    <xf numFmtId="0" fontId="57" fillId="0" borderId="17" xfId="520" applyFont="1" applyBorder="1"/>
    <xf numFmtId="175" fontId="17" fillId="47" borderId="0" xfId="0" applyFont="1" applyFill="1" applyAlignment="1" applyProtection="1">
      <alignment wrapText="1"/>
      <protection locked="0"/>
    </xf>
    <xf numFmtId="2" fontId="42" fillId="0" borderId="0" xfId="0" applyNumberFormat="1" applyFont="1" applyProtection="1">
      <protection locked="0"/>
    </xf>
    <xf numFmtId="2" fontId="16" fillId="0" borderId="0" xfId="0" applyNumberFormat="1" applyFont="1" applyProtection="1">
      <protection locked="0"/>
    </xf>
    <xf numFmtId="1" fontId="16" fillId="0" borderId="0" xfId="0" applyNumberFormat="1" applyFont="1" applyProtection="1">
      <protection locked="0"/>
    </xf>
    <xf numFmtId="1" fontId="16" fillId="0" borderId="54" xfId="0" applyNumberFormat="1" applyFont="1" applyBorder="1" applyProtection="1">
      <protection locked="0"/>
    </xf>
    <xf numFmtId="175" fontId="16" fillId="0" borderId="0" xfId="0" applyFont="1" applyAlignment="1" applyProtection="1">
      <alignment vertical="top"/>
      <protection locked="0"/>
    </xf>
    <xf numFmtId="175" fontId="88" fillId="0" borderId="0" xfId="0" applyFont="1" applyAlignment="1">
      <alignment horizontal="center" vertical="top"/>
    </xf>
    <xf numFmtId="175" fontId="88" fillId="0" borderId="53" xfId="0" applyFont="1" applyBorder="1" applyAlignment="1">
      <alignment horizontal="center" vertical="top"/>
    </xf>
    <xf numFmtId="1" fontId="59" fillId="0" borderId="54" xfId="0" applyNumberFormat="1" applyFont="1" applyBorder="1"/>
    <xf numFmtId="175" fontId="59" fillId="0" borderId="55" xfId="0" applyFont="1" applyBorder="1"/>
    <xf numFmtId="175" fontId="59" fillId="0" borderId="55" xfId="0" applyFont="1" applyBorder="1" applyProtection="1">
      <protection locked="0"/>
    </xf>
    <xf numFmtId="176" fontId="16" fillId="0" borderId="0" xfId="0" applyNumberFormat="1" applyFont="1" applyProtection="1">
      <protection locked="0"/>
    </xf>
    <xf numFmtId="0" fontId="16" fillId="0" borderId="0" xfId="0" applyNumberFormat="1" applyFont="1" applyAlignment="1" applyProtection="1">
      <alignment vertical="top"/>
      <protection locked="0"/>
    </xf>
    <xf numFmtId="0" fontId="4" fillId="0" borderId="0" xfId="888"/>
    <xf numFmtId="0" fontId="17" fillId="0" borderId="14" xfId="520" quotePrefix="1" applyFont="1" applyBorder="1" applyAlignment="1">
      <alignment horizontal="center"/>
    </xf>
    <xf numFmtId="175" fontId="69" fillId="47" borderId="33" xfId="0" applyFont="1" applyFill="1" applyBorder="1"/>
    <xf numFmtId="175" fontId="69" fillId="0" borderId="0" xfId="0" applyFont="1" applyAlignment="1">
      <alignment horizontal="left"/>
    </xf>
    <xf numFmtId="175" fontId="68" fillId="0" borderId="57" xfId="66" applyFont="1" applyBorder="1" applyAlignment="1">
      <alignment horizontal="left" wrapText="1" indent="1"/>
    </xf>
    <xf numFmtId="3" fontId="16" fillId="47" borderId="34" xfId="0" applyNumberFormat="1" applyFont="1" applyFill="1" applyBorder="1" applyAlignment="1" applyProtection="1">
      <alignment wrapText="1"/>
      <protection locked="0"/>
    </xf>
    <xf numFmtId="165" fontId="16" fillId="47" borderId="0" xfId="0" applyNumberFormat="1" applyFont="1" applyFill="1" applyProtection="1">
      <protection locked="0"/>
    </xf>
    <xf numFmtId="164" fontId="17" fillId="0" borderId="0" xfId="66" applyNumberFormat="1" applyFont="1"/>
    <xf numFmtId="3" fontId="16" fillId="0" borderId="0" xfId="0" applyNumberFormat="1" applyFont="1" applyAlignment="1">
      <alignment horizontal="left" vertical="center" wrapText="1"/>
    </xf>
    <xf numFmtId="175" fontId="37" fillId="0" borderId="13" xfId="0" applyFont="1" applyBorder="1" applyAlignment="1">
      <alignment horizontal="center" wrapText="1"/>
    </xf>
    <xf numFmtId="175" fontId="16" fillId="0" borderId="28" xfId="0" applyFont="1" applyBorder="1" applyAlignment="1">
      <alignment vertical="center"/>
    </xf>
    <xf numFmtId="2" fontId="16" fillId="0" borderId="15" xfId="0" applyNumberFormat="1" applyFont="1" applyBorder="1" applyAlignment="1">
      <alignment vertical="center"/>
    </xf>
    <xf numFmtId="3" fontId="16" fillId="52" borderId="15" xfId="0" applyNumberFormat="1" applyFont="1" applyFill="1" applyBorder="1" applyAlignment="1">
      <alignment horizontal="center" vertical="center"/>
    </xf>
    <xf numFmtId="3" fontId="16" fillId="0" borderId="15" xfId="0" applyNumberFormat="1" applyFont="1" applyBorder="1" applyAlignment="1">
      <alignment horizontal="center" vertical="center"/>
    </xf>
    <xf numFmtId="2" fontId="16" fillId="52" borderId="15" xfId="0" applyNumberFormat="1" applyFont="1" applyFill="1" applyBorder="1" applyAlignment="1">
      <alignment vertical="center"/>
    </xf>
    <xf numFmtId="2" fontId="16" fillId="0" borderId="34" xfId="0" applyNumberFormat="1" applyFont="1" applyBorder="1" applyAlignment="1">
      <alignment vertical="center"/>
    </xf>
    <xf numFmtId="175" fontId="72" fillId="0" borderId="0" xfId="67" applyFont="1" applyProtection="1">
      <protection locked="0"/>
    </xf>
    <xf numFmtId="175" fontId="72" fillId="0" borderId="0" xfId="67" quotePrefix="1" applyFont="1" applyProtection="1">
      <protection locked="0"/>
    </xf>
    <xf numFmtId="175" fontId="73" fillId="0" borderId="0" xfId="0" applyFont="1" applyAlignment="1">
      <alignment vertical="center"/>
    </xf>
    <xf numFmtId="175" fontId="71" fillId="47" borderId="0" xfId="782" applyFont="1" applyFill="1" applyAlignment="1">
      <alignment vertical="center"/>
    </xf>
    <xf numFmtId="175" fontId="64" fillId="0" borderId="0" xfId="0" applyFont="1" applyAlignment="1">
      <alignment vertical="center"/>
    </xf>
    <xf numFmtId="175" fontId="16" fillId="0" borderId="0" xfId="0" applyFont="1" applyAlignment="1">
      <alignment vertical="center"/>
    </xf>
    <xf numFmtId="2" fontId="16" fillId="0" borderId="0" xfId="0" applyNumberFormat="1" applyFont="1" applyAlignment="1">
      <alignment vertical="center"/>
    </xf>
    <xf numFmtId="3" fontId="16" fillId="0" borderId="0" xfId="0" applyNumberFormat="1" applyFont="1" applyAlignment="1">
      <alignment horizontal="center" vertical="center"/>
    </xf>
    <xf numFmtId="3" fontId="16" fillId="52" borderId="0" xfId="0" applyNumberFormat="1" applyFont="1" applyFill="1" applyAlignment="1">
      <alignment horizontal="center" vertical="center"/>
    </xf>
    <xf numFmtId="175" fontId="17" fillId="0" borderId="58" xfId="66" applyFont="1" applyBorder="1" applyAlignment="1">
      <alignment horizontal="center" wrapText="1"/>
    </xf>
    <xf numFmtId="175" fontId="69" fillId="43" borderId="42" xfId="66" applyFont="1" applyFill="1" applyBorder="1"/>
    <xf numFmtId="42" fontId="16" fillId="0" borderId="0" xfId="520" applyNumberFormat="1"/>
    <xf numFmtId="42" fontId="16" fillId="0" borderId="34" xfId="520" applyNumberFormat="1" applyBorder="1"/>
    <xf numFmtId="42" fontId="75" fillId="0" borderId="16" xfId="520" applyNumberFormat="1" applyFont="1" applyBorder="1"/>
    <xf numFmtId="42" fontId="75" fillId="0" borderId="0" xfId="520" applyNumberFormat="1" applyFont="1"/>
    <xf numFmtId="42" fontId="75" fillId="0" borderId="34" xfId="520" applyNumberFormat="1" applyFont="1" applyBorder="1"/>
    <xf numFmtId="42" fontId="75" fillId="0" borderId="14" xfId="520" applyNumberFormat="1" applyFont="1" applyBorder="1"/>
    <xf numFmtId="42" fontId="75" fillId="0" borderId="15" xfId="520" applyNumberFormat="1" applyFont="1" applyBorder="1"/>
    <xf numFmtId="42" fontId="16" fillId="0" borderId="15" xfId="520" applyNumberFormat="1" applyBorder="1"/>
    <xf numFmtId="42" fontId="16" fillId="49" borderId="17" xfId="520" applyNumberFormat="1" applyFill="1" applyBorder="1"/>
    <xf numFmtId="42" fontId="16" fillId="49" borderId="14" xfId="520" applyNumberFormat="1" applyFill="1" applyBorder="1"/>
    <xf numFmtId="42" fontId="75" fillId="45" borderId="0" xfId="520" applyNumberFormat="1" applyFont="1" applyFill="1"/>
    <xf numFmtId="42" fontId="16" fillId="0" borderId="13" xfId="520" applyNumberFormat="1" applyBorder="1"/>
    <xf numFmtId="42" fontId="16" fillId="0" borderId="0" xfId="66" applyNumberFormat="1" applyProtection="1">
      <protection locked="0"/>
    </xf>
    <xf numFmtId="42" fontId="16" fillId="0" borderId="16" xfId="66" applyNumberFormat="1" applyBorder="1" applyAlignment="1" applyProtection="1">
      <alignment horizontal="center"/>
      <protection locked="0"/>
    </xf>
    <xf numFmtId="42" fontId="16" fillId="0" borderId="0" xfId="66" applyNumberFormat="1" applyAlignment="1" applyProtection="1">
      <alignment horizontal="right"/>
      <protection locked="0"/>
    </xf>
    <xf numFmtId="175" fontId="17" fillId="47" borderId="0" xfId="66" applyFont="1" applyFill="1" applyAlignment="1" applyProtection="1">
      <alignment horizontal="left"/>
      <protection locked="0"/>
    </xf>
    <xf numFmtId="0" fontId="6" fillId="0" borderId="0" xfId="597"/>
    <xf numFmtId="43" fontId="0" fillId="50" borderId="0" xfId="46" applyFont="1" applyFill="1" applyAlignment="1">
      <alignment horizontal="left"/>
    </xf>
    <xf numFmtId="175" fontId="127" fillId="0" borderId="0" xfId="66" applyFont="1" applyAlignment="1">
      <alignment wrapText="1"/>
    </xf>
    <xf numFmtId="175" fontId="72" fillId="47" borderId="0" xfId="0" quotePrefix="1" applyFont="1" applyFill="1" applyProtection="1">
      <protection locked="0"/>
    </xf>
    <xf numFmtId="175" fontId="128" fillId="52" borderId="0" xfId="0" applyFont="1" applyFill="1"/>
    <xf numFmtId="175" fontId="16" fillId="0" borderId="13" xfId="0" applyFont="1" applyBorder="1" applyAlignment="1">
      <alignment vertical="center"/>
    </xf>
    <xf numFmtId="3" fontId="16" fillId="52" borderId="34" xfId="0" applyNumberFormat="1" applyFont="1" applyFill="1" applyBorder="1" applyAlignment="1">
      <alignment horizontal="center" vertical="center"/>
    </xf>
    <xf numFmtId="3" fontId="16" fillId="0" borderId="34" xfId="0" applyNumberFormat="1" applyFont="1" applyBorder="1" applyAlignment="1">
      <alignment horizontal="center" vertical="center"/>
    </xf>
    <xf numFmtId="175" fontId="59" fillId="0" borderId="28" xfId="0" applyFont="1" applyBorder="1" applyAlignment="1">
      <alignment vertical="center"/>
    </xf>
    <xf numFmtId="2" fontId="59" fillId="0" borderId="15" xfId="0" applyNumberFormat="1" applyFont="1" applyBorder="1" applyAlignment="1">
      <alignment vertical="center"/>
    </xf>
    <xf numFmtId="0" fontId="130" fillId="0" borderId="0" xfId="520" applyFont="1"/>
    <xf numFmtId="6" fontId="130" fillId="0" borderId="0" xfId="520" applyNumberFormat="1" applyFont="1"/>
    <xf numFmtId="168" fontId="130" fillId="0" borderId="0" xfId="52" applyNumberFormat="1" applyFont="1"/>
    <xf numFmtId="0" fontId="64" fillId="0" borderId="0" xfId="66" applyNumberFormat="1" applyFont="1" applyAlignment="1">
      <alignment horizontal="left"/>
    </xf>
    <xf numFmtId="164" fontId="71" fillId="0" borderId="0" xfId="66" applyNumberFormat="1" applyFont="1"/>
    <xf numFmtId="175" fontId="64" fillId="47" borderId="0" xfId="66" applyFont="1" applyFill="1"/>
    <xf numFmtId="175" fontId="17" fillId="47" borderId="48" xfId="66" applyFont="1" applyFill="1" applyBorder="1" applyAlignment="1">
      <alignment wrapText="1"/>
    </xf>
    <xf numFmtId="164" fontId="16" fillId="47" borderId="0" xfId="66" applyNumberFormat="1" applyFill="1"/>
    <xf numFmtId="6" fontId="16" fillId="0" borderId="80" xfId="66" applyNumberFormat="1" applyBorder="1" applyProtection="1">
      <protection locked="0"/>
    </xf>
    <xf numFmtId="6" fontId="16" fillId="0" borderId="13" xfId="66" applyNumberFormat="1" applyBorder="1" applyAlignment="1">
      <alignment horizontal="right"/>
    </xf>
    <xf numFmtId="167" fontId="16" fillId="0" borderId="13" xfId="66" applyNumberFormat="1" applyBorder="1" applyAlignment="1">
      <alignment horizontal="right"/>
    </xf>
    <xf numFmtId="167" fontId="16" fillId="0" borderId="13" xfId="66" applyNumberFormat="1" applyBorder="1"/>
    <xf numFmtId="167" fontId="16" fillId="47" borderId="13" xfId="66" applyNumberFormat="1" applyFill="1" applyBorder="1" applyAlignment="1">
      <alignment horizontal="right"/>
    </xf>
    <xf numFmtId="42" fontId="76" fillId="0" borderId="0" xfId="520" applyNumberFormat="1" applyFont="1"/>
    <xf numFmtId="175" fontId="17" fillId="0" borderId="47" xfId="66" applyFont="1" applyBorder="1"/>
    <xf numFmtId="43" fontId="16" fillId="50" borderId="0" xfId="46" applyFill="1" applyAlignment="1">
      <alignment horizontal="left"/>
    </xf>
    <xf numFmtId="175" fontId="127" fillId="47" borderId="0" xfId="0" quotePrefix="1" applyFont="1" applyFill="1" applyAlignment="1">
      <alignment vertical="top" wrapText="1"/>
    </xf>
    <xf numFmtId="42" fontId="16" fillId="47" borderId="16" xfId="66" applyNumberFormat="1" applyFill="1" applyBorder="1" applyAlignment="1">
      <alignment horizontal="right"/>
    </xf>
    <xf numFmtId="41" fontId="16" fillId="0" borderId="0" xfId="66" applyNumberFormat="1" applyProtection="1">
      <protection locked="0"/>
    </xf>
    <xf numFmtId="177" fontId="16" fillId="0" borderId="0" xfId="66" applyNumberFormat="1" applyProtection="1">
      <protection locked="0"/>
    </xf>
    <xf numFmtId="178" fontId="69" fillId="0" borderId="16" xfId="66" applyNumberFormat="1" applyFont="1" applyBorder="1"/>
    <xf numFmtId="178" fontId="69" fillId="0" borderId="0" xfId="66" applyNumberFormat="1" applyFont="1"/>
    <xf numFmtId="178" fontId="68" fillId="43" borderId="14" xfId="66" applyNumberFormat="1" applyFont="1" applyFill="1" applyBorder="1"/>
    <xf numFmtId="178" fontId="68" fillId="43" borderId="35" xfId="66" applyNumberFormat="1" applyFont="1" applyFill="1" applyBorder="1"/>
    <xf numFmtId="178" fontId="69" fillId="0" borderId="43" xfId="66" applyNumberFormat="1" applyFont="1" applyBorder="1"/>
    <xf numFmtId="178" fontId="16" fillId="0" borderId="0" xfId="66" applyNumberFormat="1"/>
    <xf numFmtId="178" fontId="16" fillId="0" borderId="43" xfId="66" applyNumberFormat="1" applyBorder="1"/>
    <xf numFmtId="178" fontId="16" fillId="0" borderId="0" xfId="66" applyNumberFormat="1" applyProtection="1">
      <protection locked="0"/>
    </xf>
    <xf numFmtId="178" fontId="17" fillId="0" borderId="38" xfId="66" applyNumberFormat="1" applyFont="1" applyBorder="1"/>
    <xf numFmtId="178" fontId="17" fillId="0" borderId="48" xfId="66" applyNumberFormat="1" applyFont="1" applyBorder="1"/>
    <xf numFmtId="178" fontId="17" fillId="47" borderId="48" xfId="66" applyNumberFormat="1" applyFont="1" applyFill="1" applyBorder="1"/>
    <xf numFmtId="178" fontId="68" fillId="43" borderId="17" xfId="66" applyNumberFormat="1" applyFont="1" applyFill="1" applyBorder="1"/>
    <xf numFmtId="178" fontId="68" fillId="43" borderId="41" xfId="66" applyNumberFormat="1" applyFont="1" applyFill="1" applyBorder="1"/>
    <xf numFmtId="42" fontId="16" fillId="0" borderId="16" xfId="66" applyNumberFormat="1" applyBorder="1"/>
    <xf numFmtId="42" fontId="16" fillId="0" borderId="13" xfId="66" applyNumberFormat="1" applyBorder="1"/>
    <xf numFmtId="42" fontId="16" fillId="0" borderId="0" xfId="66" applyNumberFormat="1"/>
    <xf numFmtId="42" fontId="16" fillId="47" borderId="13" xfId="66" applyNumberFormat="1" applyFill="1" applyBorder="1"/>
    <xf numFmtId="42" fontId="16" fillId="0" borderId="17" xfId="66" applyNumberFormat="1" applyBorder="1"/>
    <xf numFmtId="42" fontId="16" fillId="0" borderId="14" xfId="66" applyNumberFormat="1" applyBorder="1"/>
    <xf numFmtId="42" fontId="16" fillId="0" borderId="14" xfId="66" applyNumberFormat="1" applyBorder="1" applyProtection="1">
      <protection locked="0"/>
    </xf>
    <xf numFmtId="42" fontId="16" fillId="47" borderId="13" xfId="66" applyNumberFormat="1" applyFill="1" applyBorder="1" applyProtection="1">
      <protection locked="0"/>
    </xf>
    <xf numFmtId="42" fontId="16" fillId="0" borderId="13" xfId="66" applyNumberFormat="1" applyBorder="1" applyProtection="1">
      <protection locked="0"/>
    </xf>
    <xf numFmtId="42" fontId="16" fillId="0" borderId="28" xfId="66" applyNumberFormat="1" applyBorder="1" applyProtection="1">
      <protection locked="0"/>
    </xf>
    <xf numFmtId="3" fontId="48" fillId="47" borderId="16" xfId="0" applyNumberFormat="1" applyFont="1" applyFill="1" applyBorder="1" applyAlignment="1" applyProtection="1">
      <alignment horizontal="center"/>
      <protection locked="0"/>
    </xf>
    <xf numFmtId="43" fontId="16" fillId="50" borderId="0" xfId="46" quotePrefix="1" applyFill="1" applyAlignment="1">
      <alignment horizontal="right"/>
    </xf>
    <xf numFmtId="175" fontId="132" fillId="0" borderId="0" xfId="0" quotePrefix="1" applyFont="1" applyAlignment="1">
      <alignment vertical="center"/>
    </xf>
    <xf numFmtId="175" fontId="64" fillId="47" borderId="0" xfId="0" quotePrefix="1" applyFont="1" applyFill="1" applyAlignment="1">
      <alignment horizontal="left" vertical="top" wrapText="1"/>
    </xf>
    <xf numFmtId="175" fontId="64" fillId="0" borderId="0" xfId="0" quotePrefix="1" applyFont="1" applyProtection="1">
      <protection locked="0"/>
    </xf>
    <xf numFmtId="175" fontId="133" fillId="47" borderId="0" xfId="0" applyFont="1" applyFill="1" applyProtection="1">
      <protection locked="0"/>
    </xf>
    <xf numFmtId="175" fontId="127" fillId="47" borderId="0" xfId="0" applyFont="1" applyFill="1" applyAlignment="1">
      <alignment vertical="top" wrapText="1"/>
    </xf>
    <xf numFmtId="168" fontId="16" fillId="0" borderId="0" xfId="66" applyNumberFormat="1" applyProtection="1">
      <protection locked="0"/>
    </xf>
    <xf numFmtId="44" fontId="69" fillId="43" borderId="0" xfId="5685" applyFont="1" applyFill="1"/>
    <xf numFmtId="175" fontId="68" fillId="0" borderId="0" xfId="66" applyFont="1" applyAlignment="1">
      <alignment horizontal="center"/>
    </xf>
    <xf numFmtId="175" fontId="68" fillId="0" borderId="0" xfId="66" applyFont="1"/>
    <xf numFmtId="44" fontId="68" fillId="0" borderId="0" xfId="50" applyFont="1" applyFill="1" applyAlignment="1">
      <alignment horizontal="center"/>
    </xf>
    <xf numFmtId="175" fontId="68" fillId="0" borderId="43" xfId="66" applyFont="1" applyBorder="1" applyAlignment="1">
      <alignment horizontal="center" wrapText="1"/>
    </xf>
    <xf numFmtId="178" fontId="68" fillId="0" borderId="14" xfId="66" applyNumberFormat="1" applyFont="1" applyBorder="1"/>
    <xf numFmtId="178" fontId="68" fillId="0" borderId="35" xfId="66" applyNumberFormat="1" applyFont="1" applyBorder="1"/>
    <xf numFmtId="178" fontId="68" fillId="0" borderId="48" xfId="66" applyNumberFormat="1" applyFont="1" applyBorder="1"/>
    <xf numFmtId="175" fontId="0" fillId="0" borderId="0" xfId="66" applyFont="1"/>
    <xf numFmtId="175" fontId="0" fillId="47" borderId="0" xfId="66" applyFont="1" applyFill="1"/>
    <xf numFmtId="175" fontId="0" fillId="0" borderId="0" xfId="66" applyFont="1" applyAlignment="1">
      <alignment horizontal="center"/>
    </xf>
    <xf numFmtId="175" fontId="0" fillId="0" borderId="92" xfId="66" applyFont="1" applyBorder="1"/>
    <xf numFmtId="175" fontId="0" fillId="0" borderId="43" xfId="66" applyFont="1" applyBorder="1"/>
    <xf numFmtId="178" fontId="0" fillId="0" borderId="0" xfId="66" applyNumberFormat="1" applyFont="1"/>
    <xf numFmtId="178" fontId="0" fillId="0" borderId="43" xfId="66" applyNumberFormat="1" applyFont="1" applyBorder="1"/>
    <xf numFmtId="164" fontId="0" fillId="0" borderId="0" xfId="66" applyNumberFormat="1" applyFont="1"/>
    <xf numFmtId="178" fontId="0" fillId="0" borderId="93"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94" xfId="66" applyNumberFormat="1" applyFont="1" applyBorder="1"/>
    <xf numFmtId="175" fontId="17" fillId="0" borderId="92" xfId="66" applyFont="1" applyBorder="1" applyAlignment="1">
      <alignment horizontal="left" indent="1"/>
    </xf>
    <xf numFmtId="178" fontId="0" fillId="0" borderId="92" xfId="66" applyNumberFormat="1" applyFont="1" applyBorder="1"/>
    <xf numFmtId="164" fontId="0" fillId="0" borderId="0" xfId="66" applyNumberFormat="1" applyFont="1" applyAlignment="1">
      <alignment horizontal="right"/>
    </xf>
    <xf numFmtId="164" fontId="0" fillId="44" borderId="0" xfId="66" applyNumberFormat="1" applyFont="1" applyFill="1"/>
    <xf numFmtId="164" fontId="0" fillId="47" borderId="0" xfId="66" applyNumberFormat="1" applyFont="1" applyFill="1"/>
    <xf numFmtId="175" fontId="71" fillId="47" borderId="0" xfId="66" quotePrefix="1" applyFont="1" applyFill="1" applyAlignment="1" applyProtection="1">
      <alignment horizontal="left"/>
      <protection locked="0"/>
    </xf>
    <xf numFmtId="175" fontId="0" fillId="0" borderId="0" xfId="0" applyProtection="1">
      <protection locked="0"/>
    </xf>
    <xf numFmtId="175" fontId="64" fillId="47" borderId="0" xfId="0" quotePrefix="1" applyFont="1" applyFill="1" applyProtection="1">
      <protection locked="0"/>
    </xf>
    <xf numFmtId="1" fontId="16" fillId="47" borderId="0" xfId="66" quotePrefix="1" applyNumberFormat="1" applyFill="1" applyAlignment="1" applyProtection="1">
      <alignment horizontal="center"/>
      <protection locked="0"/>
    </xf>
    <xf numFmtId="14" fontId="16" fillId="0" borderId="0" xfId="0" applyNumberFormat="1" applyFont="1"/>
    <xf numFmtId="16" fontId="16" fillId="0" borderId="0" xfId="0" applyNumberFormat="1" applyFont="1" applyAlignment="1">
      <alignment horizontal="right"/>
    </xf>
    <xf numFmtId="1" fontId="16" fillId="47" borderId="0" xfId="66" applyNumberFormat="1" applyFill="1" applyAlignment="1" applyProtection="1">
      <alignment horizontal="center"/>
      <protection locked="0"/>
    </xf>
    <xf numFmtId="43" fontId="88" fillId="0" borderId="93" xfId="0" applyNumberFormat="1" applyFont="1" applyBorder="1" applyAlignment="1" applyProtection="1">
      <alignment horizontal="center" vertical="top" wrapText="1"/>
      <protection locked="0"/>
    </xf>
    <xf numFmtId="43" fontId="88" fillId="0" borderId="91" xfId="0" applyNumberFormat="1" applyFont="1" applyBorder="1" applyAlignment="1" applyProtection="1">
      <alignment horizontal="center" vertical="top" wrapText="1"/>
      <protection locked="0"/>
    </xf>
    <xf numFmtId="175" fontId="17" fillId="0" borderId="91" xfId="0" applyFont="1" applyBorder="1" applyAlignment="1" applyProtection="1">
      <alignment horizontal="center"/>
      <protection locked="0"/>
    </xf>
    <xf numFmtId="175" fontId="17" fillId="0" borderId="91" xfId="0" quotePrefix="1" applyFont="1" applyBorder="1" applyAlignment="1">
      <alignment horizontal="center"/>
    </xf>
    <xf numFmtId="175" fontId="17" fillId="0" borderId="91" xfId="0" applyFont="1" applyBorder="1" applyProtection="1">
      <protection locked="0"/>
    </xf>
    <xf numFmtId="175" fontId="17" fillId="47" borderId="93" xfId="0" applyFont="1" applyFill="1" applyBorder="1" applyAlignment="1" applyProtection="1">
      <alignment horizontal="center" wrapText="1"/>
      <protection locked="0"/>
    </xf>
    <xf numFmtId="175" fontId="17" fillId="0" borderId="91" xfId="0" applyFont="1" applyBorder="1" applyAlignment="1" applyProtection="1">
      <alignment horizontal="center" wrapText="1"/>
      <protection locked="0"/>
    </xf>
    <xf numFmtId="175" fontId="17" fillId="0" borderId="95" xfId="0" applyFont="1" applyBorder="1" applyAlignment="1" applyProtection="1">
      <alignment horizontal="center" wrapText="1"/>
      <protection locked="0"/>
    </xf>
    <xf numFmtId="175" fontId="17" fillId="0" borderId="93" xfId="0" applyFont="1" applyBorder="1" applyAlignment="1" applyProtection="1">
      <alignment horizontal="center" wrapText="1"/>
      <protection locked="0"/>
    </xf>
    <xf numFmtId="175" fontId="17" fillId="0" borderId="91" xfId="0" applyFont="1" applyBorder="1" applyAlignment="1" applyProtection="1">
      <alignment horizontal="left"/>
      <protection locked="0"/>
    </xf>
    <xf numFmtId="175" fontId="17" fillId="0" borderId="93" xfId="0" applyFont="1" applyBorder="1" applyAlignment="1">
      <alignment horizontal="center" wrapText="1"/>
    </xf>
    <xf numFmtId="175" fontId="17" fillId="0" borderId="93" xfId="0" applyFont="1" applyBorder="1" applyAlignment="1">
      <alignment horizontal="center"/>
    </xf>
    <xf numFmtId="175" fontId="17" fillId="0" borderId="96" xfId="0" applyFont="1" applyBorder="1" applyAlignment="1">
      <alignment horizontal="center" wrapText="1"/>
    </xf>
    <xf numFmtId="175" fontId="17" fillId="0" borderId="95" xfId="0" applyFont="1" applyBorder="1" applyAlignment="1">
      <alignment horizontal="center"/>
    </xf>
    <xf numFmtId="175" fontId="17" fillId="0" borderId="95" xfId="0" applyFont="1" applyBorder="1" applyAlignment="1" applyProtection="1">
      <alignment horizontal="center"/>
      <protection locked="0"/>
    </xf>
    <xf numFmtId="3" fontId="17" fillId="0" borderId="94" xfId="0" applyNumberFormat="1" applyFont="1" applyBorder="1" applyAlignment="1">
      <alignment horizontal="center" wrapText="1"/>
    </xf>
    <xf numFmtId="3" fontId="17" fillId="0" borderId="96" xfId="0" applyNumberFormat="1" applyFont="1" applyBorder="1" applyAlignment="1">
      <alignment horizontal="center" wrapText="1"/>
    </xf>
    <xf numFmtId="2" fontId="17" fillId="0" borderId="93" xfId="0" applyNumberFormat="1" applyFont="1" applyBorder="1" applyAlignment="1">
      <alignment horizontal="center" wrapText="1"/>
    </xf>
    <xf numFmtId="3" fontId="17" fillId="0" borderId="93" xfId="0" applyNumberFormat="1" applyFont="1" applyBorder="1" applyAlignment="1">
      <alignment horizontal="center" wrapText="1"/>
    </xf>
    <xf numFmtId="3" fontId="17" fillId="47" borderId="93" xfId="0" applyNumberFormat="1" applyFont="1" applyFill="1" applyBorder="1" applyAlignment="1">
      <alignment horizontal="center" wrapText="1"/>
    </xf>
    <xf numFmtId="3" fontId="17" fillId="0" borderId="96" xfId="0" applyNumberFormat="1" applyFont="1" applyBorder="1" applyAlignment="1" applyProtection="1">
      <alignment horizontal="center" wrapText="1"/>
      <protection locked="0"/>
    </xf>
    <xf numFmtId="3" fontId="56" fillId="0" borderId="97" xfId="0" applyNumberFormat="1" applyFont="1" applyBorder="1" applyAlignment="1">
      <alignment horizontal="center"/>
    </xf>
    <xf numFmtId="43" fontId="16" fillId="50" borderId="98" xfId="46" quotePrefix="1" applyFill="1" applyBorder="1" applyAlignment="1">
      <alignment horizontal="left"/>
    </xf>
    <xf numFmtId="43" fontId="16" fillId="50" borderId="94" xfId="46" quotePrefix="1" applyFill="1" applyBorder="1" applyAlignment="1">
      <alignment horizontal="left"/>
    </xf>
    <xf numFmtId="3" fontId="16" fillId="0" borderId="98" xfId="0" applyNumberFormat="1" applyFont="1" applyBorder="1" applyAlignment="1" applyProtection="1">
      <alignment wrapText="1"/>
      <protection locked="0"/>
    </xf>
    <xf numFmtId="3" fontId="48" fillId="0" borderId="96" xfId="0" applyNumberFormat="1" applyFont="1" applyBorder="1" applyAlignment="1" applyProtection="1">
      <alignment horizontal="center"/>
      <protection locked="0"/>
    </xf>
    <xf numFmtId="175" fontId="0" fillId="0" borderId="98" xfId="0" applyBorder="1"/>
    <xf numFmtId="2" fontId="16" fillId="0" borderId="95" xfId="0" applyNumberFormat="1" applyFont="1" applyBorder="1" applyAlignment="1">
      <alignment vertical="center"/>
    </xf>
    <xf numFmtId="3" fontId="16" fillId="52" borderId="95" xfId="0" applyNumberFormat="1" applyFont="1" applyFill="1" applyBorder="1" applyAlignment="1">
      <alignment horizontal="center" vertical="center"/>
    </xf>
    <xf numFmtId="2" fontId="16" fillId="0" borderId="98" xfId="0" applyNumberFormat="1" applyFont="1" applyBorder="1" applyAlignment="1">
      <alignment vertical="center"/>
    </xf>
    <xf numFmtId="175" fontId="0" fillId="0" borderId="99" xfId="0" applyBorder="1"/>
    <xf numFmtId="175" fontId="37" fillId="0" borderId="99" xfId="0" applyFont="1" applyBorder="1" applyAlignment="1">
      <alignment horizontal="center" wrapText="1"/>
    </xf>
    <xf numFmtId="3" fontId="16" fillId="0" borderId="95" xfId="0" applyNumberFormat="1" applyFont="1" applyBorder="1" applyAlignment="1">
      <alignment horizontal="center" vertical="center"/>
    </xf>
    <xf numFmtId="2" fontId="59" fillId="0" borderId="95" xfId="0" applyNumberFormat="1" applyFont="1" applyBorder="1" applyAlignment="1">
      <alignment vertical="center"/>
    </xf>
    <xf numFmtId="3" fontId="16" fillId="0" borderId="99" xfId="0" applyNumberFormat="1" applyFont="1" applyBorder="1" applyAlignment="1">
      <alignment horizontal="left" vertical="center" wrapText="1"/>
    </xf>
    <xf numFmtId="175" fontId="37" fillId="0" borderId="96" xfId="0" applyFont="1" applyBorder="1" applyProtection="1">
      <protection locked="0"/>
    </xf>
    <xf numFmtId="172" fontId="37" fillId="0" borderId="96" xfId="0" quotePrefix="1" applyNumberFormat="1" applyFont="1" applyBorder="1" applyAlignment="1">
      <alignment horizontal="center"/>
    </xf>
    <xf numFmtId="172" fontId="37" fillId="0" borderId="96" xfId="0" applyNumberFormat="1" applyFont="1" applyBorder="1"/>
    <xf numFmtId="175" fontId="37" fillId="0" borderId="96" xfId="0" applyFont="1" applyBorder="1"/>
    <xf numFmtId="166" fontId="37" fillId="0" borderId="96" xfId="0" applyNumberFormat="1" applyFont="1" applyBorder="1"/>
    <xf numFmtId="175" fontId="37" fillId="0" borderId="96" xfId="0" applyFont="1" applyBorder="1" applyAlignment="1" applyProtection="1">
      <alignment horizontal="center"/>
      <protection locked="0"/>
    </xf>
    <xf numFmtId="175" fontId="37" fillId="0" borderId="96" xfId="0" applyFont="1" applyBorder="1" applyAlignment="1">
      <alignment horizontal="center"/>
    </xf>
    <xf numFmtId="166" fontId="37" fillId="0" borderId="96" xfId="0" applyNumberFormat="1" applyFont="1" applyBorder="1" applyAlignment="1">
      <alignment horizontal="center"/>
    </xf>
    <xf numFmtId="175" fontId="37" fillId="0" borderId="97" xfId="0" applyFont="1" applyBorder="1" applyProtection="1">
      <protection locked="0"/>
    </xf>
    <xf numFmtId="175" fontId="37" fillId="0" borderId="94" xfId="0" applyFont="1" applyBorder="1"/>
    <xf numFmtId="38" fontId="18" fillId="0" borderId="94" xfId="0" applyNumberFormat="1" applyFont="1" applyBorder="1"/>
    <xf numFmtId="165" fontId="37" fillId="0" borderId="94" xfId="0" applyNumberFormat="1" applyFont="1" applyBorder="1"/>
    <xf numFmtId="166" fontId="18" fillId="0" borderId="94" xfId="0" applyNumberFormat="1" applyFont="1" applyBorder="1"/>
    <xf numFmtId="166" fontId="37" fillId="0" borderId="94" xfId="0" applyNumberFormat="1" applyFont="1" applyBorder="1"/>
    <xf numFmtId="175" fontId="18" fillId="0" borderId="96" xfId="0" applyFont="1" applyBorder="1"/>
    <xf numFmtId="170" fontId="18" fillId="0" borderId="93" xfId="46" applyNumberFormat="1" applyFont="1" applyBorder="1" applyAlignment="1">
      <alignment horizontal="right"/>
    </xf>
    <xf numFmtId="169" fontId="37" fillId="0" borderId="93" xfId="46" applyNumberFormat="1" applyFont="1" applyBorder="1" applyAlignment="1">
      <alignment horizontal="right"/>
    </xf>
    <xf numFmtId="175" fontId="18" fillId="0" borderId="93" xfId="0" applyFont="1" applyBorder="1"/>
    <xf numFmtId="166" fontId="18" fillId="0" borderId="93" xfId="46" applyNumberFormat="1" applyFont="1" applyBorder="1" applyAlignment="1">
      <alignment horizontal="right"/>
    </xf>
    <xf numFmtId="166" fontId="18" fillId="0" borderId="93" xfId="0" applyNumberFormat="1" applyFont="1" applyBorder="1"/>
    <xf numFmtId="166" fontId="18" fillId="0" borderId="95" xfId="0" applyNumberFormat="1" applyFont="1" applyBorder="1"/>
    <xf numFmtId="172" fontId="37" fillId="0" borderId="96" xfId="0" applyNumberFormat="1" applyFont="1" applyBorder="1" applyAlignment="1">
      <alignment horizontal="right"/>
    </xf>
    <xf numFmtId="172" fontId="37" fillId="0" borderId="96" xfId="0" applyNumberFormat="1" applyFont="1" applyBorder="1" applyAlignment="1">
      <alignment horizontal="center"/>
    </xf>
    <xf numFmtId="166" fontId="37" fillId="0" borderId="96" xfId="0" quotePrefix="1" applyNumberFormat="1" applyFont="1" applyBorder="1" applyAlignment="1">
      <alignment horizontal="center"/>
    </xf>
    <xf numFmtId="166" fontId="18" fillId="0" borderId="96" xfId="0" applyNumberFormat="1" applyFont="1" applyBorder="1"/>
    <xf numFmtId="166" fontId="37" fillId="0" borderId="93" xfId="46" applyNumberFormat="1" applyFont="1" applyBorder="1" applyAlignment="1">
      <alignment horizontal="right"/>
    </xf>
    <xf numFmtId="166" fontId="37" fillId="0" borderId="96" xfId="0" applyNumberFormat="1" applyFont="1" applyBorder="1" applyAlignment="1">
      <alignment horizontal="right"/>
    </xf>
    <xf numFmtId="175" fontId="37" fillId="48" borderId="96" xfId="0" applyFont="1" applyFill="1" applyBorder="1" applyAlignment="1" applyProtection="1">
      <alignment horizontal="center" vertical="center"/>
      <protection locked="0"/>
    </xf>
    <xf numFmtId="175" fontId="37" fillId="0" borderId="99" xfId="0" applyFont="1" applyBorder="1" applyAlignment="1" applyProtection="1">
      <alignment horizontal="center" wrapText="1"/>
      <protection locked="0"/>
    </xf>
    <xf numFmtId="175" fontId="18" fillId="0" borderId="96" xfId="0" applyFont="1" applyBorder="1" applyAlignment="1" applyProtection="1">
      <alignment horizontal="left"/>
      <protection locked="0"/>
    </xf>
    <xf numFmtId="175" fontId="37" fillId="0" borderId="96" xfId="0" applyFont="1" applyBorder="1" applyAlignment="1" applyProtection="1">
      <alignment horizontal="right"/>
      <protection locked="0"/>
    </xf>
    <xf numFmtId="0" fontId="77" fillId="49" borderId="93" xfId="520" applyFont="1" applyFill="1" applyBorder="1"/>
    <xf numFmtId="0" fontId="57" fillId="49" borderId="93" xfId="520" applyFont="1" applyFill="1" applyBorder="1"/>
    <xf numFmtId="0" fontId="75" fillId="0" borderId="94" xfId="520" applyFont="1" applyBorder="1" applyAlignment="1">
      <alignment horizontal="center" vertical="center"/>
    </xf>
    <xf numFmtId="0" fontId="17" fillId="0" borderId="93" xfId="520" applyFont="1" applyBorder="1" applyAlignment="1">
      <alignment horizontal="center"/>
    </xf>
    <xf numFmtId="42" fontId="16" fillId="0" borderId="99" xfId="520" applyNumberFormat="1" applyBorder="1"/>
    <xf numFmtId="42" fontId="16" fillId="0" borderId="98" xfId="520" applyNumberFormat="1" applyBorder="1"/>
    <xf numFmtId="0" fontId="57" fillId="49" borderId="96" xfId="520" applyFont="1" applyFill="1" applyBorder="1"/>
    <xf numFmtId="42" fontId="16" fillId="49" borderId="93" xfId="520" applyNumberFormat="1" applyFill="1" applyBorder="1"/>
    <xf numFmtId="42" fontId="16" fillId="49" borderId="95" xfId="520" applyNumberFormat="1" applyFill="1" applyBorder="1"/>
    <xf numFmtId="42" fontId="75" fillId="49" borderId="93" xfId="520" applyNumberFormat="1" applyFont="1" applyFill="1" applyBorder="1"/>
    <xf numFmtId="42" fontId="75" fillId="49" borderId="95" xfId="520" applyNumberFormat="1" applyFont="1" applyFill="1" applyBorder="1"/>
    <xf numFmtId="0" fontId="76" fillId="0" borderId="97" xfId="520" applyFont="1" applyBorder="1"/>
    <xf numFmtId="42" fontId="75" fillId="0" borderId="97" xfId="520" applyNumberFormat="1" applyFont="1" applyBorder="1"/>
    <xf numFmtId="42" fontId="75" fillId="0" borderId="94" xfId="520" applyNumberFormat="1" applyFont="1" applyBorder="1"/>
    <xf numFmtId="42" fontId="75" fillId="0" borderId="98" xfId="520" applyNumberFormat="1" applyFont="1" applyBorder="1"/>
    <xf numFmtId="175" fontId="16" fillId="0" borderId="93" xfId="66" applyBorder="1" applyProtection="1">
      <protection locked="0"/>
    </xf>
    <xf numFmtId="175" fontId="16" fillId="0" borderId="95" xfId="66" applyBorder="1" applyProtection="1">
      <protection locked="0"/>
    </xf>
    <xf numFmtId="175" fontId="16" fillId="0" borderId="100" xfId="66" applyBorder="1" applyProtection="1">
      <protection locked="0"/>
    </xf>
    <xf numFmtId="175" fontId="17" fillId="0" borderId="96" xfId="66" applyFont="1" applyBorder="1" applyAlignment="1" applyProtection="1">
      <alignment horizontal="center"/>
      <protection locked="0"/>
    </xf>
    <xf numFmtId="175" fontId="17" fillId="0" borderId="96" xfId="66" applyFont="1" applyBorder="1" applyAlignment="1" applyProtection="1">
      <alignment horizontal="right"/>
      <protection locked="0"/>
    </xf>
    <xf numFmtId="6" fontId="16" fillId="0" borderId="97" xfId="66" applyNumberFormat="1" applyBorder="1" applyAlignment="1">
      <alignment horizontal="right"/>
    </xf>
    <xf numFmtId="6" fontId="16" fillId="0" borderId="94" xfId="66" applyNumberFormat="1" applyBorder="1" applyProtection="1">
      <protection locked="0"/>
    </xf>
    <xf numFmtId="175" fontId="17" fillId="0" borderId="96" xfId="66" applyFont="1" applyBorder="1"/>
    <xf numFmtId="42" fontId="16" fillId="0" borderId="96" xfId="66" applyNumberFormat="1" applyBorder="1"/>
    <xf numFmtId="42" fontId="16" fillId="0" borderId="93" xfId="66" applyNumberFormat="1" applyBorder="1"/>
    <xf numFmtId="42" fontId="16" fillId="47" borderId="99" xfId="66" applyNumberFormat="1" applyFill="1" applyBorder="1"/>
    <xf numFmtId="175" fontId="68" fillId="43" borderId="93" xfId="66" applyFont="1" applyFill="1" applyBorder="1" applyAlignment="1">
      <alignment horizontal="right"/>
    </xf>
    <xf numFmtId="44" fontId="68" fillId="43" borderId="93" xfId="50" applyFont="1" applyFill="1" applyBorder="1" applyAlignment="1">
      <alignment horizontal="right"/>
    </xf>
    <xf numFmtId="164" fontId="69" fillId="0" borderId="94" xfId="66" applyNumberFormat="1" applyFont="1" applyBorder="1"/>
    <xf numFmtId="178" fontId="16" fillId="0" borderId="93" xfId="66" applyNumberFormat="1" applyBorder="1"/>
    <xf numFmtId="178" fontId="16" fillId="0" borderId="94" xfId="66" applyNumberFormat="1" applyBorder="1"/>
    <xf numFmtId="175" fontId="17" fillId="0" borderId="101" xfId="66" applyFont="1" applyBorder="1" applyAlignment="1">
      <alignment horizontal="left" indent="1"/>
    </xf>
    <xf numFmtId="178" fontId="16" fillId="0" borderId="92" xfId="66" applyNumberFormat="1" applyBorder="1"/>
    <xf numFmtId="175" fontId="16" fillId="0" borderId="92" xfId="66" applyBorder="1"/>
    <xf numFmtId="0" fontId="1" fillId="0" borderId="0" xfId="597" applyFont="1"/>
    <xf numFmtId="171" fontId="17" fillId="47" borderId="0" xfId="0" quotePrefix="1" applyNumberFormat="1" applyFont="1" applyFill="1" applyAlignment="1" applyProtection="1">
      <alignment horizontal="center"/>
      <protection locked="0"/>
    </xf>
    <xf numFmtId="175" fontId="17" fillId="47" borderId="91" xfId="66" applyFont="1" applyFill="1" applyBorder="1" applyAlignment="1">
      <alignment horizontal="center"/>
    </xf>
    <xf numFmtId="171" fontId="17" fillId="47" borderId="91" xfId="66" applyNumberFormat="1" applyFont="1" applyFill="1" applyBorder="1" applyAlignment="1">
      <alignment horizontal="center"/>
    </xf>
    <xf numFmtId="175" fontId="17" fillId="47" borderId="91" xfId="66" applyFont="1" applyFill="1" applyBorder="1" applyAlignment="1">
      <alignment horizontal="center" wrapText="1"/>
    </xf>
    <xf numFmtId="1" fontId="16" fillId="47" borderId="91" xfId="66" applyNumberFormat="1" applyFill="1" applyBorder="1" applyAlignment="1" applyProtection="1">
      <alignment horizontal="center"/>
      <protection locked="0"/>
    </xf>
    <xf numFmtId="2" fontId="16" fillId="47" borderId="0" xfId="66" applyNumberFormat="1" applyFill="1" applyProtection="1">
      <protection locked="0"/>
    </xf>
    <xf numFmtId="175" fontId="17" fillId="47" borderId="0" xfId="782" applyFont="1" applyFill="1" applyAlignment="1">
      <alignment vertical="center"/>
    </xf>
    <xf numFmtId="178" fontId="17" fillId="47" borderId="102" xfId="66" applyNumberFormat="1" applyFont="1" applyFill="1" applyBorder="1"/>
    <xf numFmtId="178" fontId="17" fillId="47" borderId="103" xfId="66" applyNumberFormat="1" applyFont="1" applyFill="1" applyBorder="1"/>
    <xf numFmtId="175" fontId="17" fillId="47" borderId="49" xfId="66" applyFont="1" applyFill="1" applyBorder="1" applyAlignment="1">
      <alignment wrapText="1"/>
    </xf>
    <xf numFmtId="178" fontId="17" fillId="47" borderId="104" xfId="66" applyNumberFormat="1" applyFont="1" applyFill="1" applyBorder="1"/>
    <xf numFmtId="178" fontId="17" fillId="0" borderId="94" xfId="66" applyNumberFormat="1" applyFont="1" applyBorder="1"/>
    <xf numFmtId="175" fontId="68" fillId="47" borderId="105" xfId="66" applyFont="1" applyFill="1" applyBorder="1" applyAlignment="1">
      <alignment wrapText="1"/>
    </xf>
    <xf numFmtId="178" fontId="68" fillId="43" borderId="0" xfId="66" applyNumberFormat="1" applyFont="1" applyFill="1"/>
    <xf numFmtId="178" fontId="68" fillId="0" borderId="0" xfId="66" applyNumberFormat="1" applyFont="1"/>
    <xf numFmtId="178" fontId="68" fillId="0" borderId="0" xfId="50" applyNumberFormat="1" applyFont="1" applyFill="1" applyBorder="1" applyAlignment="1"/>
    <xf numFmtId="175" fontId="16" fillId="125" borderId="16" xfId="66" applyFill="1" applyBorder="1" applyAlignment="1">
      <alignment horizontal="left" indent="1"/>
    </xf>
    <xf numFmtId="175" fontId="69" fillId="125" borderId="33" xfId="66" applyFont="1" applyFill="1" applyBorder="1"/>
    <xf numFmtId="175" fontId="137" fillId="43" borderId="0" xfId="66" applyFont="1" applyFill="1"/>
    <xf numFmtId="175" fontId="17" fillId="0" borderId="16" xfId="0" applyFont="1" applyBorder="1" applyAlignment="1">
      <alignment horizontal="center"/>
    </xf>
    <xf numFmtId="178" fontId="68" fillId="125" borderId="106" xfId="66" applyNumberFormat="1" applyFont="1" applyFill="1" applyBorder="1"/>
    <xf numFmtId="2" fontId="16" fillId="0" borderId="16" xfId="0" applyNumberFormat="1" applyFont="1" applyBorder="1" applyAlignment="1">
      <alignment vertical="center"/>
    </xf>
    <xf numFmtId="2" fontId="16" fillId="0" borderId="95" xfId="0" applyNumberFormat="1" applyFont="1" applyBorder="1" applyAlignment="1">
      <alignment vertical="center" wrapText="1"/>
    </xf>
    <xf numFmtId="42" fontId="16" fillId="49" borderId="96" xfId="520" applyNumberFormat="1" applyFill="1" applyBorder="1"/>
    <xf numFmtId="42" fontId="16" fillId="0" borderId="34" xfId="66" applyNumberFormat="1" applyBorder="1"/>
    <xf numFmtId="0" fontId="69" fillId="43" borderId="0" xfId="66" applyNumberFormat="1" applyFont="1" applyFill="1"/>
    <xf numFmtId="43" fontId="69" fillId="43" borderId="0" xfId="46" applyFont="1" applyFill="1"/>
    <xf numFmtId="179" fontId="17" fillId="0" borderId="91" xfId="0" applyNumberFormat="1" applyFont="1" applyBorder="1" applyAlignment="1" applyProtection="1">
      <alignment horizontal="center"/>
      <protection locked="0"/>
    </xf>
    <xf numFmtId="42" fontId="138" fillId="0" borderId="0" xfId="520" applyNumberFormat="1" applyFont="1"/>
    <xf numFmtId="42" fontId="138" fillId="0" borderId="94" xfId="520" applyNumberFormat="1" applyFont="1" applyBorder="1"/>
    <xf numFmtId="42" fontId="138" fillId="0" borderId="98" xfId="520" applyNumberFormat="1" applyFont="1" applyBorder="1"/>
    <xf numFmtId="42" fontId="138" fillId="0" borderId="34" xfId="520" applyNumberFormat="1" applyFont="1" applyBorder="1"/>
    <xf numFmtId="42" fontId="138" fillId="0" borderId="15" xfId="520" applyNumberFormat="1" applyFont="1" applyBorder="1"/>
    <xf numFmtId="42" fontId="138" fillId="0" borderId="97" xfId="520" applyNumberFormat="1" applyFont="1" applyBorder="1"/>
    <xf numFmtId="42" fontId="138" fillId="0" borderId="16" xfId="520" applyNumberFormat="1" applyFont="1" applyBorder="1"/>
    <xf numFmtId="42" fontId="138" fillId="0" borderId="17" xfId="520" applyNumberFormat="1" applyFont="1" applyBorder="1"/>
    <xf numFmtId="42" fontId="138" fillId="0" borderId="14" xfId="520" applyNumberFormat="1" applyFont="1" applyBorder="1"/>
    <xf numFmtId="42" fontId="138" fillId="0" borderId="97" xfId="66" applyNumberFormat="1" applyFont="1" applyBorder="1"/>
    <xf numFmtId="42" fontId="138" fillId="0" borderId="94" xfId="66" applyNumberFormat="1" applyFont="1" applyBorder="1"/>
    <xf numFmtId="42" fontId="138" fillId="0" borderId="98" xfId="66" applyNumberFormat="1" applyFont="1" applyBorder="1"/>
    <xf numFmtId="42" fontId="138" fillId="0" borderId="16" xfId="66" applyNumberFormat="1" applyFont="1" applyBorder="1"/>
    <xf numFmtId="42" fontId="138" fillId="0" borderId="0" xfId="66" applyNumberFormat="1" applyFont="1"/>
    <xf numFmtId="42" fontId="138" fillId="0" borderId="34" xfId="66" applyNumberFormat="1" applyFont="1" applyBorder="1"/>
    <xf numFmtId="42" fontId="138" fillId="0" borderId="17" xfId="66" applyNumberFormat="1" applyFont="1" applyBorder="1"/>
    <xf numFmtId="42" fontId="138" fillId="0" borderId="14" xfId="66" applyNumberFormat="1" applyFont="1" applyBorder="1"/>
    <xf numFmtId="42" fontId="138" fillId="0" borderId="15" xfId="66" applyNumberFormat="1" applyFont="1" applyBorder="1"/>
    <xf numFmtId="42" fontId="138" fillId="0" borderId="96" xfId="66" applyNumberFormat="1" applyFont="1" applyBorder="1"/>
    <xf numFmtId="42" fontId="138" fillId="0" borderId="93" xfId="66" applyNumberFormat="1" applyFont="1" applyBorder="1"/>
    <xf numFmtId="42" fontId="138" fillId="0" borderId="95" xfId="66" applyNumberFormat="1" applyFont="1" applyBorder="1"/>
    <xf numFmtId="178" fontId="139" fillId="0" borderId="97" xfId="66" applyNumberFormat="1" applyFont="1" applyBorder="1"/>
    <xf numFmtId="178" fontId="139" fillId="0" borderId="94" xfId="66" applyNumberFormat="1" applyFont="1" applyBorder="1"/>
    <xf numFmtId="178" fontId="139" fillId="0" borderId="16" xfId="66" applyNumberFormat="1" applyFont="1" applyBorder="1"/>
    <xf numFmtId="178" fontId="139" fillId="0" borderId="0" xfId="66" applyNumberFormat="1" applyFont="1"/>
    <xf numFmtId="178" fontId="139" fillId="0" borderId="17" xfId="66" applyNumberFormat="1" applyFont="1" applyBorder="1"/>
    <xf numFmtId="178" fontId="139" fillId="0" borderId="14" xfId="66" applyNumberFormat="1" applyFont="1" applyBorder="1"/>
    <xf numFmtId="178" fontId="138" fillId="0" borderId="0" xfId="66" applyNumberFormat="1" applyFont="1"/>
    <xf numFmtId="178" fontId="138" fillId="0" borderId="0" xfId="66" applyNumberFormat="1" applyFont="1" applyProtection="1">
      <protection locked="0"/>
    </xf>
    <xf numFmtId="178" fontId="138" fillId="0" borderId="14" xfId="66" applyNumberFormat="1" applyFont="1" applyBorder="1" applyProtection="1">
      <protection locked="0"/>
    </xf>
    <xf numFmtId="178" fontId="138" fillId="44" borderId="93" xfId="66" applyNumberFormat="1" applyFont="1" applyFill="1" applyBorder="1"/>
    <xf numFmtId="178" fontId="138" fillId="0" borderId="93" xfId="66" applyNumberFormat="1" applyFont="1" applyBorder="1"/>
    <xf numFmtId="175" fontId="17" fillId="0" borderId="91" xfId="0" applyFont="1" applyBorder="1" applyAlignment="1">
      <alignment horizontal="center"/>
    </xf>
    <xf numFmtId="38" fontId="56" fillId="0" borderId="91" xfId="146" applyNumberFormat="1" applyFont="1" applyBorder="1" applyAlignment="1" applyProtection="1">
      <alignment horizontal="center"/>
      <protection locked="0"/>
    </xf>
    <xf numFmtId="175" fontId="16" fillId="0" borderId="91" xfId="0" applyFont="1" applyBorder="1" applyAlignment="1">
      <alignment vertical="center"/>
    </xf>
    <xf numFmtId="2" fontId="16" fillId="0" borderId="91" xfId="0" applyNumberFormat="1" applyFont="1" applyBorder="1" applyAlignment="1">
      <alignment vertical="center"/>
    </xf>
    <xf numFmtId="3" fontId="16" fillId="52" borderId="91" xfId="0" applyNumberFormat="1" applyFont="1" applyFill="1" applyBorder="1" applyAlignment="1">
      <alignment horizontal="center" vertical="center"/>
    </xf>
    <xf numFmtId="3" fontId="16" fillId="0" borderId="91" xfId="0" applyNumberFormat="1" applyFont="1" applyBorder="1" applyAlignment="1">
      <alignment horizontal="left" vertical="center" wrapText="1"/>
    </xf>
    <xf numFmtId="3" fontId="16" fillId="0" borderId="91" xfId="0" applyNumberFormat="1" applyFont="1" applyBorder="1" applyAlignment="1">
      <alignment horizontal="center" vertical="center"/>
    </xf>
    <xf numFmtId="175" fontId="37" fillId="0" borderId="91" xfId="0" applyFont="1" applyBorder="1" applyAlignment="1" applyProtection="1">
      <alignment horizontal="center"/>
      <protection locked="0"/>
    </xf>
    <xf numFmtId="175" fontId="37" fillId="0" borderId="91" xfId="0" applyFont="1" applyBorder="1" applyAlignment="1">
      <alignment horizontal="center" wrapText="1"/>
    </xf>
    <xf numFmtId="175" fontId="18" fillId="0" borderId="91" xfId="0" applyFont="1" applyBorder="1" applyProtection="1">
      <protection locked="0"/>
    </xf>
    <xf numFmtId="172" fontId="18" fillId="0" borderId="91" xfId="0" applyNumberFormat="1" applyFont="1" applyBorder="1"/>
    <xf numFmtId="172" fontId="18" fillId="0" borderId="91" xfId="46" applyNumberFormat="1" applyFont="1" applyBorder="1" applyAlignment="1">
      <alignment horizontal="right"/>
    </xf>
    <xf numFmtId="166" fontId="18" fillId="0" borderId="91" xfId="46" applyNumberFormat="1" applyFont="1" applyBorder="1" applyAlignment="1">
      <alignment horizontal="right"/>
    </xf>
    <xf numFmtId="172" fontId="37" fillId="0" borderId="91" xfId="46" applyNumberFormat="1" applyFont="1" applyBorder="1" applyAlignment="1">
      <alignment horizontal="right" wrapText="1"/>
    </xf>
    <xf numFmtId="175" fontId="18" fillId="0" borderId="91" xfId="0" applyFont="1" applyBorder="1"/>
    <xf numFmtId="166" fontId="37" fillId="0" borderId="91" xfId="0" applyNumberFormat="1" applyFont="1" applyBorder="1"/>
    <xf numFmtId="172" fontId="18" fillId="0" borderId="91" xfId="0" quotePrefix="1" applyNumberFormat="1" applyFont="1" applyBorder="1" applyAlignment="1">
      <alignment horizontal="center"/>
    </xf>
    <xf numFmtId="172" fontId="18" fillId="0" borderId="91" xfId="0" quotePrefix="1" applyNumberFormat="1" applyFont="1" applyBorder="1" applyAlignment="1">
      <alignment horizontal="right"/>
    </xf>
    <xf numFmtId="166" fontId="18" fillId="0" borderId="91" xfId="46" applyNumberFormat="1" applyFont="1" applyBorder="1" applyAlignment="1">
      <alignment horizontal="right" wrapText="1"/>
    </xf>
    <xf numFmtId="166" fontId="18" fillId="0" borderId="91" xfId="0" applyNumberFormat="1" applyFont="1" applyBorder="1"/>
    <xf numFmtId="38" fontId="18" fillId="0" borderId="91" xfId="0" applyNumberFormat="1" applyFont="1" applyBorder="1"/>
    <xf numFmtId="165" fontId="37" fillId="0" borderId="91" xfId="0" applyNumberFormat="1" applyFont="1" applyBorder="1"/>
    <xf numFmtId="175" fontId="37" fillId="0" borderId="91" xfId="0" applyFont="1" applyBorder="1" applyAlignment="1">
      <alignment horizontal="center"/>
    </xf>
    <xf numFmtId="166" fontId="37" fillId="0" borderId="91" xfId="0" applyNumberFormat="1" applyFont="1" applyBorder="1" applyAlignment="1">
      <alignment horizontal="center" wrapText="1"/>
    </xf>
    <xf numFmtId="166" fontId="37" fillId="0" borderId="91" xfId="0" applyNumberFormat="1" applyFont="1" applyBorder="1" applyAlignment="1">
      <alignment horizontal="center"/>
    </xf>
    <xf numFmtId="172" fontId="37" fillId="0" borderId="91" xfId="46" applyNumberFormat="1" applyFont="1" applyBorder="1" applyAlignment="1">
      <alignment horizontal="right"/>
    </xf>
    <xf numFmtId="175" fontId="18" fillId="0" borderId="91" xfId="0" applyFont="1" applyBorder="1" applyAlignment="1" applyProtection="1">
      <alignment wrapText="1" shrinkToFit="1"/>
      <protection locked="0"/>
    </xf>
    <xf numFmtId="170" fontId="18" fillId="0" borderId="91" xfId="46" applyNumberFormat="1" applyFont="1" applyBorder="1" applyAlignment="1">
      <alignment horizontal="right"/>
    </xf>
    <xf numFmtId="169" fontId="37" fillId="0" borderId="91" xfId="46" applyNumberFormat="1" applyFont="1" applyBorder="1" applyAlignment="1">
      <alignment horizontal="right"/>
    </xf>
    <xf numFmtId="175" fontId="37" fillId="0" borderId="91" xfId="0" applyFont="1" applyBorder="1" applyProtection="1">
      <protection locked="0"/>
    </xf>
    <xf numFmtId="172" fontId="37" fillId="0" borderId="91" xfId="0" applyNumberFormat="1" applyFont="1" applyBorder="1"/>
    <xf numFmtId="166" fontId="37" fillId="0" borderId="91" xfId="46" applyNumberFormat="1" applyFont="1" applyBorder="1" applyAlignment="1">
      <alignment horizontal="right"/>
    </xf>
    <xf numFmtId="166" fontId="18" fillId="0" borderId="91" xfId="0" quotePrefix="1" applyNumberFormat="1" applyFont="1" applyBorder="1" applyAlignment="1">
      <alignment horizontal="center"/>
    </xf>
    <xf numFmtId="166" fontId="37" fillId="0" borderId="91" xfId="46" applyNumberFormat="1" applyFont="1" applyBorder="1" applyAlignment="1">
      <alignment horizontal="right" wrapText="1"/>
    </xf>
    <xf numFmtId="166" fontId="18" fillId="0" borderId="91" xfId="0" quotePrefix="1" applyNumberFormat="1" applyFont="1" applyBorder="1" applyAlignment="1">
      <alignment horizontal="right"/>
    </xf>
    <xf numFmtId="166" fontId="18" fillId="0" borderId="91" xfId="46" applyNumberFormat="1" applyFont="1" applyBorder="1" applyAlignment="1">
      <alignment horizontal="center"/>
    </xf>
    <xf numFmtId="175" fontId="37" fillId="48" borderId="91" xfId="0" applyFont="1" applyFill="1" applyBorder="1" applyAlignment="1" applyProtection="1">
      <alignment horizontal="center" vertical="center"/>
      <protection locked="0"/>
    </xf>
    <xf numFmtId="175" fontId="37" fillId="47" borderId="91" xfId="0" applyFont="1" applyFill="1" applyBorder="1" applyAlignment="1" applyProtection="1">
      <alignment horizontal="left"/>
      <protection locked="0"/>
    </xf>
    <xf numFmtId="175" fontId="37" fillId="0" borderId="91" xfId="0" applyFont="1" applyBorder="1" applyAlignment="1" applyProtection="1">
      <alignment horizontal="center" wrapText="1"/>
      <protection locked="0"/>
    </xf>
    <xf numFmtId="166" fontId="138" fillId="0" borderId="91" xfId="46" applyNumberFormat="1" applyFont="1" applyBorder="1" applyAlignment="1" applyProtection="1">
      <alignment horizontal="right"/>
      <protection locked="0"/>
    </xf>
    <xf numFmtId="175" fontId="18" fillId="0" borderId="91" xfId="0" applyFont="1" applyBorder="1" applyAlignment="1" applyProtection="1">
      <alignment horizontal="left"/>
      <protection locked="0"/>
    </xf>
    <xf numFmtId="175" fontId="37" fillId="0" borderId="91" xfId="0" applyFont="1" applyBorder="1" applyAlignment="1" applyProtection="1">
      <alignment horizontal="left"/>
      <protection locked="0"/>
    </xf>
    <xf numFmtId="175" fontId="18" fillId="47" borderId="91" xfId="0" applyFont="1" applyFill="1" applyBorder="1" applyAlignment="1" applyProtection="1">
      <alignment horizontal="left"/>
      <protection locked="0"/>
    </xf>
    <xf numFmtId="42" fontId="16" fillId="49" borderId="91" xfId="520" applyNumberFormat="1" applyFill="1" applyBorder="1"/>
    <xf numFmtId="175" fontId="17" fillId="0" borderId="91" xfId="66" applyFont="1" applyBorder="1" applyAlignment="1" applyProtection="1">
      <alignment horizontal="center" wrapText="1"/>
      <protection locked="0"/>
    </xf>
    <xf numFmtId="42" fontId="16" fillId="47" borderId="91" xfId="66" applyNumberFormat="1" applyFill="1" applyBorder="1"/>
    <xf numFmtId="42" fontId="16" fillId="0" borderId="91" xfId="66" applyNumberFormat="1" applyBorder="1"/>
    <xf numFmtId="167" fontId="16" fillId="0" borderId="91" xfId="66" applyNumberFormat="1" applyBorder="1" applyAlignment="1">
      <alignment horizontal="right"/>
    </xf>
    <xf numFmtId="167" fontId="16" fillId="0" borderId="91" xfId="66" applyNumberFormat="1" applyBorder="1"/>
    <xf numFmtId="175" fontId="37" fillId="0" borderId="91" xfId="67" applyFont="1" applyBorder="1" applyAlignment="1">
      <alignment horizontal="center"/>
    </xf>
    <xf numFmtId="0" fontId="18" fillId="0" borderId="91" xfId="67" applyNumberFormat="1" applyBorder="1" applyAlignment="1">
      <alignment horizontal="center" vertical="center" wrapText="1"/>
    </xf>
    <xf numFmtId="6" fontId="18" fillId="0" borderId="91" xfId="67" applyNumberFormat="1" applyBorder="1" applyAlignment="1">
      <alignment horizontal="center" vertical="center" wrapText="1"/>
    </xf>
    <xf numFmtId="175" fontId="18" fillId="0" borderId="91" xfId="67" applyBorder="1" applyAlignment="1">
      <alignment horizontal="center" vertical="center" wrapText="1"/>
    </xf>
    <xf numFmtId="14" fontId="18" fillId="0" borderId="91" xfId="67" applyNumberFormat="1" applyBorder="1" applyAlignment="1">
      <alignment horizontal="center" vertical="center" wrapText="1"/>
    </xf>
    <xf numFmtId="175" fontId="18" fillId="0" borderId="91" xfId="67" applyBorder="1" applyAlignment="1">
      <alignment horizontal="left" vertical="center" wrapText="1"/>
    </xf>
    <xf numFmtId="6" fontId="18" fillId="0" borderId="91" xfId="67" applyNumberFormat="1" applyBorder="1" applyAlignment="1" applyProtection="1">
      <alignment horizontal="center" vertical="center"/>
      <protection locked="0"/>
    </xf>
    <xf numFmtId="175" fontId="18" fillId="0" borderId="91" xfId="67" applyBorder="1" applyAlignment="1" applyProtection="1">
      <alignment horizontal="center" vertical="center" wrapText="1"/>
      <protection locked="0"/>
    </xf>
    <xf numFmtId="0" fontId="18" fillId="0" borderId="91" xfId="67" applyNumberFormat="1" applyBorder="1" applyAlignment="1" applyProtection="1">
      <alignment horizontal="center" vertical="center"/>
      <protection locked="0"/>
    </xf>
    <xf numFmtId="175" fontId="37" fillId="0" borderId="91" xfId="67" applyFont="1" applyBorder="1" applyProtection="1">
      <protection locked="0"/>
    </xf>
    <xf numFmtId="6" fontId="37" fillId="0" borderId="91" xfId="67" applyNumberFormat="1" applyFont="1" applyBorder="1" applyAlignment="1" applyProtection="1">
      <alignment horizontal="center"/>
      <protection locked="0"/>
    </xf>
    <xf numFmtId="175" fontId="18" fillId="0" borderId="91" xfId="67" applyBorder="1" applyProtection="1">
      <protection locked="0"/>
    </xf>
    <xf numFmtId="172" fontId="18" fillId="0" borderId="91" xfId="46" applyNumberFormat="1" applyFont="1" applyFill="1" applyBorder="1" applyAlignment="1">
      <alignment horizontal="right"/>
    </xf>
    <xf numFmtId="172" fontId="18" fillId="125" borderId="91" xfId="46" applyNumberFormat="1" applyFont="1" applyFill="1" applyBorder="1" applyAlignment="1">
      <alignment horizontal="right"/>
    </xf>
    <xf numFmtId="175" fontId="64" fillId="0" borderId="0" xfId="0" quotePrefix="1" applyFont="1"/>
    <xf numFmtId="175" fontId="64" fillId="0" borderId="0" xfId="0" applyFont="1"/>
    <xf numFmtId="175" fontId="64" fillId="0" borderId="0" xfId="0" applyFont="1" applyAlignment="1">
      <alignment vertical="justify"/>
    </xf>
    <xf numFmtId="175" fontId="64" fillId="52" borderId="0" xfId="0" quotePrefix="1" applyFont="1" applyFill="1"/>
    <xf numFmtId="175" fontId="64" fillId="52" borderId="0" xfId="0" applyFont="1" applyFill="1"/>
    <xf numFmtId="175" fontId="0" fillId="47" borderId="0" xfId="0" applyFill="1" applyProtection="1">
      <protection locked="0"/>
    </xf>
    <xf numFmtId="166" fontId="56" fillId="0" borderId="16" xfId="0" applyNumberFormat="1" applyFont="1" applyBorder="1" applyAlignment="1">
      <alignment horizontal="center"/>
    </xf>
    <xf numFmtId="43" fontId="16" fillId="50" borderId="0" xfId="46" applyFill="1" applyAlignment="1">
      <alignment horizontal="right"/>
    </xf>
    <xf numFmtId="43" fontId="16" fillId="50" borderId="34" xfId="46" applyFill="1" applyBorder="1" applyAlignment="1">
      <alignment horizontal="left"/>
    </xf>
    <xf numFmtId="172" fontId="16" fillId="0" borderId="91" xfId="46" applyNumberFormat="1" applyFont="1" applyFill="1" applyBorder="1" applyAlignment="1">
      <alignment horizontal="right"/>
    </xf>
    <xf numFmtId="172" fontId="0" fillId="0" borderId="91" xfId="46" applyNumberFormat="1" applyFont="1" applyBorder="1" applyAlignment="1">
      <alignment horizontal="right"/>
    </xf>
    <xf numFmtId="17" fontId="17" fillId="0" borderId="0" xfId="0" applyNumberFormat="1" applyFont="1" applyAlignment="1" applyProtection="1">
      <alignment horizontal="center"/>
      <protection locked="0"/>
    </xf>
    <xf numFmtId="178" fontId="17" fillId="47" borderId="105" xfId="66" applyNumberFormat="1" applyFont="1" applyFill="1" applyBorder="1"/>
    <xf numFmtId="178" fontId="17" fillId="47" borderId="45" xfId="66" applyNumberFormat="1" applyFont="1" applyFill="1" applyBorder="1"/>
    <xf numFmtId="175" fontId="17" fillId="0" borderId="49" xfId="66" applyFont="1" applyBorder="1" applyAlignment="1">
      <alignment wrapText="1"/>
    </xf>
    <xf numFmtId="178" fontId="17" fillId="0" borderId="49" xfId="66" applyNumberFormat="1" applyFont="1" applyBorder="1"/>
    <xf numFmtId="178" fontId="17" fillId="47" borderId="35" xfId="66" applyNumberFormat="1" applyFont="1" applyFill="1" applyBorder="1"/>
    <xf numFmtId="178" fontId="17" fillId="47" borderId="107" xfId="66" applyNumberFormat="1" applyFont="1" applyFill="1" applyBorder="1"/>
    <xf numFmtId="175" fontId="68" fillId="43" borderId="108" xfId="66" applyFont="1" applyFill="1" applyBorder="1" applyAlignment="1">
      <alignment horizontal="center" wrapText="1"/>
    </xf>
    <xf numFmtId="178" fontId="68" fillId="0" borderId="108" xfId="66" applyNumberFormat="1" applyFont="1" applyBorder="1"/>
    <xf numFmtId="178" fontId="16" fillId="0" borderId="108" xfId="66" applyNumberFormat="1" applyBorder="1"/>
    <xf numFmtId="178" fontId="16" fillId="44" borderId="108" xfId="66" applyNumberFormat="1" applyFill="1" applyBorder="1"/>
    <xf numFmtId="175" fontId="17" fillId="0" borderId="108" xfId="66" applyFont="1" applyBorder="1"/>
    <xf numFmtId="175" fontId="17" fillId="0" borderId="108" xfId="66" applyFont="1" applyBorder="1" applyAlignment="1">
      <alignment horizontal="left" wrapText="1" indent="1"/>
    </xf>
    <xf numFmtId="175" fontId="17" fillId="0" borderId="108" xfId="66" applyFont="1" applyBorder="1" applyAlignment="1">
      <alignment horizontal="left" indent="1"/>
    </xf>
    <xf numFmtId="178" fontId="0" fillId="0" borderId="108" xfId="66" applyNumberFormat="1" applyFont="1" applyBorder="1"/>
    <xf numFmtId="178" fontId="0" fillId="44" borderId="108" xfId="66" applyNumberFormat="1" applyFont="1" applyFill="1" applyBorder="1"/>
    <xf numFmtId="175" fontId="68" fillId="44" borderId="109" xfId="66" applyFont="1" applyFill="1" applyBorder="1" applyAlignment="1">
      <alignment horizontal="center"/>
    </xf>
    <xf numFmtId="175" fontId="17" fillId="0" borderId="109" xfId="66" applyFont="1" applyBorder="1"/>
    <xf numFmtId="175" fontId="17" fillId="0" borderId="109" xfId="66" quotePrefix="1" applyFont="1" applyBorder="1" applyAlignment="1">
      <alignment horizontal="left" wrapText="1" indent="1"/>
    </xf>
    <xf numFmtId="175" fontId="17" fillId="0" borderId="109" xfId="66" applyFont="1" applyBorder="1" applyAlignment="1">
      <alignment horizontal="left" indent="1"/>
    </xf>
    <xf numFmtId="49" fontId="72" fillId="47" borderId="0" xfId="0" applyNumberFormat="1" applyFont="1" applyFill="1" applyProtection="1">
      <protection locked="0"/>
    </xf>
    <xf numFmtId="49" fontId="72" fillId="47" borderId="0" xfId="0" quotePrefix="1" applyNumberFormat="1" applyFont="1" applyFill="1" applyProtection="1">
      <protection locked="0"/>
    </xf>
    <xf numFmtId="175" fontId="19" fillId="0" borderId="0" xfId="66" applyFont="1" applyProtection="1">
      <protection locked="0"/>
    </xf>
    <xf numFmtId="178" fontId="68" fillId="0" borderId="58" xfId="66" applyNumberFormat="1" applyFont="1" applyBorder="1"/>
    <xf numFmtId="178" fontId="68" fillId="125" borderId="110" xfId="66" applyNumberFormat="1" applyFont="1" applyFill="1" applyBorder="1"/>
    <xf numFmtId="178" fontId="69" fillId="0" borderId="92" xfId="66" applyNumberFormat="1" applyFont="1" applyBorder="1"/>
    <xf numFmtId="0" fontId="37" fillId="0" borderId="0" xfId="520" applyFont="1"/>
    <xf numFmtId="175" fontId="17" fillId="0" borderId="0" xfId="0" applyFont="1" applyAlignment="1">
      <alignment vertical="center"/>
    </xf>
    <xf numFmtId="175" fontId="17" fillId="0" borderId="95" xfId="66" applyFont="1" applyBorder="1" applyAlignment="1" applyProtection="1">
      <alignment horizontal="center" wrapText="1"/>
      <protection locked="0"/>
    </xf>
    <xf numFmtId="175" fontId="17" fillId="0" borderId="34" xfId="66" applyFont="1" applyBorder="1" applyAlignment="1" applyProtection="1">
      <alignment horizontal="center" wrapText="1"/>
      <protection locked="0"/>
    </xf>
    <xf numFmtId="42" fontId="16" fillId="0" borderId="95" xfId="66" applyNumberFormat="1" applyBorder="1"/>
    <xf numFmtId="42" fontId="16" fillId="125" borderId="13" xfId="66" applyNumberFormat="1" applyFill="1" applyBorder="1"/>
    <xf numFmtId="175" fontId="17" fillId="47" borderId="0" xfId="66" applyFont="1" applyFill="1" applyProtection="1">
      <protection locked="0"/>
    </xf>
    <xf numFmtId="175" fontId="16" fillId="125" borderId="0" xfId="66" applyFill="1" applyProtection="1">
      <protection locked="0"/>
    </xf>
    <xf numFmtId="2" fontId="69" fillId="43" borderId="0" xfId="66" applyNumberFormat="1" applyFont="1" applyFill="1"/>
    <xf numFmtId="175" fontId="17" fillId="0" borderId="0" xfId="66" applyFont="1" applyAlignment="1">
      <alignment wrapText="1"/>
    </xf>
    <xf numFmtId="0" fontId="16" fillId="0" borderId="0" xfId="66" applyNumberFormat="1" applyAlignment="1">
      <alignment horizontal="left"/>
    </xf>
    <xf numFmtId="175" fontId="16" fillId="47" borderId="0" xfId="66" applyFill="1" applyAlignment="1">
      <alignment wrapText="1"/>
    </xf>
    <xf numFmtId="175" fontId="16" fillId="0" borderId="0" xfId="66" applyAlignment="1">
      <alignment wrapText="1"/>
    </xf>
    <xf numFmtId="175" fontId="128" fillId="0" borderId="0" xfId="66" applyFont="1" applyAlignment="1">
      <alignment wrapText="1"/>
    </xf>
    <xf numFmtId="175" fontId="17" fillId="0" borderId="16" xfId="66" applyFont="1" applyBorder="1" applyAlignment="1" applyProtection="1">
      <alignment wrapText="1"/>
      <protection locked="0"/>
    </xf>
    <xf numFmtId="175" fontId="17" fillId="0" borderId="106" xfId="66" applyFont="1" applyBorder="1" applyAlignment="1">
      <alignment wrapText="1"/>
    </xf>
    <xf numFmtId="42" fontId="16" fillId="0" borderId="106" xfId="66" applyNumberFormat="1" applyBorder="1"/>
    <xf numFmtId="42" fontId="16" fillId="0" borderId="38" xfId="66" applyNumberFormat="1" applyBorder="1"/>
    <xf numFmtId="42" fontId="16" fillId="0" borderId="111" xfId="66" applyNumberFormat="1" applyBorder="1"/>
    <xf numFmtId="42" fontId="16" fillId="0" borderId="112" xfId="66" applyNumberFormat="1" applyBorder="1"/>
    <xf numFmtId="42" fontId="16" fillId="47" borderId="106" xfId="66" applyNumberFormat="1" applyFill="1" applyBorder="1"/>
    <xf numFmtId="167" fontId="16" fillId="0" borderId="111" xfId="66" applyNumberFormat="1" applyBorder="1"/>
    <xf numFmtId="175" fontId="17" fillId="0" borderId="92" xfId="66" applyFont="1" applyBorder="1" applyAlignment="1">
      <alignment wrapText="1"/>
    </xf>
    <xf numFmtId="178" fontId="17" fillId="0" borderId="92" xfId="66" applyNumberFormat="1" applyFont="1" applyBorder="1"/>
    <xf numFmtId="178" fontId="17" fillId="47" borderId="49" xfId="66" applyNumberFormat="1" applyFont="1" applyFill="1" applyBorder="1"/>
    <xf numFmtId="178" fontId="17" fillId="47" borderId="106" xfId="66" applyNumberFormat="1" applyFont="1" applyFill="1" applyBorder="1"/>
    <xf numFmtId="178" fontId="17" fillId="47" borderId="38" xfId="66" applyNumberFormat="1" applyFont="1" applyFill="1" applyBorder="1"/>
    <xf numFmtId="178" fontId="17" fillId="47" borderId="112" xfId="66" applyNumberFormat="1" applyFont="1" applyFill="1" applyBorder="1"/>
    <xf numFmtId="175" fontId="68" fillId="0" borderId="113" xfId="66" applyFont="1" applyBorder="1"/>
    <xf numFmtId="175" fontId="68" fillId="0" borderId="17" xfId="66" applyFont="1" applyBorder="1"/>
    <xf numFmtId="175" fontId="68" fillId="0" borderId="37" xfId="66" applyFont="1" applyBorder="1" applyAlignment="1">
      <alignment wrapText="1"/>
    </xf>
    <xf numFmtId="42" fontId="0" fillId="0" borderId="0" xfId="520" applyNumberFormat="1" applyFont="1"/>
    <xf numFmtId="0" fontId="17" fillId="0" borderId="0" xfId="522" applyFont="1" applyAlignment="1" applyProtection="1">
      <alignment horizontal="center"/>
      <protection locked="0"/>
    </xf>
    <xf numFmtId="17" fontId="17" fillId="0" borderId="0" xfId="522" quotePrefix="1" applyNumberFormat="1" applyFont="1" applyAlignment="1" applyProtection="1">
      <alignment horizontal="center"/>
      <protection locked="0"/>
    </xf>
    <xf numFmtId="175" fontId="0" fillId="0" borderId="0" xfId="66" applyFont="1" applyProtection="1">
      <protection locked="0"/>
    </xf>
    <xf numFmtId="175" fontId="16" fillId="0" borderId="0" xfId="66" applyAlignment="1" applyProtection="1">
      <alignment horizontal="left" vertical="center" wrapText="1"/>
      <protection locked="0"/>
    </xf>
    <xf numFmtId="180" fontId="139" fillId="0" borderId="94" xfId="66" applyNumberFormat="1" applyFont="1" applyBorder="1"/>
    <xf numFmtId="1" fontId="0" fillId="47" borderId="91" xfId="66" applyNumberFormat="1" applyFont="1" applyFill="1" applyBorder="1" applyAlignment="1" applyProtection="1">
      <alignment horizontal="center"/>
      <protection locked="0"/>
    </xf>
    <xf numFmtId="14" fontId="0" fillId="0" borderId="91" xfId="0" applyNumberFormat="1" applyBorder="1"/>
    <xf numFmtId="175" fontId="0" fillId="47" borderId="91" xfId="66" applyFont="1" applyFill="1" applyBorder="1" applyAlignment="1" applyProtection="1">
      <alignment horizontal="center"/>
      <protection locked="0"/>
    </xf>
    <xf numFmtId="2" fontId="0" fillId="47" borderId="91" xfId="66" applyNumberFormat="1" applyFont="1" applyFill="1" applyBorder="1" applyProtection="1">
      <protection locked="0"/>
    </xf>
    <xf numFmtId="16" fontId="0" fillId="0" borderId="91" xfId="0" applyNumberFormat="1" applyBorder="1" applyAlignment="1">
      <alignment horizontal="right"/>
    </xf>
    <xf numFmtId="175" fontId="0" fillId="0" borderId="91" xfId="0" applyBorder="1"/>
    <xf numFmtId="175" fontId="16" fillId="0" borderId="0" xfId="66" applyAlignment="1" applyProtection="1">
      <alignment horizontal="left" vertical="center"/>
      <protection locked="0"/>
    </xf>
    <xf numFmtId="175" fontId="64" fillId="47" borderId="0" xfId="0" quotePrefix="1" applyFont="1" applyFill="1" applyAlignment="1">
      <alignment horizontal="left" vertical="top" wrapText="1"/>
    </xf>
    <xf numFmtId="175" fontId="64" fillId="0" borderId="0" xfId="0" quotePrefix="1" applyFont="1" applyAlignment="1">
      <alignment horizontal="left" vertical="justify"/>
    </xf>
    <xf numFmtId="175" fontId="17" fillId="0" borderId="50" xfId="0" applyFont="1" applyBorder="1" applyAlignment="1">
      <alignment horizontal="center"/>
    </xf>
    <xf numFmtId="175" fontId="17" fillId="0" borderId="51" xfId="0" applyFont="1" applyBorder="1" applyAlignment="1">
      <alignment horizontal="center"/>
    </xf>
    <xf numFmtId="175" fontId="17" fillId="0" borderId="52" xfId="0" applyFont="1" applyBorder="1" applyAlignment="1">
      <alignment horizontal="center"/>
    </xf>
    <xf numFmtId="175" fontId="64" fillId="52" borderId="0" xfId="0" quotePrefix="1" applyFont="1" applyFill="1" applyAlignment="1"/>
    <xf numFmtId="175" fontId="64" fillId="52" borderId="0" xfId="0" applyFont="1" applyFill="1" applyAlignment="1"/>
    <xf numFmtId="175" fontId="64" fillId="0" borderId="0" xfId="0" quotePrefix="1" applyFont="1" applyAlignment="1"/>
    <xf numFmtId="175" fontId="64" fillId="0" borderId="0" xfId="0" applyFont="1" applyAlignment="1"/>
    <xf numFmtId="175" fontId="17" fillId="0" borderId="16" xfId="0" applyFont="1" applyBorder="1" applyAlignment="1">
      <alignment horizontal="center"/>
    </xf>
    <xf numFmtId="175" fontId="17" fillId="0" borderId="0" xfId="0" applyFont="1" applyAlignment="1">
      <alignment horizontal="center"/>
    </xf>
    <xf numFmtId="175" fontId="17" fillId="0" borderId="34" xfId="0" applyFont="1" applyBorder="1" applyAlignment="1">
      <alignment horizontal="center"/>
    </xf>
    <xf numFmtId="175" fontId="71" fillId="0" borderId="0" xfId="0" applyFont="1" applyAlignment="1">
      <alignment vertical="top" wrapText="1"/>
    </xf>
    <xf numFmtId="175" fontId="37" fillId="0" borderId="91" xfId="0" applyFont="1" applyBorder="1" applyAlignment="1" applyProtection="1">
      <alignment horizontal="center"/>
      <protection locked="0"/>
    </xf>
    <xf numFmtId="175" fontId="37" fillId="0" borderId="91" xfId="0" applyFont="1" applyBorder="1" applyAlignment="1">
      <alignment horizontal="center"/>
    </xf>
    <xf numFmtId="175" fontId="57" fillId="47" borderId="96" xfId="66" applyFont="1" applyFill="1" applyBorder="1" applyAlignment="1">
      <alignment horizontal="center" wrapText="1"/>
    </xf>
    <xf numFmtId="175" fontId="57" fillId="47" borderId="93" xfId="66" applyFont="1" applyFill="1" applyBorder="1" applyAlignment="1">
      <alignment horizontal="center" wrapText="1"/>
    </xf>
    <xf numFmtId="175" fontId="57" fillId="47" borderId="95" xfId="66" applyFont="1" applyFill="1" applyBorder="1" applyAlignment="1">
      <alignment horizontal="center" wrapText="1"/>
    </xf>
    <xf numFmtId="175" fontId="16" fillId="0" borderId="0" xfId="66" applyAlignment="1" applyProtection="1">
      <alignment horizontal="left" vertical="center" wrapText="1"/>
      <protection locked="0"/>
    </xf>
    <xf numFmtId="175" fontId="82" fillId="0" borderId="0" xfId="0" applyFont="1" applyAlignment="1" applyProtection="1">
      <alignment horizontal="center"/>
      <protection locked="0"/>
    </xf>
    <xf numFmtId="17" fontId="82" fillId="47" borderId="0" xfId="0" quotePrefix="1" applyNumberFormat="1" applyFont="1" applyFill="1" applyAlignment="1" applyProtection="1">
      <alignment horizontal="left"/>
      <protection locked="0"/>
    </xf>
    <xf numFmtId="0" fontId="76" fillId="0" borderId="97" xfId="520" applyFont="1" applyBorder="1" applyAlignment="1">
      <alignment horizontal="center" vertical="center" wrapText="1"/>
    </xf>
    <xf numFmtId="0" fontId="76" fillId="0" borderId="17" xfId="520" applyFont="1" applyBorder="1" applyAlignment="1">
      <alignment horizontal="center" vertical="center" wrapText="1"/>
    </xf>
    <xf numFmtId="0" fontId="76" fillId="0" borderId="99" xfId="520" applyFont="1" applyBorder="1" applyAlignment="1">
      <alignment horizontal="center" vertical="center" wrapText="1"/>
    </xf>
    <xf numFmtId="0" fontId="76" fillId="0" borderId="28" xfId="520" applyFont="1" applyBorder="1" applyAlignment="1">
      <alignment horizontal="center" vertical="center" wrapText="1"/>
    </xf>
    <xf numFmtId="175" fontId="16" fillId="0" borderId="0" xfId="66" applyAlignment="1">
      <alignment wrapText="1"/>
    </xf>
  </cellXfs>
  <cellStyles count="5687">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 90" xfId="5686" xr:uid="{F4E5E8F2-147D-4B6F-9F09-790067395BE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2022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9" customWidth="1"/>
    <col min="2" max="2" width="28.5703125" style="9" customWidth="1"/>
    <col min="3" max="3" width="16.5703125" style="9" customWidth="1"/>
    <col min="4" max="4" width="17.28515625" style="9" customWidth="1"/>
    <col min="5" max="5" width="15" style="9" customWidth="1"/>
    <col min="6" max="6" width="23.28515625" style="9" bestFit="1" customWidth="1"/>
    <col min="7" max="7" width="13.28515625" style="9" bestFit="1" customWidth="1"/>
    <col min="8" max="16384" width="9.28515625" style="9"/>
  </cols>
  <sheetData>
    <row r="1" spans="1:8" s="249" customFormat="1" ht="39" thickBot="1">
      <c r="A1" s="249" t="s">
        <v>0</v>
      </c>
      <c r="B1" s="249" t="s">
        <v>1</v>
      </c>
      <c r="C1" s="249" t="s">
        <v>2</v>
      </c>
      <c r="D1" s="249" t="s">
        <v>3</v>
      </c>
      <c r="E1" s="250" t="s">
        <v>4</v>
      </c>
      <c r="F1" s="251" t="s">
        <v>5</v>
      </c>
      <c r="G1" s="393" t="s">
        <v>6</v>
      </c>
      <c r="H1" s="394" t="s">
        <v>7</v>
      </c>
    </row>
    <row r="2" spans="1:8" ht="16.5" thickTop="1" thickBot="1">
      <c r="A2" s="256">
        <v>0</v>
      </c>
      <c r="B2" s="51" t="s">
        <v>8</v>
      </c>
      <c r="C2" s="257"/>
      <c r="D2" s="249" t="s">
        <v>9</v>
      </c>
      <c r="E2" s="252">
        <v>1</v>
      </c>
      <c r="F2" s="253" t="s">
        <v>10</v>
      </c>
      <c r="G2" s="246">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2" s="255">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3" spans="1:8" ht="16.5" thickTop="1" thickBot="1">
      <c r="A3" s="247">
        <v>1</v>
      </c>
      <c r="B3" s="35" t="s">
        <v>11</v>
      </c>
      <c r="C3" s="257"/>
      <c r="D3" s="9" t="s">
        <v>9</v>
      </c>
      <c r="E3" s="252">
        <v>1</v>
      </c>
      <c r="F3" s="253" t="s">
        <v>10</v>
      </c>
      <c r="G3"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5372</v>
      </c>
      <c r="H3"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0.75208000000000008</v>
      </c>
    </row>
    <row r="4" spans="1:8" ht="16.5" thickTop="1" thickBot="1">
      <c r="A4" s="247">
        <v>2</v>
      </c>
      <c r="B4" s="35" t="s">
        <v>12</v>
      </c>
      <c r="C4" s="257" t="s">
        <v>13</v>
      </c>
      <c r="D4" s="9" t="s">
        <v>9</v>
      </c>
      <c r="E4" s="252">
        <v>1</v>
      </c>
      <c r="F4" s="253" t="s">
        <v>10</v>
      </c>
      <c r="G4" s="246"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4" s="255"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5" spans="1:8" ht="16.5" thickTop="1" thickBot="1">
      <c r="A5" s="247">
        <v>3</v>
      </c>
      <c r="B5" s="35" t="s">
        <v>14</v>
      </c>
      <c r="C5" s="257"/>
      <c r="D5" s="9" t="s">
        <v>9</v>
      </c>
      <c r="E5" s="252">
        <v>1</v>
      </c>
      <c r="F5" s="253" t="s">
        <v>10</v>
      </c>
      <c r="G5" s="246"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5" s="255"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6" spans="1:8" ht="16.5" thickTop="1" thickBot="1">
      <c r="A6" s="247">
        <v>4</v>
      </c>
      <c r="B6" s="35" t="s">
        <v>15</v>
      </c>
      <c r="C6" s="257" t="s">
        <v>16</v>
      </c>
      <c r="D6" s="9" t="s">
        <v>9</v>
      </c>
      <c r="E6" s="252">
        <v>1</v>
      </c>
      <c r="F6" s="253" t="s">
        <v>10</v>
      </c>
      <c r="G6" s="246"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6" s="255"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7" spans="1:8" ht="16.5" thickTop="1" thickBot="1">
      <c r="A7" s="247">
        <v>5</v>
      </c>
      <c r="B7" s="9" t="s">
        <v>17</v>
      </c>
      <c r="C7" s="257" t="s">
        <v>18</v>
      </c>
      <c r="D7" s="9" t="s">
        <v>19</v>
      </c>
      <c r="E7" s="252">
        <v>1</v>
      </c>
      <c r="F7" s="253" t="s">
        <v>10</v>
      </c>
      <c r="G7"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15879</v>
      </c>
      <c r="H7"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1.7863801617295393E-4</v>
      </c>
    </row>
    <row r="8" spans="1:8" ht="16.5" thickTop="1" thickBot="1">
      <c r="A8" s="247">
        <v>6</v>
      </c>
      <c r="B8" s="9" t="s">
        <v>20</v>
      </c>
      <c r="C8" s="257" t="s">
        <v>18</v>
      </c>
      <c r="D8" s="9" t="s">
        <v>9</v>
      </c>
      <c r="E8" s="252">
        <v>1</v>
      </c>
      <c r="F8" s="253" t="s">
        <v>10</v>
      </c>
      <c r="G8"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296</v>
      </c>
      <c r="H8"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1.0762042365968228E-4</v>
      </c>
    </row>
    <row r="9" spans="1:8" ht="16.5" thickTop="1" thickBot="1">
      <c r="A9" s="247">
        <v>7</v>
      </c>
      <c r="B9" s="9" t="s">
        <v>21</v>
      </c>
      <c r="C9" s="257" t="s">
        <v>22</v>
      </c>
      <c r="D9" s="9" t="s">
        <v>19</v>
      </c>
      <c r="E9" s="252">
        <v>1</v>
      </c>
      <c r="F9" s="253" t="s">
        <v>10</v>
      </c>
      <c r="G9"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8805</v>
      </c>
      <c r="H9"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0" spans="1:8" ht="16.5" thickTop="1" thickBot="1">
      <c r="A10" s="247">
        <v>8</v>
      </c>
      <c r="B10" s="9" t="s">
        <v>23</v>
      </c>
      <c r="C10" s="257" t="s">
        <v>22</v>
      </c>
      <c r="D10" s="9" t="s">
        <v>9</v>
      </c>
      <c r="E10" s="252">
        <v>1</v>
      </c>
      <c r="F10" s="253" t="s">
        <v>10</v>
      </c>
      <c r="G10"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2552</v>
      </c>
      <c r="H10"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1" spans="1:8" ht="16.5" thickTop="1" thickBot="1">
      <c r="A11" s="247">
        <v>9</v>
      </c>
      <c r="B11" s="9" t="s">
        <v>24</v>
      </c>
      <c r="C11" s="257"/>
      <c r="D11" s="9" t="s">
        <v>9</v>
      </c>
      <c r="E11" s="252">
        <v>1</v>
      </c>
      <c r="F11" s="253" t="s">
        <v>10</v>
      </c>
      <c r="G11"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1"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2" spans="1:8" ht="16.5" thickTop="1" thickBot="1">
      <c r="A12" s="247">
        <v>10</v>
      </c>
      <c r="B12" s="9" t="s">
        <v>25</v>
      </c>
      <c r="C12" s="257"/>
      <c r="D12" s="9" t="s">
        <v>9</v>
      </c>
      <c r="E12" s="252">
        <v>1</v>
      </c>
      <c r="F12" s="253" t="s">
        <v>10</v>
      </c>
      <c r="G12"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2"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3" spans="1:8" ht="18" customHeight="1" thickTop="1" thickBot="1">
      <c r="A13" s="247">
        <v>11</v>
      </c>
      <c r="B13" s="9" t="s">
        <v>26</v>
      </c>
      <c r="C13" s="257"/>
      <c r="D13" s="9" t="s">
        <v>9</v>
      </c>
      <c r="E13" s="252">
        <v>1</v>
      </c>
      <c r="F13" s="253" t="s">
        <v>10</v>
      </c>
      <c r="G13"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50976</v>
      </c>
      <c r="H13"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0.50975999999999999</v>
      </c>
    </row>
    <row r="14" spans="1:8" ht="14.25" thickTop="1" thickBot="1">
      <c r="A14" s="247">
        <v>12</v>
      </c>
      <c r="B14" s="35" t="s">
        <v>27</v>
      </c>
      <c r="C14" s="35"/>
      <c r="D14" s="9" t="s">
        <v>19</v>
      </c>
      <c r="E14" s="252">
        <v>1</v>
      </c>
      <c r="F14" s="253" t="s">
        <v>10</v>
      </c>
      <c r="G14"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22881</v>
      </c>
      <c r="H14"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0.88547235500067478</v>
      </c>
    </row>
    <row r="15" spans="1:8" ht="16.5" thickTop="1" thickBot="1">
      <c r="A15" s="256">
        <v>0</v>
      </c>
      <c r="B15" s="51" t="s">
        <v>8</v>
      </c>
      <c r="C15" s="257"/>
      <c r="D15" s="249" t="s">
        <v>9</v>
      </c>
      <c r="E15" s="252">
        <v>2</v>
      </c>
      <c r="F15" s="253" t="s">
        <v>28</v>
      </c>
      <c r="G15" s="246">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15" s="255">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16" spans="1:8" ht="16.5" thickTop="1" thickBot="1">
      <c r="A16" s="247">
        <v>1</v>
      </c>
      <c r="B16" s="9" t="s">
        <v>11</v>
      </c>
      <c r="C16" s="257"/>
      <c r="D16" s="9" t="s">
        <v>9</v>
      </c>
      <c r="E16" s="248">
        <v>2</v>
      </c>
      <c r="F16" s="254" t="s">
        <v>28</v>
      </c>
      <c r="G16"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5319</v>
      </c>
      <c r="H16"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0.7446600000000001</v>
      </c>
    </row>
    <row r="17" spans="1:8" ht="16.5" thickTop="1" thickBot="1">
      <c r="A17" s="247">
        <v>2</v>
      </c>
      <c r="B17" s="9" t="s">
        <v>12</v>
      </c>
      <c r="C17" s="257" t="s">
        <v>13</v>
      </c>
      <c r="D17" s="9" t="s">
        <v>9</v>
      </c>
      <c r="E17" s="248">
        <v>2</v>
      </c>
      <c r="F17" s="254" t="s">
        <v>28</v>
      </c>
      <c r="G17" s="246"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7" s="255"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8" spans="1:8" ht="16.5" thickTop="1" thickBot="1">
      <c r="A18" s="247">
        <v>3</v>
      </c>
      <c r="B18" s="9" t="s">
        <v>14</v>
      </c>
      <c r="C18" s="257"/>
      <c r="D18" s="9" t="s">
        <v>9</v>
      </c>
      <c r="E18" s="248">
        <v>2</v>
      </c>
      <c r="F18" s="254" t="s">
        <v>28</v>
      </c>
      <c r="G18" s="246"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8" s="255"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9" spans="1:8" ht="16.5" thickTop="1" thickBot="1">
      <c r="A19" s="247">
        <v>4</v>
      </c>
      <c r="B19" s="9" t="s">
        <v>15</v>
      </c>
      <c r="C19" s="257" t="s">
        <v>16</v>
      </c>
      <c r="D19" s="9" t="s">
        <v>9</v>
      </c>
      <c r="E19" s="248">
        <v>2</v>
      </c>
      <c r="F19" s="254" t="s">
        <v>28</v>
      </c>
      <c r="G19" s="246"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9" s="255"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20" spans="1:8" ht="16.5" thickTop="1" thickBot="1">
      <c r="A20" s="247">
        <v>5</v>
      </c>
      <c r="B20" s="9" t="s">
        <v>17</v>
      </c>
      <c r="C20" s="257" t="s">
        <v>18</v>
      </c>
      <c r="D20" s="9" t="s">
        <v>19</v>
      </c>
      <c r="E20" s="248">
        <v>2</v>
      </c>
      <c r="F20" s="254" t="s">
        <v>28</v>
      </c>
      <c r="G20"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16220</v>
      </c>
      <c r="H20"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4.2258834246240442E-5</v>
      </c>
    </row>
    <row r="21" spans="1:8" ht="16.5" thickTop="1" thickBot="1">
      <c r="A21" s="247">
        <v>6</v>
      </c>
      <c r="B21" s="9" t="s">
        <v>20</v>
      </c>
      <c r="C21" s="257" t="s">
        <v>18</v>
      </c>
      <c r="D21" s="9" t="s">
        <v>9</v>
      </c>
      <c r="E21" s="248">
        <v>2</v>
      </c>
      <c r="F21" s="254" t="s">
        <v>28</v>
      </c>
      <c r="G21"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295</v>
      </c>
      <c r="H21"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2.4839281431923156E-5</v>
      </c>
    </row>
    <row r="22" spans="1:8" ht="16.5" thickTop="1" thickBot="1">
      <c r="A22" s="247">
        <v>7</v>
      </c>
      <c r="B22" s="9" t="s">
        <v>21</v>
      </c>
      <c r="C22" s="257" t="s">
        <v>22</v>
      </c>
      <c r="D22" s="9" t="s">
        <v>19</v>
      </c>
      <c r="E22" s="248">
        <v>2</v>
      </c>
      <c r="F22" s="254" t="s">
        <v>28</v>
      </c>
      <c r="G22"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8757</v>
      </c>
      <c r="H22"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3" spans="1:8" ht="16.5" thickTop="1" thickBot="1">
      <c r="A23" s="247">
        <v>8</v>
      </c>
      <c r="B23" s="9" t="s">
        <v>23</v>
      </c>
      <c r="C23" s="257" t="s">
        <v>22</v>
      </c>
      <c r="D23" s="9" t="s">
        <v>9</v>
      </c>
      <c r="E23" s="248">
        <v>2</v>
      </c>
      <c r="F23" s="254" t="s">
        <v>28</v>
      </c>
      <c r="G23"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2542</v>
      </c>
      <c r="H23"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4" spans="1:8" ht="16.5" thickTop="1" thickBot="1">
      <c r="A24" s="247">
        <v>9</v>
      </c>
      <c r="B24" s="9" t="s">
        <v>24</v>
      </c>
      <c r="C24" s="257"/>
      <c r="D24" s="9" t="s">
        <v>9</v>
      </c>
      <c r="E24" s="248">
        <v>2</v>
      </c>
      <c r="F24" s="254" t="s">
        <v>28</v>
      </c>
      <c r="G24"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4"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5" spans="1:8" ht="16.5" thickTop="1" thickBot="1">
      <c r="A25" s="247">
        <v>10</v>
      </c>
      <c r="B25" s="9" t="s">
        <v>25</v>
      </c>
      <c r="C25" s="257"/>
      <c r="D25" s="9" t="s">
        <v>9</v>
      </c>
      <c r="E25" s="248">
        <v>2</v>
      </c>
      <c r="F25" s="254" t="s">
        <v>28</v>
      </c>
      <c r="G25"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5"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6" spans="1:8" ht="16.5" thickTop="1" thickBot="1">
      <c r="A26" s="247">
        <v>11</v>
      </c>
      <c r="B26" s="9" t="s">
        <v>26</v>
      </c>
      <c r="C26" s="257"/>
      <c r="D26" s="9" t="s">
        <v>9</v>
      </c>
      <c r="E26" s="248">
        <v>2</v>
      </c>
      <c r="F26" s="254" t="s">
        <v>28</v>
      </c>
      <c r="G26"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50086</v>
      </c>
      <c r="H26"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0.50086000000000008</v>
      </c>
    </row>
    <row r="27" spans="1:8" ht="14.25" thickTop="1" thickBot="1">
      <c r="A27" s="247">
        <v>12</v>
      </c>
      <c r="B27" s="9" t="s">
        <v>27</v>
      </c>
      <c r="C27" s="35"/>
      <c r="D27" s="9" t="s">
        <v>19</v>
      </c>
      <c r="E27" s="248">
        <v>2</v>
      </c>
      <c r="F27" s="254" t="s">
        <v>28</v>
      </c>
      <c r="G27"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23402</v>
      </c>
      <c r="H27"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0.80414936313033114</v>
      </c>
    </row>
    <row r="28" spans="1:8" ht="16.5" thickTop="1" thickBot="1">
      <c r="A28" s="256">
        <v>0</v>
      </c>
      <c r="B28" s="51" t="s">
        <v>8</v>
      </c>
      <c r="C28" s="257"/>
      <c r="D28" s="249" t="s">
        <v>9</v>
      </c>
      <c r="E28" s="252">
        <v>3</v>
      </c>
      <c r="F28" s="253" t="s">
        <v>29</v>
      </c>
      <c r="G28" s="246">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255">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29" spans="1:8" ht="16.5" thickTop="1" thickBot="1">
      <c r="A29" s="247">
        <v>1</v>
      </c>
      <c r="B29" s="9" t="s">
        <v>11</v>
      </c>
      <c r="C29" s="257"/>
      <c r="D29" s="9" t="s">
        <v>9</v>
      </c>
      <c r="E29" s="248">
        <v>3</v>
      </c>
      <c r="F29" s="254" t="s">
        <v>29</v>
      </c>
      <c r="G29"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5172</v>
      </c>
      <c r="H29"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0" spans="1:8" ht="16.5" thickTop="1" thickBot="1">
      <c r="A30" s="247">
        <v>2</v>
      </c>
      <c r="B30" s="9" t="s">
        <v>12</v>
      </c>
      <c r="C30" s="257" t="s">
        <v>13</v>
      </c>
      <c r="D30" s="9" t="s">
        <v>9</v>
      </c>
      <c r="E30" s="248">
        <v>3</v>
      </c>
      <c r="F30" s="254" t="s">
        <v>29</v>
      </c>
      <c r="G30"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0" s="255"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1" spans="1:8" ht="16.5" thickTop="1" thickBot="1">
      <c r="A31" s="247">
        <v>3</v>
      </c>
      <c r="B31" s="9" t="s">
        <v>14</v>
      </c>
      <c r="C31" s="257"/>
      <c r="D31" s="9" t="s">
        <v>9</v>
      </c>
      <c r="E31" s="248">
        <v>3</v>
      </c>
      <c r="F31" s="254" t="s">
        <v>29</v>
      </c>
      <c r="G31"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1" s="255"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2" spans="1:8" ht="16.5" thickTop="1" thickBot="1">
      <c r="A32" s="247">
        <v>4</v>
      </c>
      <c r="B32" s="9" t="s">
        <v>15</v>
      </c>
      <c r="C32" s="257" t="s">
        <v>16</v>
      </c>
      <c r="D32" s="9" t="s">
        <v>9</v>
      </c>
      <c r="E32" s="248">
        <v>3</v>
      </c>
      <c r="F32" s="254" t="s">
        <v>29</v>
      </c>
      <c r="G32"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2" s="255"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3" spans="1:8" ht="16.5" thickTop="1" thickBot="1">
      <c r="A33" s="247">
        <v>5</v>
      </c>
      <c r="B33" s="9" t="s">
        <v>17</v>
      </c>
      <c r="C33" s="257" t="s">
        <v>18</v>
      </c>
      <c r="D33" s="9" t="s">
        <v>19</v>
      </c>
      <c r="E33" s="248">
        <v>3</v>
      </c>
      <c r="F33" s="254" t="s">
        <v>29</v>
      </c>
      <c r="G33"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16662</v>
      </c>
      <c r="H33"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4" spans="1:8" ht="16.5" thickTop="1" thickBot="1">
      <c r="A34" s="247">
        <v>6</v>
      </c>
      <c r="B34" s="9" t="s">
        <v>20</v>
      </c>
      <c r="C34" s="257" t="s">
        <v>18</v>
      </c>
      <c r="D34" s="9" t="s">
        <v>9</v>
      </c>
      <c r="E34" s="248">
        <v>3</v>
      </c>
      <c r="F34" s="254" t="s">
        <v>29</v>
      </c>
      <c r="G34"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295</v>
      </c>
      <c r="H34"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5" spans="1:8" ht="16.5" thickTop="1" thickBot="1">
      <c r="A35" s="247">
        <v>7</v>
      </c>
      <c r="B35" s="9" t="s">
        <v>21</v>
      </c>
      <c r="C35" s="257" t="s">
        <v>22</v>
      </c>
      <c r="D35" s="9" t="s">
        <v>19</v>
      </c>
      <c r="E35" s="248">
        <v>3</v>
      </c>
      <c r="F35" s="254" t="s">
        <v>29</v>
      </c>
      <c r="G35"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8660</v>
      </c>
      <c r="H35"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6" spans="1:8" ht="16.5" thickTop="1" thickBot="1">
      <c r="A36" s="247">
        <v>8</v>
      </c>
      <c r="B36" s="9" t="s">
        <v>23</v>
      </c>
      <c r="C36" s="257" t="s">
        <v>22</v>
      </c>
      <c r="D36" s="9" t="s">
        <v>9</v>
      </c>
      <c r="E36" s="248">
        <v>3</v>
      </c>
      <c r="F36" s="254" t="s">
        <v>29</v>
      </c>
      <c r="G36"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2508</v>
      </c>
      <c r="H36"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7" spans="1:8" ht="16.5" thickTop="1" thickBot="1">
      <c r="A37" s="247">
        <v>9</v>
      </c>
      <c r="B37" s="9" t="s">
        <v>24</v>
      </c>
      <c r="C37" s="257"/>
      <c r="D37" s="9" t="s">
        <v>9</v>
      </c>
      <c r="E37" s="248">
        <v>3</v>
      </c>
      <c r="F37" s="254" t="s">
        <v>29</v>
      </c>
      <c r="G37"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7"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8" spans="1:8" ht="16.5" thickTop="1" thickBot="1">
      <c r="A38" s="247">
        <v>10</v>
      </c>
      <c r="B38" s="9" t="s">
        <v>25</v>
      </c>
      <c r="C38" s="257"/>
      <c r="D38" s="9" t="s">
        <v>9</v>
      </c>
      <c r="E38" s="248">
        <v>3</v>
      </c>
      <c r="F38" s="254" t="s">
        <v>29</v>
      </c>
      <c r="G38"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8"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9" spans="1:8" ht="16.5" thickTop="1" thickBot="1">
      <c r="A39" s="247">
        <v>11</v>
      </c>
      <c r="B39" s="9" t="s">
        <v>26</v>
      </c>
      <c r="C39" s="257"/>
      <c r="D39" s="9" t="s">
        <v>9</v>
      </c>
      <c r="E39" s="248">
        <v>3</v>
      </c>
      <c r="F39" s="254" t="s">
        <v>29</v>
      </c>
      <c r="G39"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49464</v>
      </c>
      <c r="H39"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5.1495372178509162E-3</v>
      </c>
    </row>
    <row r="40" spans="1:8" ht="14.25" thickTop="1" thickBot="1">
      <c r="A40" s="247">
        <v>12</v>
      </c>
      <c r="B40" s="9" t="s">
        <v>27</v>
      </c>
      <c r="C40" s="35"/>
      <c r="D40" s="9" t="s">
        <v>19</v>
      </c>
      <c r="E40" s="248">
        <v>3</v>
      </c>
      <c r="F40" s="254" t="s">
        <v>29</v>
      </c>
      <c r="G40"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23233</v>
      </c>
      <c r="H40"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0.9825671277207032</v>
      </c>
    </row>
    <row r="41" spans="1:8" ht="16.5" thickTop="1" thickBot="1">
      <c r="A41" s="256">
        <v>0</v>
      </c>
      <c r="B41" s="51" t="s">
        <v>8</v>
      </c>
      <c r="C41" s="257"/>
      <c r="D41" s="249" t="s">
        <v>9</v>
      </c>
      <c r="E41" s="252">
        <v>4</v>
      </c>
      <c r="F41" s="253" t="s">
        <v>30</v>
      </c>
      <c r="G41" s="246">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255">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6.5" thickTop="1" thickBot="1">
      <c r="A42" s="247">
        <v>1</v>
      </c>
      <c r="B42" s="9" t="s">
        <v>11</v>
      </c>
      <c r="C42" s="257"/>
      <c r="D42" s="9" t="s">
        <v>9</v>
      </c>
      <c r="E42" s="248">
        <v>4</v>
      </c>
      <c r="F42" s="254" t="s">
        <v>30</v>
      </c>
      <c r="G42"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5323</v>
      </c>
      <c r="H42"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2.0755195977881966</v>
      </c>
    </row>
    <row r="43" spans="1:8" ht="16.5" thickTop="1" thickBot="1">
      <c r="A43" s="247">
        <v>2</v>
      </c>
      <c r="B43" s="9" t="s">
        <v>12</v>
      </c>
      <c r="C43" s="257" t="s">
        <v>13</v>
      </c>
      <c r="D43" s="9" t="s">
        <v>9</v>
      </c>
      <c r="E43" s="248">
        <v>4</v>
      </c>
      <c r="F43" s="254" t="s">
        <v>30</v>
      </c>
      <c r="G43"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3" s="255"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4" spans="1:8" ht="16.5" thickTop="1" thickBot="1">
      <c r="A44" s="247">
        <v>3</v>
      </c>
      <c r="B44" s="9" t="s">
        <v>14</v>
      </c>
      <c r="C44" s="257"/>
      <c r="D44" s="9" t="s">
        <v>9</v>
      </c>
      <c r="E44" s="248">
        <v>4</v>
      </c>
      <c r="F44" s="254" t="s">
        <v>30</v>
      </c>
      <c r="G44"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4" s="255"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5" spans="1:8" ht="16.5" thickTop="1" thickBot="1">
      <c r="A45" s="247">
        <v>4</v>
      </c>
      <c r="B45" s="9" t="s">
        <v>15</v>
      </c>
      <c r="C45" s="257" t="s">
        <v>16</v>
      </c>
      <c r="D45" s="9" t="s">
        <v>9</v>
      </c>
      <c r="E45" s="248">
        <v>4</v>
      </c>
      <c r="F45" s="254" t="s">
        <v>30</v>
      </c>
      <c r="G45"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5" s="255"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6" spans="1:8" ht="16.5" thickTop="1" thickBot="1">
      <c r="A46" s="247">
        <v>5</v>
      </c>
      <c r="B46" s="9" t="s">
        <v>17</v>
      </c>
      <c r="C46" s="257" t="s">
        <v>18</v>
      </c>
      <c r="D46" s="9" t="s">
        <v>19</v>
      </c>
      <c r="E46" s="248">
        <v>4</v>
      </c>
      <c r="F46" s="254" t="s">
        <v>30</v>
      </c>
      <c r="G46"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16958</v>
      </c>
      <c r="H46"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0.71205822024494414</v>
      </c>
    </row>
    <row r="47" spans="1:8" ht="16.5" thickTop="1" thickBot="1">
      <c r="A47" s="247">
        <v>6</v>
      </c>
      <c r="B47" s="9" t="s">
        <v>20</v>
      </c>
      <c r="C47" s="257" t="s">
        <v>18</v>
      </c>
      <c r="D47" s="9" t="s">
        <v>9</v>
      </c>
      <c r="E47" s="248">
        <v>4</v>
      </c>
      <c r="F47" s="254" t="s">
        <v>30</v>
      </c>
      <c r="G47"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293</v>
      </c>
      <c r="H47"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8.8960863947868341E-2</v>
      </c>
    </row>
    <row r="48" spans="1:8" ht="16.5" thickTop="1" thickBot="1">
      <c r="A48" s="247">
        <v>7</v>
      </c>
      <c r="B48" s="9" t="s">
        <v>21</v>
      </c>
      <c r="C48" s="257" t="s">
        <v>22</v>
      </c>
      <c r="D48" s="9" t="s">
        <v>19</v>
      </c>
      <c r="E48" s="248">
        <v>4</v>
      </c>
      <c r="F48" s="254" t="s">
        <v>30</v>
      </c>
      <c r="G48"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8613</v>
      </c>
      <c r="H48"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9" spans="1:8" ht="16.5" thickTop="1" thickBot="1">
      <c r="A49" s="247">
        <v>8</v>
      </c>
      <c r="B49" s="9" t="s">
        <v>23</v>
      </c>
      <c r="C49" s="257" t="s">
        <v>22</v>
      </c>
      <c r="D49" s="9" t="s">
        <v>9</v>
      </c>
      <c r="E49" s="248">
        <v>4</v>
      </c>
      <c r="F49" s="254" t="s">
        <v>30</v>
      </c>
      <c r="G49"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2499</v>
      </c>
      <c r="H49"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0.13921704090000001</v>
      </c>
    </row>
    <row r="50" spans="1:8" ht="16.5" thickTop="1" thickBot="1">
      <c r="A50" s="247">
        <v>9</v>
      </c>
      <c r="B50" s="9" t="s">
        <v>24</v>
      </c>
      <c r="C50" s="257"/>
      <c r="D50" s="9" t="s">
        <v>9</v>
      </c>
      <c r="E50" s="248">
        <v>4</v>
      </c>
      <c r="F50" s="254" t="s">
        <v>30</v>
      </c>
      <c r="G50"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0"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1" spans="1:8" ht="16.5" thickTop="1" thickBot="1">
      <c r="A51" s="247">
        <v>10</v>
      </c>
      <c r="B51" s="9" t="s">
        <v>25</v>
      </c>
      <c r="C51" s="257"/>
      <c r="D51" s="9" t="s">
        <v>9</v>
      </c>
      <c r="E51" s="248">
        <v>4</v>
      </c>
      <c r="F51" s="254" t="s">
        <v>30</v>
      </c>
      <c r="G51"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1"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2" spans="1:8" ht="16.5" thickTop="1" thickBot="1">
      <c r="A52" s="247">
        <v>11</v>
      </c>
      <c r="B52" s="9" t="s">
        <v>26</v>
      </c>
      <c r="C52" s="257"/>
      <c r="D52" s="9" t="s">
        <v>9</v>
      </c>
      <c r="E52" s="248">
        <v>4</v>
      </c>
      <c r="F52" s="254" t="s">
        <v>30</v>
      </c>
      <c r="G52"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47869</v>
      </c>
      <c r="H52"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2.5417313660126003E-2</v>
      </c>
    </row>
    <row r="53" spans="1:8" ht="14.25" thickTop="1" thickBot="1">
      <c r="A53" s="247">
        <v>12</v>
      </c>
      <c r="B53" s="9" t="s">
        <v>27</v>
      </c>
      <c r="C53" s="35"/>
      <c r="D53" s="9" t="s">
        <v>19</v>
      </c>
      <c r="E53" s="248">
        <v>4</v>
      </c>
      <c r="F53" s="254" t="s">
        <v>30</v>
      </c>
      <c r="G53"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22088</v>
      </c>
      <c r="H53"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0.69595816707281388</v>
      </c>
    </row>
    <row r="54" spans="1:8" ht="16.5" thickTop="1" thickBot="1">
      <c r="A54" s="256">
        <v>0</v>
      </c>
      <c r="B54" s="51" t="s">
        <v>8</v>
      </c>
      <c r="C54" s="257"/>
      <c r="D54" s="249" t="s">
        <v>9</v>
      </c>
      <c r="E54" s="252">
        <v>5</v>
      </c>
      <c r="F54" s="253" t="s">
        <v>31</v>
      </c>
      <c r="G54" s="246">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255">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6.5" thickTop="1" thickBot="1">
      <c r="A55" s="247">
        <v>1</v>
      </c>
      <c r="B55" s="9" t="s">
        <v>11</v>
      </c>
      <c r="C55" s="257"/>
      <c r="D55" s="9" t="s">
        <v>9</v>
      </c>
      <c r="E55" s="248">
        <v>5</v>
      </c>
      <c r="F55" s="254" t="s">
        <v>31</v>
      </c>
      <c r="G55"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5256</v>
      </c>
      <c r="H55"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2.1975888066818539</v>
      </c>
    </row>
    <row r="56" spans="1:8" ht="16.5" thickTop="1" thickBot="1">
      <c r="A56" s="247">
        <v>2</v>
      </c>
      <c r="B56" s="9" t="s">
        <v>12</v>
      </c>
      <c r="C56" s="257" t="s">
        <v>13</v>
      </c>
      <c r="D56" s="9" t="s">
        <v>9</v>
      </c>
      <c r="E56" s="248">
        <v>5</v>
      </c>
      <c r="F56" s="254" t="s">
        <v>31</v>
      </c>
      <c r="G56"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6" s="255"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7" spans="1:8" ht="16.5" thickTop="1" thickBot="1">
      <c r="A57" s="247">
        <v>3</v>
      </c>
      <c r="B57" s="9" t="s">
        <v>14</v>
      </c>
      <c r="C57" s="257"/>
      <c r="D57" s="9" t="s">
        <v>9</v>
      </c>
      <c r="E57" s="248">
        <v>5</v>
      </c>
      <c r="F57" s="254" t="s">
        <v>31</v>
      </c>
      <c r="G57"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7" s="255"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8" spans="1:8" ht="16.5" thickTop="1" thickBot="1">
      <c r="A58" s="247">
        <v>4</v>
      </c>
      <c r="B58" s="9" t="s">
        <v>15</v>
      </c>
      <c r="C58" s="257" t="s">
        <v>16</v>
      </c>
      <c r="D58" s="9" t="s">
        <v>9</v>
      </c>
      <c r="E58" s="248">
        <v>5</v>
      </c>
      <c r="F58" s="254" t="s">
        <v>31</v>
      </c>
      <c r="G58"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8" s="255"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9" spans="1:8" ht="16.5" thickTop="1" thickBot="1">
      <c r="A59" s="247">
        <v>5</v>
      </c>
      <c r="B59" s="9" t="s">
        <v>17</v>
      </c>
      <c r="C59" s="257" t="s">
        <v>18</v>
      </c>
      <c r="D59" s="9" t="s">
        <v>19</v>
      </c>
      <c r="E59" s="248">
        <v>5</v>
      </c>
      <c r="F59" s="254" t="s">
        <v>31</v>
      </c>
      <c r="G59"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17137</v>
      </c>
      <c r="H59"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1.3195377569571136</v>
      </c>
    </row>
    <row r="60" spans="1:8" ht="16.5" thickTop="1" thickBot="1">
      <c r="A60" s="247">
        <v>6</v>
      </c>
      <c r="B60" s="9" t="s">
        <v>20</v>
      </c>
      <c r="C60" s="257" t="s">
        <v>18</v>
      </c>
      <c r="D60" s="9" t="s">
        <v>9</v>
      </c>
      <c r="E60" s="248">
        <v>5</v>
      </c>
      <c r="F60" s="254" t="s">
        <v>31</v>
      </c>
      <c r="G60"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291</v>
      </c>
      <c r="H60"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0.12720945364236833</v>
      </c>
    </row>
    <row r="61" spans="1:8" ht="16.5" thickTop="1" thickBot="1">
      <c r="A61" s="247">
        <v>7</v>
      </c>
      <c r="B61" s="9" t="s">
        <v>21</v>
      </c>
      <c r="C61" s="257" t="s">
        <v>22</v>
      </c>
      <c r="D61" s="9" t="s">
        <v>19</v>
      </c>
      <c r="E61" s="248">
        <v>5</v>
      </c>
      <c r="F61" s="254" t="s">
        <v>31</v>
      </c>
      <c r="G61"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8491</v>
      </c>
      <c r="H61"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0.2001473047</v>
      </c>
    </row>
    <row r="62" spans="1:8" ht="16.5" thickTop="1" thickBot="1">
      <c r="A62" s="247">
        <v>8</v>
      </c>
      <c r="B62" s="9" t="s">
        <v>23</v>
      </c>
      <c r="C62" s="257" t="s">
        <v>22</v>
      </c>
      <c r="D62" s="9" t="s">
        <v>9</v>
      </c>
      <c r="E62" s="248">
        <v>5</v>
      </c>
      <c r="F62" s="254" t="s">
        <v>31</v>
      </c>
      <c r="G62"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2473</v>
      </c>
      <c r="H62"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0.19790751289999997</v>
      </c>
    </row>
    <row r="63" spans="1:8" ht="16.5" thickTop="1" thickBot="1">
      <c r="A63" s="247">
        <v>9</v>
      </c>
      <c r="B63" s="9" t="s">
        <v>24</v>
      </c>
      <c r="C63" s="257"/>
      <c r="D63" s="9" t="s">
        <v>9</v>
      </c>
      <c r="E63" s="248">
        <v>5</v>
      </c>
      <c r="F63" s="254" t="s">
        <v>31</v>
      </c>
      <c r="G63"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3"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4" spans="1:8" ht="16.5" thickTop="1" thickBot="1">
      <c r="A64" s="247">
        <v>10</v>
      </c>
      <c r="B64" s="9" t="s">
        <v>25</v>
      </c>
      <c r="C64" s="257"/>
      <c r="D64" s="9" t="s">
        <v>9</v>
      </c>
      <c r="E64" s="248">
        <v>5</v>
      </c>
      <c r="F64" s="254" t="s">
        <v>31</v>
      </c>
      <c r="G64"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4"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5" spans="1:8" ht="16.5" thickTop="1" thickBot="1">
      <c r="A65" s="247">
        <v>11</v>
      </c>
      <c r="B65" s="9" t="s">
        <v>26</v>
      </c>
      <c r="C65" s="257"/>
      <c r="D65" s="9" t="s">
        <v>9</v>
      </c>
      <c r="E65" s="248">
        <v>5</v>
      </c>
      <c r="F65" s="254" t="s">
        <v>31</v>
      </c>
      <c r="G65"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48945</v>
      </c>
      <c r="H65"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9.2590099199680975E-2</v>
      </c>
    </row>
    <row r="66" spans="1:8" ht="14.25" thickTop="1" thickBot="1">
      <c r="A66" s="247">
        <v>12</v>
      </c>
      <c r="B66" s="9" t="s">
        <v>27</v>
      </c>
      <c r="C66" s="35"/>
      <c r="D66" s="9" t="s">
        <v>19</v>
      </c>
      <c r="E66" s="248">
        <v>5</v>
      </c>
      <c r="F66" s="254" t="s">
        <v>31</v>
      </c>
      <c r="G66"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12623</v>
      </c>
      <c r="H66"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0.40837835693995023</v>
      </c>
    </row>
    <row r="67" spans="1:8" ht="16.5" thickTop="1" thickBot="1">
      <c r="A67" s="256">
        <v>0</v>
      </c>
      <c r="B67" s="51" t="s">
        <v>8</v>
      </c>
      <c r="C67" s="257"/>
      <c r="D67" s="249" t="s">
        <v>9</v>
      </c>
      <c r="E67" s="252">
        <v>6</v>
      </c>
      <c r="F67" s="253" t="s">
        <v>32</v>
      </c>
      <c r="G67" s="246">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255">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6.5" thickTop="1" thickBot="1">
      <c r="A68" s="247">
        <v>1</v>
      </c>
      <c r="B68" s="9" t="s">
        <v>11</v>
      </c>
      <c r="C68" s="257"/>
      <c r="D68" s="9" t="s">
        <v>9</v>
      </c>
      <c r="E68" s="248">
        <v>6</v>
      </c>
      <c r="F68" s="254" t="s">
        <v>32</v>
      </c>
      <c r="G68"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5267</v>
      </c>
      <c r="H68"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2.2395922830296446</v>
      </c>
    </row>
    <row r="69" spans="1:8" ht="16.5" thickTop="1" thickBot="1">
      <c r="A69" s="247">
        <v>2</v>
      </c>
      <c r="B69" s="9" t="s">
        <v>12</v>
      </c>
      <c r="C69" s="257" t="s">
        <v>13</v>
      </c>
      <c r="D69" s="9" t="s">
        <v>9</v>
      </c>
      <c r="E69" s="248">
        <v>6</v>
      </c>
      <c r="F69" s="254" t="s">
        <v>32</v>
      </c>
      <c r="G69"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69" s="255"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0" spans="1:8" ht="16.5" thickTop="1" thickBot="1">
      <c r="A70" s="247">
        <v>3</v>
      </c>
      <c r="B70" s="9" t="s">
        <v>14</v>
      </c>
      <c r="C70" s="257"/>
      <c r="D70" s="9" t="s">
        <v>9</v>
      </c>
      <c r="E70" s="248">
        <v>6</v>
      </c>
      <c r="F70" s="254" t="s">
        <v>32</v>
      </c>
      <c r="G70"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0" s="255"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1" spans="1:8" ht="16.5" thickTop="1" thickBot="1">
      <c r="A71" s="247">
        <v>4</v>
      </c>
      <c r="B71" s="9" t="s">
        <v>15</v>
      </c>
      <c r="C71" s="257" t="s">
        <v>16</v>
      </c>
      <c r="D71" s="9" t="s">
        <v>9</v>
      </c>
      <c r="E71" s="248">
        <v>6</v>
      </c>
      <c r="F71" s="254" t="s">
        <v>32</v>
      </c>
      <c r="G71"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1" s="255"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2" spans="1:8" ht="16.5" thickTop="1" thickBot="1">
      <c r="A72" s="247">
        <v>5</v>
      </c>
      <c r="B72" s="9" t="s">
        <v>17</v>
      </c>
      <c r="C72" s="257" t="s">
        <v>18</v>
      </c>
      <c r="D72" s="9" t="s">
        <v>19</v>
      </c>
      <c r="E72" s="248">
        <v>6</v>
      </c>
      <c r="F72" s="254" t="s">
        <v>32</v>
      </c>
      <c r="G72"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17219</v>
      </c>
      <c r="H72"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0.88752894243225455</v>
      </c>
    </row>
    <row r="73" spans="1:8" ht="16.5" thickTop="1" thickBot="1">
      <c r="A73" s="247">
        <v>6</v>
      </c>
      <c r="B73" s="9" t="s">
        <v>20</v>
      </c>
      <c r="C73" s="257" t="s">
        <v>18</v>
      </c>
      <c r="D73" s="9" t="s">
        <v>9</v>
      </c>
      <c r="E73" s="248">
        <v>6</v>
      </c>
      <c r="F73" s="254" t="s">
        <v>32</v>
      </c>
      <c r="G73"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272</v>
      </c>
      <c r="H73"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8.4633955001831046E-2</v>
      </c>
    </row>
    <row r="74" spans="1:8" ht="16.5" thickTop="1" thickBot="1">
      <c r="A74" s="247">
        <v>7</v>
      </c>
      <c r="B74" s="9" t="s">
        <v>21</v>
      </c>
      <c r="C74" s="257" t="s">
        <v>22</v>
      </c>
      <c r="D74" s="9" t="s">
        <v>19</v>
      </c>
      <c r="E74" s="248">
        <v>6</v>
      </c>
      <c r="F74" s="254" t="s">
        <v>32</v>
      </c>
      <c r="G74"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8414</v>
      </c>
      <c r="H74"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5" spans="1:8" ht="16.5" thickTop="1" thickBot="1">
      <c r="A75" s="247">
        <v>8</v>
      </c>
      <c r="B75" s="9" t="s">
        <v>23</v>
      </c>
      <c r="C75" s="257" t="s">
        <v>22</v>
      </c>
      <c r="D75" s="9" t="s">
        <v>9</v>
      </c>
      <c r="E75" s="248">
        <v>6</v>
      </c>
      <c r="F75" s="254" t="s">
        <v>32</v>
      </c>
      <c r="G75"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2443</v>
      </c>
      <c r="H75"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0.1495638802</v>
      </c>
    </row>
    <row r="76" spans="1:8" ht="16.5" thickTop="1" thickBot="1">
      <c r="A76" s="247">
        <v>9</v>
      </c>
      <c r="B76" s="9" t="s">
        <v>24</v>
      </c>
      <c r="C76" s="257"/>
      <c r="D76" s="9" t="s">
        <v>9</v>
      </c>
      <c r="E76" s="248">
        <v>6</v>
      </c>
      <c r="F76" s="254" t="s">
        <v>32</v>
      </c>
      <c r="G76"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6"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7" spans="1:8" ht="16.5" thickTop="1" thickBot="1">
      <c r="A77" s="247">
        <v>10</v>
      </c>
      <c r="B77" s="9" t="s">
        <v>25</v>
      </c>
      <c r="C77" s="257"/>
      <c r="D77" s="9" t="s">
        <v>9</v>
      </c>
      <c r="E77" s="248">
        <v>6</v>
      </c>
      <c r="F77" s="254" t="s">
        <v>32</v>
      </c>
      <c r="G77"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7"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8" spans="1:8" ht="16.5" thickTop="1" thickBot="1">
      <c r="A78" s="247">
        <v>11</v>
      </c>
      <c r="B78" s="9" t="s">
        <v>26</v>
      </c>
      <c r="C78" s="257"/>
      <c r="D78" s="9" t="s">
        <v>9</v>
      </c>
      <c r="E78" s="248">
        <v>6</v>
      </c>
      <c r="F78" s="254" t="s">
        <v>32</v>
      </c>
      <c r="G78"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48945</v>
      </c>
      <c r="H78"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3.9979258320310504E-2</v>
      </c>
    </row>
    <row r="79" spans="1:8" ht="14.25" thickTop="1" thickBot="1">
      <c r="A79" s="247">
        <v>12</v>
      </c>
      <c r="B79" s="9" t="s">
        <v>27</v>
      </c>
      <c r="C79" s="35"/>
      <c r="D79" s="9" t="s">
        <v>19</v>
      </c>
      <c r="E79" s="248">
        <v>6</v>
      </c>
      <c r="F79" s="254" t="s">
        <v>32</v>
      </c>
      <c r="G79"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13061</v>
      </c>
      <c r="H79"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1.4023655597744806</v>
      </c>
    </row>
    <row r="80" spans="1:8" ht="16.5" thickTop="1" thickBot="1">
      <c r="A80" s="256">
        <v>0</v>
      </c>
      <c r="B80" s="51" t="s">
        <v>8</v>
      </c>
      <c r="C80" s="257"/>
      <c r="D80" s="249" t="s">
        <v>9</v>
      </c>
      <c r="E80" s="252">
        <v>7</v>
      </c>
      <c r="F80" s="253" t="s">
        <v>33</v>
      </c>
      <c r="G80" s="246">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255">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6.5" thickTop="1" thickBot="1">
      <c r="A81" s="247">
        <v>1</v>
      </c>
      <c r="B81" s="9" t="s">
        <v>11</v>
      </c>
      <c r="C81" s="257"/>
      <c r="D81" s="9" t="s">
        <v>9</v>
      </c>
      <c r="E81" s="248">
        <v>7</v>
      </c>
      <c r="F81" s="254" t="s">
        <v>33</v>
      </c>
      <c r="G81"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5198</v>
      </c>
      <c r="H81" s="255">
        <f>VLOOKUP(BUReporting[[#This Row],[Program]],'Program MW '!$A$34:$S$45,3,FALSE)</f>
        <v>2.7025158580675708</v>
      </c>
    </row>
    <row r="82" spans="1:8" ht="16.5" thickTop="1" thickBot="1">
      <c r="A82" s="247">
        <v>2</v>
      </c>
      <c r="B82" s="9" t="s">
        <v>12</v>
      </c>
      <c r="C82" s="257" t="s">
        <v>13</v>
      </c>
      <c r="D82" s="9" t="s">
        <v>9</v>
      </c>
      <c r="E82" s="248">
        <v>7</v>
      </c>
      <c r="F82" s="254" t="s">
        <v>33</v>
      </c>
      <c r="G82" s="246"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2" s="255" t="e">
        <f>VLOOKUP(BUReporting[[#This Row],[Program]],'Program MW '!$A$34:$S$45,3,FALSE)</f>
        <v>#N/A</v>
      </c>
    </row>
    <row r="83" spans="1:8" ht="16.5" thickTop="1" thickBot="1">
      <c r="A83" s="247">
        <v>3</v>
      </c>
      <c r="B83" s="9" t="s">
        <v>14</v>
      </c>
      <c r="C83" s="257"/>
      <c r="D83" s="9" t="s">
        <v>9</v>
      </c>
      <c r="E83" s="248">
        <v>7</v>
      </c>
      <c r="F83" s="254" t="s">
        <v>33</v>
      </c>
      <c r="G83" s="246"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3" s="255" t="e">
        <f>VLOOKUP(BUReporting[[#This Row],[Program]],'Program MW '!$A$34:$S$45,3,FALSE)</f>
        <v>#N/A</v>
      </c>
    </row>
    <row r="84" spans="1:8" ht="16.5" thickTop="1" thickBot="1">
      <c r="A84" s="247">
        <v>4</v>
      </c>
      <c r="B84" s="9" t="s">
        <v>15</v>
      </c>
      <c r="C84" s="257" t="s">
        <v>16</v>
      </c>
      <c r="D84" s="9" t="s">
        <v>9</v>
      </c>
      <c r="E84" s="248">
        <v>7</v>
      </c>
      <c r="F84" s="254" t="s">
        <v>33</v>
      </c>
      <c r="G84" s="246"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4" s="255" t="e">
        <f>VLOOKUP(BUReporting[[#This Row],[Program]],'Program MW '!$A$34:$S$45,3,FALSE)</f>
        <v>#N/A</v>
      </c>
    </row>
    <row r="85" spans="1:8" ht="16.5" thickTop="1" thickBot="1">
      <c r="A85" s="247">
        <v>5</v>
      </c>
      <c r="B85" s="9" t="s">
        <v>17</v>
      </c>
      <c r="C85" s="257" t="s">
        <v>18</v>
      </c>
      <c r="D85" s="9" t="s">
        <v>19</v>
      </c>
      <c r="E85" s="248">
        <v>7</v>
      </c>
      <c r="F85" s="254" t="s">
        <v>33</v>
      </c>
      <c r="G85"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17808</v>
      </c>
      <c r="H85" s="255">
        <f>VLOOKUP(BUReporting[[#This Row],[Program]],'Program MW '!$A$34:$S$45,3,FALSE)</f>
        <v>2.5532816061973573</v>
      </c>
    </row>
    <row r="86" spans="1:8" ht="16.5" thickTop="1" thickBot="1">
      <c r="A86" s="247">
        <v>6</v>
      </c>
      <c r="B86" s="9" t="s">
        <v>20</v>
      </c>
      <c r="C86" s="257" t="s">
        <v>18</v>
      </c>
      <c r="D86" s="9" t="s">
        <v>9</v>
      </c>
      <c r="E86" s="248">
        <v>7</v>
      </c>
      <c r="F86" s="254" t="s">
        <v>33</v>
      </c>
      <c r="G86"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164</v>
      </c>
      <c r="H86" s="255">
        <f>VLOOKUP(BUReporting[[#This Row],[Program]],'Program MW '!$A$34:$S$45,3,FALSE)</f>
        <v>0.12479035019874574</v>
      </c>
    </row>
    <row r="87" spans="1:8" ht="16.5" thickTop="1" thickBot="1">
      <c r="A87" s="247">
        <v>7</v>
      </c>
      <c r="B87" s="9" t="s">
        <v>21</v>
      </c>
      <c r="C87" s="257" t="s">
        <v>22</v>
      </c>
      <c r="D87" s="9" t="s">
        <v>19</v>
      </c>
      <c r="E87" s="248">
        <v>7</v>
      </c>
      <c r="F87" s="254" t="s">
        <v>33</v>
      </c>
      <c r="G87"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8337</v>
      </c>
      <c r="H87" s="255">
        <f>VLOOKUP(BUReporting[[#This Row],[Program]],'Program MW '!$A$34:$S$45,3,FALSE)</f>
        <v>1.2175654932</v>
      </c>
    </row>
    <row r="88" spans="1:8" ht="16.5" thickTop="1" thickBot="1">
      <c r="A88" s="247">
        <v>8</v>
      </c>
      <c r="B88" s="9" t="s">
        <v>23</v>
      </c>
      <c r="C88" s="257" t="s">
        <v>22</v>
      </c>
      <c r="D88" s="9" t="s">
        <v>9</v>
      </c>
      <c r="E88" s="248">
        <v>7</v>
      </c>
      <c r="F88" s="254" t="s">
        <v>33</v>
      </c>
      <c r="G88"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2413</v>
      </c>
      <c r="H88" s="255">
        <f>VLOOKUP(BUReporting[[#This Row],[Program]],'Program MW '!$A$34:$S$45,3,FALSE)</f>
        <v>0.30651880530000003</v>
      </c>
    </row>
    <row r="89" spans="1:8" ht="16.5" thickTop="1" thickBot="1">
      <c r="A89" s="247">
        <v>9</v>
      </c>
      <c r="B89" s="9" t="s">
        <v>24</v>
      </c>
      <c r="C89" s="257"/>
      <c r="D89" s="9" t="s">
        <v>9</v>
      </c>
      <c r="E89" s="248">
        <v>7</v>
      </c>
      <c r="F89" s="254" t="s">
        <v>33</v>
      </c>
      <c r="G89"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9" s="255">
        <f>VLOOKUP(BUReporting[[#This Row],[Program]],'Program MW '!$A$34:$S$45,3,FALSE)</f>
        <v>0</v>
      </c>
    </row>
    <row r="90" spans="1:8" ht="16.5" thickTop="1" thickBot="1">
      <c r="A90" s="247">
        <v>10</v>
      </c>
      <c r="B90" s="9" t="s">
        <v>25</v>
      </c>
      <c r="C90" s="257"/>
      <c r="D90" s="9" t="s">
        <v>9</v>
      </c>
      <c r="E90" s="248">
        <v>7</v>
      </c>
      <c r="F90" s="254" t="s">
        <v>33</v>
      </c>
      <c r="G90"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0" s="255">
        <f>VLOOKUP(BUReporting[[#This Row],[Program]],'Program MW '!$A$34:$S$45,3,FALSE)</f>
        <v>0</v>
      </c>
    </row>
    <row r="91" spans="1:8" ht="16.5" thickTop="1" thickBot="1">
      <c r="A91" s="247">
        <v>11</v>
      </c>
      <c r="B91" s="9" t="s">
        <v>26</v>
      </c>
      <c r="C91" s="257"/>
      <c r="D91" s="9" t="s">
        <v>9</v>
      </c>
      <c r="E91" s="248">
        <v>7</v>
      </c>
      <c r="F91" s="254" t="s">
        <v>33</v>
      </c>
      <c r="G91"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47441</v>
      </c>
      <c r="H91" s="255">
        <f>VLOOKUP(BUReporting[[#This Row],[Program]],'Program MW '!$A$34:$S$45,3,FALSE)</f>
        <v>0.14042934024990605</v>
      </c>
    </row>
    <row r="92" spans="1:8" ht="14.25" thickTop="1" thickBot="1">
      <c r="A92" s="247">
        <v>12</v>
      </c>
      <c r="B92" s="9" t="s">
        <v>27</v>
      </c>
      <c r="C92" s="35"/>
      <c r="D92" s="9" t="s">
        <v>19</v>
      </c>
      <c r="E92" s="248">
        <v>7</v>
      </c>
      <c r="F92" s="254" t="s">
        <v>33</v>
      </c>
      <c r="G92"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12318</v>
      </c>
      <c r="H92" s="255">
        <f>VLOOKUP(BUReporting[[#This Row],[Program]],'Program MW '!$A$34:$S$45,3,FALSE)</f>
        <v>1.6515534122775035</v>
      </c>
    </row>
    <row r="93" spans="1:8" ht="16.5" thickTop="1" thickBot="1">
      <c r="A93" s="256">
        <v>0</v>
      </c>
      <c r="B93" s="51" t="s">
        <v>8</v>
      </c>
      <c r="C93" s="257"/>
      <c r="D93" s="249" t="s">
        <v>9</v>
      </c>
      <c r="E93" s="252">
        <v>8</v>
      </c>
      <c r="F93" s="253" t="s">
        <v>34</v>
      </c>
      <c r="G93" s="246">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255">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6.5" thickTop="1" thickBot="1">
      <c r="A94" s="247">
        <v>1</v>
      </c>
      <c r="B94" s="9" t="s">
        <v>11</v>
      </c>
      <c r="C94" s="257"/>
      <c r="D94" s="9" t="s">
        <v>9</v>
      </c>
      <c r="E94" s="248">
        <v>8</v>
      </c>
      <c r="F94" s="254" t="s">
        <v>34</v>
      </c>
      <c r="G94"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5227</v>
      </c>
      <c r="H94" s="255">
        <f>VLOOKUP(BUReporting[[#This Row],[Program]],'Program MW '!$A$34:$S$45,6,FALSE)</f>
        <v>3.0162557216475916</v>
      </c>
    </row>
    <row r="95" spans="1:8" ht="16.5" thickTop="1" thickBot="1">
      <c r="A95" s="247">
        <v>2</v>
      </c>
      <c r="B95" s="9" t="s">
        <v>12</v>
      </c>
      <c r="C95" s="257" t="s">
        <v>13</v>
      </c>
      <c r="D95" s="9" t="s">
        <v>9</v>
      </c>
      <c r="E95" s="248">
        <v>8</v>
      </c>
      <c r="F95" s="254" t="s">
        <v>34</v>
      </c>
      <c r="G95" s="246"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5" s="255" t="e">
        <f>VLOOKUP(BUReporting[[#This Row],[Program]],'Program MW '!$A$34:$S$45,6,FALSE)</f>
        <v>#N/A</v>
      </c>
    </row>
    <row r="96" spans="1:8" ht="16.5" thickTop="1" thickBot="1">
      <c r="A96" s="247">
        <v>3</v>
      </c>
      <c r="B96" s="9" t="s">
        <v>14</v>
      </c>
      <c r="C96" s="257"/>
      <c r="D96" s="9" t="s">
        <v>9</v>
      </c>
      <c r="E96" s="248">
        <v>8</v>
      </c>
      <c r="F96" s="254" t="s">
        <v>34</v>
      </c>
      <c r="G96" s="246"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6" s="255" t="e">
        <f>VLOOKUP(BUReporting[[#This Row],[Program]],'Program MW '!$A$34:$S$45,6,FALSE)</f>
        <v>#N/A</v>
      </c>
    </row>
    <row r="97" spans="1:8" ht="16.5" thickTop="1" thickBot="1">
      <c r="A97" s="247">
        <v>4</v>
      </c>
      <c r="B97" s="9" t="s">
        <v>15</v>
      </c>
      <c r="C97" s="257" t="s">
        <v>16</v>
      </c>
      <c r="D97" s="9" t="s">
        <v>9</v>
      </c>
      <c r="E97" s="248">
        <v>8</v>
      </c>
      <c r="F97" s="254" t="s">
        <v>34</v>
      </c>
      <c r="G97" s="246"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7" s="255" t="e">
        <f>VLOOKUP(BUReporting[[#This Row],[Program]],'Program MW '!$A$34:$S$45,6,FALSE)</f>
        <v>#N/A</v>
      </c>
    </row>
    <row r="98" spans="1:8" ht="16.5" thickTop="1" thickBot="1">
      <c r="A98" s="247">
        <v>5</v>
      </c>
      <c r="B98" s="9" t="s">
        <v>17</v>
      </c>
      <c r="C98" s="257" t="s">
        <v>18</v>
      </c>
      <c r="D98" s="9" t="s">
        <v>19</v>
      </c>
      <c r="E98" s="248">
        <v>8</v>
      </c>
      <c r="F98" s="254" t="s">
        <v>34</v>
      </c>
      <c r="G98"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18625</v>
      </c>
      <c r="H98" s="255">
        <f>VLOOKUP(BUReporting[[#This Row],[Program]],'Program MW '!$A$34:$S$45,6,FALSE)</f>
        <v>3.3838093131780624</v>
      </c>
    </row>
    <row r="99" spans="1:8" ht="16.5" thickTop="1" thickBot="1">
      <c r="A99" s="247">
        <v>6</v>
      </c>
      <c r="B99" s="9" t="s">
        <v>20</v>
      </c>
      <c r="C99" s="257" t="s">
        <v>18</v>
      </c>
      <c r="D99" s="9" t="s">
        <v>9</v>
      </c>
      <c r="E99" s="248">
        <v>8</v>
      </c>
      <c r="F99" s="254" t="s">
        <v>34</v>
      </c>
      <c r="G99"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164</v>
      </c>
      <c r="H99" s="255">
        <f>VLOOKUP(BUReporting[[#This Row],[Program]],'Program MW '!$A$34:$S$45,6,FALSE)</f>
        <v>0.15125869250297547</v>
      </c>
    </row>
    <row r="100" spans="1:8" ht="16.5" thickTop="1" thickBot="1">
      <c r="A100" s="247">
        <v>7</v>
      </c>
      <c r="B100" s="9" t="s">
        <v>21</v>
      </c>
      <c r="C100" s="257" t="s">
        <v>22</v>
      </c>
      <c r="D100" s="9" t="s">
        <v>19</v>
      </c>
      <c r="E100" s="248">
        <v>8</v>
      </c>
      <c r="F100" s="254" t="s">
        <v>34</v>
      </c>
      <c r="G100"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8223</v>
      </c>
      <c r="H100" s="255">
        <f>VLOOKUP(BUReporting[[#This Row],[Program]],'Program MW '!$A$34:$S$45,6,FALSE)</f>
        <v>1.8634049847</v>
      </c>
    </row>
    <row r="101" spans="1:8" ht="16.5" thickTop="1" thickBot="1">
      <c r="A101" s="247">
        <v>8</v>
      </c>
      <c r="B101" s="9" t="s">
        <v>23</v>
      </c>
      <c r="C101" s="257" t="s">
        <v>22</v>
      </c>
      <c r="D101" s="9" t="s">
        <v>9</v>
      </c>
      <c r="E101" s="248">
        <v>8</v>
      </c>
      <c r="F101" s="254" t="s">
        <v>34</v>
      </c>
      <c r="G101"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2380</v>
      </c>
      <c r="H101" s="255">
        <f>VLOOKUP(BUReporting[[#This Row],[Program]],'Program MW '!$A$34:$S$45,6,FALSE)</f>
        <v>0.36989293600000001</v>
      </c>
    </row>
    <row r="102" spans="1:8" ht="16.5" thickTop="1" thickBot="1">
      <c r="A102" s="247">
        <v>9</v>
      </c>
      <c r="B102" s="9" t="s">
        <v>24</v>
      </c>
      <c r="C102" s="257"/>
      <c r="D102" s="9" t="s">
        <v>9</v>
      </c>
      <c r="E102" s="248">
        <v>8</v>
      </c>
      <c r="F102" s="254" t="s">
        <v>34</v>
      </c>
      <c r="G102"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2" s="255">
        <f>VLOOKUP(BUReporting[[#This Row],[Program]],'Program MW '!$A$34:$S$45,6,FALSE)</f>
        <v>0</v>
      </c>
    </row>
    <row r="103" spans="1:8" ht="16.5" thickTop="1" thickBot="1">
      <c r="A103" s="247">
        <v>10</v>
      </c>
      <c r="B103" s="9" t="s">
        <v>25</v>
      </c>
      <c r="C103" s="257"/>
      <c r="D103" s="9" t="s">
        <v>9</v>
      </c>
      <c r="E103" s="248">
        <v>8</v>
      </c>
      <c r="F103" s="254" t="s">
        <v>34</v>
      </c>
      <c r="G103"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3" s="255">
        <f>VLOOKUP(BUReporting[[#This Row],[Program]],'Program MW '!$A$34:$S$45,6,FALSE)</f>
        <v>0</v>
      </c>
    </row>
    <row r="104" spans="1:8" ht="16.5" thickTop="1" thickBot="1">
      <c r="A104" s="247">
        <v>11</v>
      </c>
      <c r="B104" s="9" t="s">
        <v>26</v>
      </c>
      <c r="C104" s="257"/>
      <c r="D104" s="9" t="s">
        <v>9</v>
      </c>
      <c r="E104" s="248">
        <v>8</v>
      </c>
      <c r="F104" s="254" t="s">
        <v>34</v>
      </c>
      <c r="G104"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47083</v>
      </c>
      <c r="H104" s="255">
        <f>VLOOKUP(BUReporting[[#This Row],[Program]],'Program MW '!$A$34:$S$45,6,FALSE)</f>
        <v>0.22306741659152104</v>
      </c>
    </row>
    <row r="105" spans="1:8" ht="14.25" thickTop="1" thickBot="1">
      <c r="A105" s="247">
        <v>12</v>
      </c>
      <c r="B105" s="9" t="s">
        <v>27</v>
      </c>
      <c r="C105" s="35"/>
      <c r="D105" s="9" t="s">
        <v>19</v>
      </c>
      <c r="E105" s="248">
        <v>8</v>
      </c>
      <c r="F105" s="254" t="s">
        <v>34</v>
      </c>
      <c r="G105"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12353</v>
      </c>
      <c r="H105" s="255">
        <f>VLOOKUP(BUReporting[[#This Row],[Program]],'Program MW '!$A$34:$S$45,6,FALSE)</f>
        <v>1.8718426782000002</v>
      </c>
    </row>
    <row r="106" spans="1:8" ht="16.5" thickTop="1" thickBot="1">
      <c r="A106" s="256">
        <v>0</v>
      </c>
      <c r="B106" s="51" t="s">
        <v>8</v>
      </c>
      <c r="C106" s="257"/>
      <c r="D106" s="249" t="s">
        <v>9</v>
      </c>
      <c r="E106" s="252">
        <v>9</v>
      </c>
      <c r="F106" s="253" t="s">
        <v>35</v>
      </c>
      <c r="G106" s="246">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255">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6.5" thickTop="1" thickBot="1">
      <c r="A107" s="247">
        <v>1</v>
      </c>
      <c r="B107" s="9" t="s">
        <v>11</v>
      </c>
      <c r="C107" s="257"/>
      <c r="D107" s="9" t="s">
        <v>9</v>
      </c>
      <c r="E107" s="248">
        <v>9</v>
      </c>
      <c r="F107" s="254" t="s">
        <v>35</v>
      </c>
      <c r="G107"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07" s="255">
        <f>VLOOKUP(BUReporting[[#This Row],[Program]],'Program MW '!$A$34:$S$45,9,FALSE)</f>
        <v>0</v>
      </c>
    </row>
    <row r="108" spans="1:8" ht="16.5" thickTop="1" thickBot="1">
      <c r="A108" s="247">
        <v>2</v>
      </c>
      <c r="B108" s="9" t="s">
        <v>12</v>
      </c>
      <c r="C108" s="257" t="s">
        <v>13</v>
      </c>
      <c r="D108" s="9" t="s">
        <v>9</v>
      </c>
      <c r="E108" s="248">
        <v>9</v>
      </c>
      <c r="F108" s="254" t="s">
        <v>35</v>
      </c>
      <c r="G108"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8" s="255" t="e">
        <f>VLOOKUP(BUReporting[[#This Row],[Program]],'Program MW '!$A$34:$S$45,9,FALSE)</f>
        <v>#N/A</v>
      </c>
    </row>
    <row r="109" spans="1:8" ht="16.5" thickTop="1" thickBot="1">
      <c r="A109" s="247">
        <v>3</v>
      </c>
      <c r="B109" s="9" t="s">
        <v>14</v>
      </c>
      <c r="C109" s="257"/>
      <c r="D109" s="9" t="s">
        <v>9</v>
      </c>
      <c r="E109" s="248">
        <v>9</v>
      </c>
      <c r="F109" s="254" t="s">
        <v>35</v>
      </c>
      <c r="G109"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9" s="255" t="e">
        <f>VLOOKUP(BUReporting[[#This Row],[Program]],'Program MW '!$A$34:$S$45,9,FALSE)</f>
        <v>#N/A</v>
      </c>
    </row>
    <row r="110" spans="1:8" ht="16.5" thickTop="1" thickBot="1">
      <c r="A110" s="247">
        <v>4</v>
      </c>
      <c r="B110" s="9" t="s">
        <v>15</v>
      </c>
      <c r="C110" s="257" t="s">
        <v>16</v>
      </c>
      <c r="D110" s="9" t="s">
        <v>9</v>
      </c>
      <c r="E110" s="248">
        <v>9</v>
      </c>
      <c r="F110" s="254" t="s">
        <v>35</v>
      </c>
      <c r="G110"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10" s="255" t="e">
        <f>VLOOKUP(BUReporting[[#This Row],[Program]],'Program MW '!$A$34:$S$45,9,FALSE)</f>
        <v>#N/A</v>
      </c>
    </row>
    <row r="111" spans="1:8" ht="16.5" thickTop="1" thickBot="1">
      <c r="A111" s="247">
        <v>5</v>
      </c>
      <c r="B111" s="9" t="s">
        <v>17</v>
      </c>
      <c r="C111" s="257" t="s">
        <v>18</v>
      </c>
      <c r="D111" s="9" t="s">
        <v>19</v>
      </c>
      <c r="E111" s="248">
        <v>9</v>
      </c>
      <c r="F111" s="254" t="s">
        <v>35</v>
      </c>
      <c r="G111"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1" s="255">
        <f>VLOOKUP(BUReporting[[#This Row],[Program]],'Program MW '!$A$34:$S$45,9,FALSE)</f>
        <v>0</v>
      </c>
    </row>
    <row r="112" spans="1:8" ht="16.5" thickTop="1" thickBot="1">
      <c r="A112" s="247">
        <v>6</v>
      </c>
      <c r="B112" s="9" t="s">
        <v>20</v>
      </c>
      <c r="C112" s="257" t="s">
        <v>18</v>
      </c>
      <c r="D112" s="9" t="s">
        <v>9</v>
      </c>
      <c r="E112" s="248">
        <v>9</v>
      </c>
      <c r="F112" s="254" t="s">
        <v>35</v>
      </c>
      <c r="G112"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2" s="255">
        <f>VLOOKUP(BUReporting[[#This Row],[Program]],'Program MW '!$A$34:$S$45,9,FALSE)</f>
        <v>0</v>
      </c>
    </row>
    <row r="113" spans="1:8" ht="16.5" thickTop="1" thickBot="1">
      <c r="A113" s="247">
        <v>7</v>
      </c>
      <c r="B113" s="9" t="s">
        <v>21</v>
      </c>
      <c r="C113" s="257" t="s">
        <v>22</v>
      </c>
      <c r="D113" s="9" t="s">
        <v>19</v>
      </c>
      <c r="E113" s="248">
        <v>9</v>
      </c>
      <c r="F113" s="254" t="s">
        <v>35</v>
      </c>
      <c r="G113"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3" s="255">
        <f>VLOOKUP(BUReporting[[#This Row],[Program]],'Program MW '!$A$34:$S$45,9,FALSE)</f>
        <v>0</v>
      </c>
    </row>
    <row r="114" spans="1:8" ht="16.5" thickTop="1" thickBot="1">
      <c r="A114" s="247">
        <v>8</v>
      </c>
      <c r="B114" s="9" t="s">
        <v>23</v>
      </c>
      <c r="C114" s="257" t="s">
        <v>22</v>
      </c>
      <c r="D114" s="9" t="s">
        <v>9</v>
      </c>
      <c r="E114" s="248">
        <v>9</v>
      </c>
      <c r="F114" s="254" t="s">
        <v>35</v>
      </c>
      <c r="G114"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4" s="255">
        <f>VLOOKUP(BUReporting[[#This Row],[Program]],'Program MW '!$A$34:$S$45,9,FALSE)</f>
        <v>0</v>
      </c>
    </row>
    <row r="115" spans="1:8" ht="16.5" thickTop="1" thickBot="1">
      <c r="A115" s="247">
        <v>9</v>
      </c>
      <c r="B115" s="9" t="s">
        <v>24</v>
      </c>
      <c r="C115" s="257"/>
      <c r="D115" s="9" t="s">
        <v>9</v>
      </c>
      <c r="E115" s="248">
        <v>9</v>
      </c>
      <c r="F115" s="254" t="s">
        <v>35</v>
      </c>
      <c r="G115"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5" s="255">
        <f>VLOOKUP(BUReporting[[#This Row],[Program]],'Program MW '!$A$34:$S$45,9,FALSE)</f>
        <v>0</v>
      </c>
    </row>
    <row r="116" spans="1:8" ht="16.5" thickTop="1" thickBot="1">
      <c r="A116" s="247">
        <v>10</v>
      </c>
      <c r="B116" s="9" t="s">
        <v>25</v>
      </c>
      <c r="C116" s="257"/>
      <c r="D116" s="9" t="s">
        <v>9</v>
      </c>
      <c r="E116" s="248">
        <v>9</v>
      </c>
      <c r="F116" s="254" t="s">
        <v>35</v>
      </c>
      <c r="G116"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6" s="255">
        <f>VLOOKUP(BUReporting[[#This Row],[Program]],'Program MW '!$A$34:$S$45,9,FALSE)</f>
        <v>0</v>
      </c>
    </row>
    <row r="117" spans="1:8" ht="16.5" thickTop="1" thickBot="1">
      <c r="A117" s="247">
        <v>11</v>
      </c>
      <c r="B117" s="9" t="s">
        <v>26</v>
      </c>
      <c r="C117" s="257"/>
      <c r="D117" s="9" t="s">
        <v>9</v>
      </c>
      <c r="E117" s="248">
        <v>9</v>
      </c>
      <c r="F117" s="254" t="s">
        <v>35</v>
      </c>
      <c r="G117"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7" s="255">
        <f>VLOOKUP(BUReporting[[#This Row],[Program]],'Program MW '!$A$34:$S$45,9,FALSE)</f>
        <v>0</v>
      </c>
    </row>
    <row r="118" spans="1:8" ht="14.25" thickTop="1" thickBot="1">
      <c r="A118" s="247">
        <v>12</v>
      </c>
      <c r="B118" s="9" t="s">
        <v>27</v>
      </c>
      <c r="C118" s="35"/>
      <c r="D118" s="9" t="s">
        <v>19</v>
      </c>
      <c r="E118" s="248">
        <v>9</v>
      </c>
      <c r="F118" s="254" t="s">
        <v>35</v>
      </c>
      <c r="G118"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8" s="255">
        <f>VLOOKUP(BUReporting[[#This Row],[Program]],'Program MW '!$A$34:$S$45,9,FALSE)</f>
        <v>0</v>
      </c>
    </row>
    <row r="119" spans="1:8" ht="16.5" thickTop="1" thickBot="1">
      <c r="A119" s="256">
        <v>0</v>
      </c>
      <c r="B119" s="51" t="s">
        <v>8</v>
      </c>
      <c r="C119" s="257"/>
      <c r="D119" s="249" t="s">
        <v>9</v>
      </c>
      <c r="E119" s="252">
        <v>10</v>
      </c>
      <c r="F119" s="253" t="s">
        <v>36</v>
      </c>
      <c r="G119" s="246">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255">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6.5" thickTop="1" thickBot="1">
      <c r="A120" s="247">
        <v>1</v>
      </c>
      <c r="B120" s="9" t="s">
        <v>11</v>
      </c>
      <c r="C120" s="257"/>
      <c r="D120" s="9" t="s">
        <v>9</v>
      </c>
      <c r="E120" s="248">
        <v>10</v>
      </c>
      <c r="F120" s="254" t="s">
        <v>36</v>
      </c>
      <c r="G120"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0" s="255">
        <f>VLOOKUP(BUReporting[[#This Row],[Program]],'Program MW '!$A$34:$S$45,12,FALSE)</f>
        <v>0</v>
      </c>
    </row>
    <row r="121" spans="1:8" ht="16.5" thickTop="1" thickBot="1">
      <c r="A121" s="247">
        <v>2</v>
      </c>
      <c r="B121" s="9" t="s">
        <v>12</v>
      </c>
      <c r="C121" s="257" t="s">
        <v>13</v>
      </c>
      <c r="D121" s="9" t="s">
        <v>9</v>
      </c>
      <c r="E121" s="248">
        <v>10</v>
      </c>
      <c r="F121" s="254" t="s">
        <v>36</v>
      </c>
      <c r="G121"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1" s="255" t="e">
        <f>VLOOKUP(BUReporting[[#This Row],[Program]],'Program MW '!$A$34:$S$45,12,FALSE)</f>
        <v>#N/A</v>
      </c>
    </row>
    <row r="122" spans="1:8" ht="16.5" thickTop="1" thickBot="1">
      <c r="A122" s="247">
        <v>3</v>
      </c>
      <c r="B122" s="9" t="s">
        <v>14</v>
      </c>
      <c r="C122" s="257"/>
      <c r="D122" s="9" t="s">
        <v>9</v>
      </c>
      <c r="E122" s="248">
        <v>10</v>
      </c>
      <c r="F122" s="254" t="s">
        <v>36</v>
      </c>
      <c r="G122"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2" s="255" t="e">
        <f>VLOOKUP(BUReporting[[#This Row],[Program]],'Program MW '!$A$34:$S$45,12,FALSE)</f>
        <v>#N/A</v>
      </c>
    </row>
    <row r="123" spans="1:8" ht="16.5" thickTop="1" thickBot="1">
      <c r="A123" s="247">
        <v>4</v>
      </c>
      <c r="B123" s="9" t="s">
        <v>15</v>
      </c>
      <c r="C123" s="257" t="s">
        <v>16</v>
      </c>
      <c r="D123" s="9" t="s">
        <v>9</v>
      </c>
      <c r="E123" s="248">
        <v>10</v>
      </c>
      <c r="F123" s="254" t="s">
        <v>36</v>
      </c>
      <c r="G123"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3" s="255" t="e">
        <f>VLOOKUP(BUReporting[[#This Row],[Program]],'Program MW '!$A$34:$S$45,12,FALSE)</f>
        <v>#N/A</v>
      </c>
    </row>
    <row r="124" spans="1:8" ht="16.5" thickTop="1" thickBot="1">
      <c r="A124" s="247">
        <v>5</v>
      </c>
      <c r="B124" s="9" t="s">
        <v>17</v>
      </c>
      <c r="C124" s="257" t="s">
        <v>18</v>
      </c>
      <c r="D124" s="9" t="s">
        <v>19</v>
      </c>
      <c r="E124" s="248">
        <v>10</v>
      </c>
      <c r="F124" s="254" t="s">
        <v>36</v>
      </c>
      <c r="G124"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4" s="255">
        <f>VLOOKUP(BUReporting[[#This Row],[Program]],'Program MW '!$A$34:$S$45,12,FALSE)</f>
        <v>0</v>
      </c>
    </row>
    <row r="125" spans="1:8" ht="16.5" thickTop="1" thickBot="1">
      <c r="A125" s="247">
        <v>6</v>
      </c>
      <c r="B125" s="9" t="s">
        <v>20</v>
      </c>
      <c r="C125" s="257" t="s">
        <v>18</v>
      </c>
      <c r="D125" s="9" t="s">
        <v>9</v>
      </c>
      <c r="E125" s="248">
        <v>10</v>
      </c>
      <c r="F125" s="254" t="s">
        <v>36</v>
      </c>
      <c r="G125"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5" s="255">
        <f>VLOOKUP(BUReporting[[#This Row],[Program]],'Program MW '!$A$34:$S$45,12,FALSE)</f>
        <v>0</v>
      </c>
    </row>
    <row r="126" spans="1:8" ht="16.5" thickTop="1" thickBot="1">
      <c r="A126" s="247">
        <v>7</v>
      </c>
      <c r="B126" s="9" t="s">
        <v>21</v>
      </c>
      <c r="C126" s="257" t="s">
        <v>22</v>
      </c>
      <c r="D126" s="9" t="s">
        <v>19</v>
      </c>
      <c r="E126" s="248">
        <v>10</v>
      </c>
      <c r="F126" s="254" t="s">
        <v>36</v>
      </c>
      <c r="G126"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6" s="255">
        <f>VLOOKUP(BUReporting[[#This Row],[Program]],'Program MW '!$A$34:$S$45,12,FALSE)</f>
        <v>0</v>
      </c>
    </row>
    <row r="127" spans="1:8" ht="16.5" thickTop="1" thickBot="1">
      <c r="A127" s="247">
        <v>8</v>
      </c>
      <c r="B127" s="9" t="s">
        <v>23</v>
      </c>
      <c r="C127" s="257" t="s">
        <v>22</v>
      </c>
      <c r="D127" s="9" t="s">
        <v>9</v>
      </c>
      <c r="E127" s="248">
        <v>10</v>
      </c>
      <c r="F127" s="254" t="s">
        <v>36</v>
      </c>
      <c r="G127"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7" s="255">
        <f>VLOOKUP(BUReporting[[#This Row],[Program]],'Program MW '!$A$34:$S$45,12,FALSE)</f>
        <v>0</v>
      </c>
    </row>
    <row r="128" spans="1:8" ht="16.5" thickTop="1" thickBot="1">
      <c r="A128" s="247">
        <v>9</v>
      </c>
      <c r="B128" s="9" t="s">
        <v>24</v>
      </c>
      <c r="C128" s="257"/>
      <c r="D128" s="9" t="s">
        <v>9</v>
      </c>
      <c r="E128" s="248">
        <v>10</v>
      </c>
      <c r="F128" s="254" t="s">
        <v>36</v>
      </c>
      <c r="G128"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8" s="255">
        <f>VLOOKUP(BUReporting[[#This Row],[Program]],'Program MW '!$A$34:$S$45,12,FALSE)</f>
        <v>0</v>
      </c>
    </row>
    <row r="129" spans="1:8" ht="16.5" thickTop="1" thickBot="1">
      <c r="A129" s="247">
        <v>10</v>
      </c>
      <c r="B129" s="9" t="s">
        <v>25</v>
      </c>
      <c r="C129" s="257"/>
      <c r="D129" s="9" t="s">
        <v>9</v>
      </c>
      <c r="E129" s="248">
        <v>10</v>
      </c>
      <c r="F129" s="254" t="s">
        <v>36</v>
      </c>
      <c r="G129"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9" s="255">
        <f>VLOOKUP(BUReporting[[#This Row],[Program]],'Program MW '!$A$34:$S$45,12,FALSE)</f>
        <v>0</v>
      </c>
    </row>
    <row r="130" spans="1:8" ht="16.5" thickTop="1" thickBot="1">
      <c r="A130" s="247">
        <v>11</v>
      </c>
      <c r="B130" s="9" t="s">
        <v>26</v>
      </c>
      <c r="C130" s="257"/>
      <c r="D130" s="9" t="s">
        <v>9</v>
      </c>
      <c r="E130" s="248">
        <v>10</v>
      </c>
      <c r="F130" s="254" t="s">
        <v>36</v>
      </c>
      <c r="G130"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0" s="255">
        <f>VLOOKUP(BUReporting[[#This Row],[Program]],'Program MW '!$A$34:$S$45,12,FALSE)</f>
        <v>0</v>
      </c>
    </row>
    <row r="131" spans="1:8" ht="14.25" thickTop="1" thickBot="1">
      <c r="A131" s="247">
        <v>12</v>
      </c>
      <c r="B131" s="9" t="s">
        <v>27</v>
      </c>
      <c r="C131" s="35"/>
      <c r="D131" s="9" t="s">
        <v>19</v>
      </c>
      <c r="E131" s="248">
        <v>10</v>
      </c>
      <c r="F131" s="254" t="s">
        <v>36</v>
      </c>
      <c r="G131"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1" s="255">
        <f>VLOOKUP(BUReporting[[#This Row],[Program]],'Program MW '!$A$34:$S$45,12,FALSE)</f>
        <v>0</v>
      </c>
    </row>
    <row r="132" spans="1:8" ht="16.5" thickTop="1" thickBot="1">
      <c r="A132" s="256">
        <v>0</v>
      </c>
      <c r="B132" s="51" t="s">
        <v>8</v>
      </c>
      <c r="C132" s="257"/>
      <c r="D132" s="249" t="s">
        <v>9</v>
      </c>
      <c r="E132" s="252">
        <v>11</v>
      </c>
      <c r="F132" s="253" t="s">
        <v>37</v>
      </c>
      <c r="G132" s="246">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255">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247">
        <v>1</v>
      </c>
      <c r="B133" s="9" t="s">
        <v>11</v>
      </c>
      <c r="C133" s="257"/>
      <c r="D133" s="9" t="s">
        <v>9</v>
      </c>
      <c r="E133" s="248">
        <v>11</v>
      </c>
      <c r="F133" s="254" t="s">
        <v>37</v>
      </c>
      <c r="G133"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3" s="255">
        <f>VLOOKUP(BUReporting[[#This Row],[Program]],'Program MW '!$A$34:$S$45,15,FALSE)</f>
        <v>0</v>
      </c>
    </row>
    <row r="134" spans="1:8" ht="16.5" thickTop="1" thickBot="1">
      <c r="A134" s="247">
        <v>2</v>
      </c>
      <c r="B134" s="9" t="s">
        <v>12</v>
      </c>
      <c r="C134" s="257" t="s">
        <v>13</v>
      </c>
      <c r="D134" s="9" t="s">
        <v>9</v>
      </c>
      <c r="E134" s="248">
        <v>11</v>
      </c>
      <c r="F134" s="254" t="s">
        <v>37</v>
      </c>
      <c r="G134"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4" s="255" t="e">
        <f>VLOOKUP(BUReporting[[#This Row],[Program]],'Program MW '!$A$34:$S$45,15,FALSE)</f>
        <v>#N/A</v>
      </c>
    </row>
    <row r="135" spans="1:8" ht="16.5" thickTop="1" thickBot="1">
      <c r="A135" s="247">
        <v>3</v>
      </c>
      <c r="B135" s="9" t="s">
        <v>14</v>
      </c>
      <c r="C135" s="257"/>
      <c r="D135" s="9" t="s">
        <v>9</v>
      </c>
      <c r="E135" s="248">
        <v>11</v>
      </c>
      <c r="F135" s="254" t="s">
        <v>37</v>
      </c>
      <c r="G135"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5" s="255" t="e">
        <f>VLOOKUP(BUReporting[[#This Row],[Program]],'Program MW '!$A$34:$S$45,15,FALSE)</f>
        <v>#N/A</v>
      </c>
    </row>
    <row r="136" spans="1:8" ht="16.5" thickTop="1" thickBot="1">
      <c r="A136" s="247">
        <v>4</v>
      </c>
      <c r="B136" s="9" t="s">
        <v>15</v>
      </c>
      <c r="C136" s="257" t="s">
        <v>16</v>
      </c>
      <c r="D136" s="9" t="s">
        <v>9</v>
      </c>
      <c r="E136" s="248">
        <v>11</v>
      </c>
      <c r="F136" s="254" t="s">
        <v>37</v>
      </c>
      <c r="G136"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6" s="255" t="e">
        <f>VLOOKUP(BUReporting[[#This Row],[Program]],'Program MW '!$A$34:$S$45,15,FALSE)</f>
        <v>#N/A</v>
      </c>
    </row>
    <row r="137" spans="1:8" ht="16.5" thickTop="1" thickBot="1">
      <c r="A137" s="247">
        <v>5</v>
      </c>
      <c r="B137" s="9" t="s">
        <v>17</v>
      </c>
      <c r="C137" s="257" t="s">
        <v>18</v>
      </c>
      <c r="D137" s="9" t="s">
        <v>19</v>
      </c>
      <c r="E137" s="248">
        <v>11</v>
      </c>
      <c r="F137" s="254" t="s">
        <v>37</v>
      </c>
      <c r="G137"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7" s="255">
        <f>VLOOKUP(BUReporting[[#This Row],[Program]],'Program MW '!$A$34:$S$45,15,FALSE)</f>
        <v>0</v>
      </c>
    </row>
    <row r="138" spans="1:8" ht="16.5" thickTop="1" thickBot="1">
      <c r="A138" s="247">
        <v>6</v>
      </c>
      <c r="B138" s="9" t="s">
        <v>20</v>
      </c>
      <c r="C138" s="257" t="s">
        <v>18</v>
      </c>
      <c r="D138" s="9" t="s">
        <v>9</v>
      </c>
      <c r="E138" s="248">
        <v>11</v>
      </c>
      <c r="F138" s="254" t="s">
        <v>37</v>
      </c>
      <c r="G138"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8" s="255">
        <f>VLOOKUP(BUReporting[[#This Row],[Program]],'Program MW '!$A$34:$S$45,15,FALSE)</f>
        <v>0</v>
      </c>
    </row>
    <row r="139" spans="1:8" ht="16.5" thickTop="1" thickBot="1">
      <c r="A139" s="247">
        <v>7</v>
      </c>
      <c r="B139" s="9" t="s">
        <v>21</v>
      </c>
      <c r="C139" s="257" t="s">
        <v>22</v>
      </c>
      <c r="D139" s="9" t="s">
        <v>19</v>
      </c>
      <c r="E139" s="248">
        <v>11</v>
      </c>
      <c r="F139" s="254" t="s">
        <v>37</v>
      </c>
      <c r="G139"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9" s="255">
        <f>VLOOKUP(BUReporting[[#This Row],[Program]],'Program MW '!$A$34:$S$45,15,FALSE)</f>
        <v>0</v>
      </c>
    </row>
    <row r="140" spans="1:8" ht="16.5" thickTop="1" thickBot="1">
      <c r="A140" s="247">
        <v>8</v>
      </c>
      <c r="B140" s="9" t="s">
        <v>23</v>
      </c>
      <c r="C140" s="257" t="s">
        <v>22</v>
      </c>
      <c r="D140" s="9" t="s">
        <v>9</v>
      </c>
      <c r="E140" s="248">
        <v>11</v>
      </c>
      <c r="F140" s="254" t="s">
        <v>37</v>
      </c>
      <c r="G140"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0" s="255">
        <f>VLOOKUP(BUReporting[[#This Row],[Program]],'Program MW '!$A$34:$S$45,15,FALSE)</f>
        <v>0</v>
      </c>
    </row>
    <row r="141" spans="1:8" ht="16.5" thickTop="1" thickBot="1">
      <c r="A141" s="247">
        <v>9</v>
      </c>
      <c r="B141" s="9" t="s">
        <v>24</v>
      </c>
      <c r="C141" s="257"/>
      <c r="D141" s="9" t="s">
        <v>9</v>
      </c>
      <c r="E141" s="248">
        <v>11</v>
      </c>
      <c r="F141" s="254" t="s">
        <v>37</v>
      </c>
      <c r="G141"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1" s="255">
        <f>VLOOKUP(BUReporting[[#This Row],[Program]],'Program MW '!$A$34:$S$45,15,FALSE)</f>
        <v>0</v>
      </c>
    </row>
    <row r="142" spans="1:8" ht="16.5" thickTop="1" thickBot="1">
      <c r="A142" s="247">
        <v>10</v>
      </c>
      <c r="B142" s="9" t="s">
        <v>25</v>
      </c>
      <c r="C142" s="257"/>
      <c r="D142" s="9" t="s">
        <v>9</v>
      </c>
      <c r="E142" s="248">
        <v>11</v>
      </c>
      <c r="F142" s="254" t="s">
        <v>37</v>
      </c>
      <c r="G142"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2" s="255">
        <f>VLOOKUP(BUReporting[[#This Row],[Program]],'Program MW '!$A$34:$S$45,15,FALSE)</f>
        <v>0</v>
      </c>
    </row>
    <row r="143" spans="1:8" ht="16.5" thickTop="1" thickBot="1">
      <c r="A143" s="247">
        <v>11</v>
      </c>
      <c r="B143" s="9" t="s">
        <v>26</v>
      </c>
      <c r="C143" s="257"/>
      <c r="D143" s="9" t="s">
        <v>9</v>
      </c>
      <c r="E143" s="248">
        <v>11</v>
      </c>
      <c r="F143" s="254" t="s">
        <v>37</v>
      </c>
      <c r="G143"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3" s="255">
        <f>VLOOKUP(BUReporting[[#This Row],[Program]],'Program MW '!$A$34:$S$45,15,FALSE)</f>
        <v>0</v>
      </c>
    </row>
    <row r="144" spans="1:8" ht="14.25" thickTop="1" thickBot="1">
      <c r="A144" s="247">
        <v>12</v>
      </c>
      <c r="B144" s="9" t="s">
        <v>27</v>
      </c>
      <c r="C144" s="35"/>
      <c r="D144" s="9" t="s">
        <v>19</v>
      </c>
      <c r="E144" s="248">
        <v>11</v>
      </c>
      <c r="F144" s="254" t="s">
        <v>37</v>
      </c>
      <c r="G144"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4" s="255">
        <f>VLOOKUP(BUReporting[[#This Row],[Program]],'Program MW '!$A$34:$S$45,15,FALSE)</f>
        <v>0</v>
      </c>
    </row>
    <row r="145" spans="1:8" ht="16.5" thickTop="1" thickBot="1">
      <c r="A145" s="256">
        <v>0</v>
      </c>
      <c r="B145" s="51" t="s">
        <v>8</v>
      </c>
      <c r="C145" s="257"/>
      <c r="D145" s="249" t="s">
        <v>9</v>
      </c>
      <c r="E145" s="252">
        <v>12</v>
      </c>
      <c r="F145" s="253" t="s">
        <v>38</v>
      </c>
      <c r="G145" s="246">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255">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247">
        <v>1</v>
      </c>
      <c r="B146" s="9" t="s">
        <v>11</v>
      </c>
      <c r="C146" s="257"/>
      <c r="D146" s="9" t="s">
        <v>9</v>
      </c>
      <c r="E146" s="248">
        <v>12</v>
      </c>
      <c r="F146" s="254" t="s">
        <v>38</v>
      </c>
      <c r="G146"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46" s="255">
        <f>VLOOKUP(BUReporting[[#This Row],[Program]],'Program MW '!$A$34:$S$45,18,FALSE)</f>
        <v>0</v>
      </c>
    </row>
    <row r="147" spans="1:8" ht="16.5" thickTop="1" thickBot="1">
      <c r="A147" s="247">
        <v>2</v>
      </c>
      <c r="B147" s="9" t="s">
        <v>12</v>
      </c>
      <c r="C147" s="257" t="s">
        <v>13</v>
      </c>
      <c r="D147" s="9" t="s">
        <v>9</v>
      </c>
      <c r="E147" s="248">
        <v>12</v>
      </c>
      <c r="F147" s="254" t="s">
        <v>38</v>
      </c>
      <c r="G147"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7" s="255" t="e">
        <f>VLOOKUP(BUReporting[[#This Row],[Program]],'Program MW '!$A$34:$S$45,18,FALSE)</f>
        <v>#N/A</v>
      </c>
    </row>
    <row r="148" spans="1:8" ht="16.5" thickTop="1" thickBot="1">
      <c r="A148" s="247">
        <v>3</v>
      </c>
      <c r="B148" s="9" t="s">
        <v>14</v>
      </c>
      <c r="C148" s="257"/>
      <c r="D148" s="9" t="s">
        <v>9</v>
      </c>
      <c r="E148" s="248">
        <v>12</v>
      </c>
      <c r="F148" s="254" t="s">
        <v>38</v>
      </c>
      <c r="G148"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8" s="255" t="e">
        <f>VLOOKUP(BUReporting[[#This Row],[Program]],'Program MW '!$A$34:$S$45,18,FALSE)</f>
        <v>#N/A</v>
      </c>
    </row>
    <row r="149" spans="1:8" ht="16.5" thickTop="1" thickBot="1">
      <c r="A149" s="247">
        <v>4</v>
      </c>
      <c r="B149" s="9" t="s">
        <v>15</v>
      </c>
      <c r="C149" s="257" t="s">
        <v>16</v>
      </c>
      <c r="D149" s="9" t="s">
        <v>9</v>
      </c>
      <c r="E149" s="248">
        <v>12</v>
      </c>
      <c r="F149" s="254" t="s">
        <v>38</v>
      </c>
      <c r="G149"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9" s="255" t="e">
        <f>VLOOKUP(BUReporting[[#This Row],[Program]],'Program MW '!$A$34:$S$45,18,FALSE)</f>
        <v>#N/A</v>
      </c>
    </row>
    <row r="150" spans="1:8" ht="16.5" thickTop="1" thickBot="1">
      <c r="A150" s="247">
        <v>5</v>
      </c>
      <c r="B150" s="9" t="s">
        <v>17</v>
      </c>
      <c r="C150" s="257" t="s">
        <v>18</v>
      </c>
      <c r="D150" s="9" t="s">
        <v>19</v>
      </c>
      <c r="E150" s="248">
        <v>12</v>
      </c>
      <c r="F150" s="254" t="s">
        <v>38</v>
      </c>
      <c r="G150"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0" s="255">
        <f>VLOOKUP(BUReporting[[#This Row],[Program]],'Program MW '!$A$34:$S$45,18,FALSE)</f>
        <v>0</v>
      </c>
    </row>
    <row r="151" spans="1:8" ht="16.5" thickTop="1" thickBot="1">
      <c r="A151" s="247">
        <v>6</v>
      </c>
      <c r="B151" s="9" t="s">
        <v>20</v>
      </c>
      <c r="C151" s="257" t="s">
        <v>18</v>
      </c>
      <c r="D151" s="9" t="s">
        <v>9</v>
      </c>
      <c r="E151" s="248">
        <v>12</v>
      </c>
      <c r="F151" s="254" t="s">
        <v>38</v>
      </c>
      <c r="G151"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1" s="255">
        <f>VLOOKUP(BUReporting[[#This Row],[Program]],'Program MW '!$A$34:$S$45,18,FALSE)</f>
        <v>0</v>
      </c>
    </row>
    <row r="152" spans="1:8" ht="16.5" thickTop="1" thickBot="1">
      <c r="A152" s="247">
        <v>7</v>
      </c>
      <c r="B152" s="9" t="s">
        <v>21</v>
      </c>
      <c r="C152" s="257" t="s">
        <v>22</v>
      </c>
      <c r="D152" s="9" t="s">
        <v>19</v>
      </c>
      <c r="E152" s="248">
        <v>12</v>
      </c>
      <c r="F152" s="254" t="s">
        <v>38</v>
      </c>
      <c r="G152"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2" s="255">
        <f>VLOOKUP(BUReporting[[#This Row],[Program]],'Program MW '!$A$34:$S$45,18,FALSE)</f>
        <v>0</v>
      </c>
    </row>
    <row r="153" spans="1:8" ht="16.5" thickTop="1" thickBot="1">
      <c r="A153" s="247">
        <v>8</v>
      </c>
      <c r="B153" s="9" t="s">
        <v>23</v>
      </c>
      <c r="C153" s="257" t="s">
        <v>22</v>
      </c>
      <c r="D153" s="9" t="s">
        <v>9</v>
      </c>
      <c r="E153" s="248">
        <v>12</v>
      </c>
      <c r="F153" s="254" t="s">
        <v>38</v>
      </c>
      <c r="G153"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3" s="255">
        <f>VLOOKUP(BUReporting[[#This Row],[Program]],'Program MW '!$A$34:$S$45,18,FALSE)</f>
        <v>0</v>
      </c>
    </row>
    <row r="154" spans="1:8" ht="16.5" thickTop="1" thickBot="1">
      <c r="A154" s="247">
        <v>9</v>
      </c>
      <c r="B154" s="9" t="s">
        <v>24</v>
      </c>
      <c r="C154" s="257"/>
      <c r="D154" s="9" t="s">
        <v>9</v>
      </c>
      <c r="E154" s="248">
        <v>12</v>
      </c>
      <c r="F154" s="254" t="s">
        <v>38</v>
      </c>
      <c r="G154"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4" s="255">
        <f>VLOOKUP(BUReporting[[#This Row],[Program]],'Program MW '!$A$34:$S$45,18,FALSE)</f>
        <v>0</v>
      </c>
    </row>
    <row r="155" spans="1:8" ht="16.5" thickTop="1" thickBot="1">
      <c r="A155" s="247">
        <v>10</v>
      </c>
      <c r="B155" s="9" t="s">
        <v>25</v>
      </c>
      <c r="C155" s="257"/>
      <c r="D155" s="9" t="s">
        <v>9</v>
      </c>
      <c r="E155" s="248">
        <v>12</v>
      </c>
      <c r="F155" s="254" t="s">
        <v>38</v>
      </c>
      <c r="G155"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5" s="255">
        <f>VLOOKUP(BUReporting[[#This Row],[Program]],'Program MW '!$A$34:$S$45,18,FALSE)</f>
        <v>0</v>
      </c>
    </row>
    <row r="156" spans="1:8" ht="16.5" thickTop="1" thickBot="1">
      <c r="A156" s="247">
        <v>11</v>
      </c>
      <c r="B156" s="9" t="s">
        <v>26</v>
      </c>
      <c r="C156" s="257"/>
      <c r="D156" s="9" t="s">
        <v>9</v>
      </c>
      <c r="E156" s="248">
        <v>12</v>
      </c>
      <c r="F156" s="254" t="s">
        <v>38</v>
      </c>
      <c r="G156"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6" s="255">
        <f>VLOOKUP(BUReporting[[#This Row],[Program]],'Program MW '!$A$34:$S$45,18,FALSE)</f>
        <v>0</v>
      </c>
    </row>
    <row r="157" spans="1:8" ht="13.5" thickTop="1">
      <c r="A157" s="247">
        <v>12</v>
      </c>
      <c r="B157" s="9" t="s">
        <v>27</v>
      </c>
      <c r="C157" s="35"/>
      <c r="D157" s="9" t="s">
        <v>19</v>
      </c>
      <c r="E157" s="248">
        <v>12</v>
      </c>
      <c r="F157" s="254" t="s">
        <v>38</v>
      </c>
      <c r="G157"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7" s="255">
        <f>VLOOKUP(BUReporting[[#This Row],[Program]],'Program MW '!$A$34:$S$45,18,FALSE)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4"/>
  <sheetViews>
    <sheetView zoomScaleNormal="100" zoomScaleSheetLayoutView="100" workbookViewId="0">
      <selection activeCell="E12" sqref="E12"/>
    </sheetView>
  </sheetViews>
  <sheetFormatPr defaultColWidth="9.28515625" defaultRowHeight="12.75"/>
  <cols>
    <col min="1" max="1" width="29.28515625" style="75" customWidth="1"/>
    <col min="2" max="2" width="22.5703125" style="75" bestFit="1" customWidth="1"/>
    <col min="3" max="3" width="49.7109375" style="75" customWidth="1"/>
    <col min="4" max="4" width="11.28515625" style="75" customWidth="1"/>
    <col min="5" max="5" width="57" style="75" customWidth="1"/>
    <col min="6" max="13" width="9.28515625" style="75"/>
    <col min="14" max="14" width="23.7109375" style="75" bestFit="1" customWidth="1"/>
    <col min="15" max="16384" width="9.28515625" style="75"/>
  </cols>
  <sheetData>
    <row r="1" spans="1:5">
      <c r="C1" s="79" t="s">
        <v>39</v>
      </c>
    </row>
    <row r="2" spans="1:5">
      <c r="C2" s="79" t="s">
        <v>263</v>
      </c>
    </row>
    <row r="3" spans="1:5">
      <c r="C3" s="628" t="s">
        <v>264</v>
      </c>
    </row>
    <row r="4" spans="1:5">
      <c r="C4" s="16"/>
    </row>
    <row r="5" spans="1:5">
      <c r="C5" s="16"/>
    </row>
    <row r="6" spans="1:5" s="16" customFormat="1">
      <c r="A6" s="169"/>
      <c r="B6" s="169"/>
      <c r="D6" s="75"/>
    </row>
    <row r="7" spans="1:5" s="16" customFormat="1"/>
    <row r="8" spans="1:5" s="17" customFormat="1">
      <c r="A8" s="603" t="s">
        <v>142</v>
      </c>
      <c r="B8" s="603" t="s">
        <v>265</v>
      </c>
      <c r="C8" s="603" t="s">
        <v>266</v>
      </c>
      <c r="D8" s="603" t="s">
        <v>144</v>
      </c>
      <c r="E8" s="603" t="s">
        <v>267</v>
      </c>
    </row>
    <row r="9" spans="1:5" s="17" customFormat="1" ht="51">
      <c r="A9" s="604" t="s">
        <v>165</v>
      </c>
      <c r="B9" s="605">
        <v>-234498</v>
      </c>
      <c r="C9" s="606" t="s">
        <v>268</v>
      </c>
      <c r="D9" s="607">
        <v>43302</v>
      </c>
      <c r="E9" s="608" t="s">
        <v>269</v>
      </c>
    </row>
    <row r="10" spans="1:5" s="17" customFormat="1" ht="51">
      <c r="A10" s="604" t="s">
        <v>270</v>
      </c>
      <c r="B10" s="605">
        <v>-700000</v>
      </c>
      <c r="C10" s="606" t="s">
        <v>271</v>
      </c>
      <c r="D10" s="607">
        <v>43302</v>
      </c>
      <c r="E10" s="608" t="s">
        <v>272</v>
      </c>
    </row>
    <row r="11" spans="1:5" s="17" customFormat="1" ht="63.75">
      <c r="A11" s="604" t="s">
        <v>273</v>
      </c>
      <c r="B11" s="605">
        <v>-194400</v>
      </c>
      <c r="C11" s="606" t="s">
        <v>274</v>
      </c>
      <c r="D11" s="607">
        <v>43304</v>
      </c>
      <c r="E11" s="608" t="s">
        <v>275</v>
      </c>
    </row>
    <row r="12" spans="1:5" s="17" customFormat="1" ht="140.25">
      <c r="A12" s="604" t="s">
        <v>276</v>
      </c>
      <c r="B12" s="605">
        <v>1128898</v>
      </c>
      <c r="C12" s="606" t="s">
        <v>277</v>
      </c>
      <c r="D12" s="607">
        <v>43302</v>
      </c>
      <c r="E12" s="608" t="s">
        <v>278</v>
      </c>
    </row>
    <row r="13" spans="1:5" s="221" customFormat="1" ht="51">
      <c r="A13" s="604" t="s">
        <v>192</v>
      </c>
      <c r="B13" s="605">
        <v>-166000</v>
      </c>
      <c r="C13" s="606" t="s">
        <v>279</v>
      </c>
      <c r="D13" s="607">
        <v>44061</v>
      </c>
      <c r="E13" s="608" t="s">
        <v>280</v>
      </c>
    </row>
    <row r="14" spans="1:5" s="222" customFormat="1" ht="51">
      <c r="A14" s="604" t="s">
        <v>192</v>
      </c>
      <c r="B14" s="609">
        <v>-400000</v>
      </c>
      <c r="C14" s="606" t="s">
        <v>281</v>
      </c>
      <c r="D14" s="607">
        <v>44061</v>
      </c>
      <c r="E14" s="608" t="s">
        <v>280</v>
      </c>
    </row>
    <row r="15" spans="1:5" s="222" customFormat="1" ht="51">
      <c r="A15" s="604" t="s">
        <v>192</v>
      </c>
      <c r="B15" s="609">
        <v>566000</v>
      </c>
      <c r="C15" s="610" t="s">
        <v>282</v>
      </c>
      <c r="D15" s="607">
        <v>44061</v>
      </c>
      <c r="E15" s="608" t="s">
        <v>280</v>
      </c>
    </row>
    <row r="16" spans="1:5" s="222" customFormat="1">
      <c r="A16" s="611" t="s">
        <v>67</v>
      </c>
      <c r="B16" s="609" t="s">
        <v>67</v>
      </c>
      <c r="C16" s="610" t="s">
        <v>67</v>
      </c>
      <c r="D16" s="607"/>
      <c r="E16" s="608"/>
    </row>
    <row r="17" spans="1:5">
      <c r="A17" s="612" t="s">
        <v>119</v>
      </c>
      <c r="B17" s="613">
        <f>SUM(B9:B16)</f>
        <v>0</v>
      </c>
      <c r="C17" s="614"/>
      <c r="D17" s="614"/>
      <c r="E17" s="614"/>
    </row>
    <row r="18" spans="1:5">
      <c r="A18" s="614"/>
      <c r="B18" s="614"/>
      <c r="C18" s="614"/>
      <c r="D18" s="614"/>
      <c r="E18" s="614"/>
    </row>
    <row r="20" spans="1:5" ht="14.25">
      <c r="A20" s="273" t="s">
        <v>68</v>
      </c>
    </row>
    <row r="21" spans="1:5" ht="14.25">
      <c r="A21" s="274" t="s">
        <v>283</v>
      </c>
    </row>
    <row r="22" spans="1:5" ht="14.25">
      <c r="A22" s="273"/>
    </row>
    <row r="23" spans="1:5" ht="15">
      <c r="A23" s="275" t="s">
        <v>84</v>
      </c>
      <c r="E23" s="76"/>
    </row>
    <row r="34" spans="8:8">
      <c r="H34" s="75" t="s">
        <v>67</v>
      </c>
    </row>
  </sheetData>
  <phoneticPr fontId="45" type="noConversion"/>
  <printOptions horizontalCentered="1"/>
  <pageMargins left="0" right="0" top="0.55000000000000004" bottom="0.17" header="0.3" footer="0.15"/>
  <pageSetup paperSize="5" scale="82"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68"/>
  <sheetViews>
    <sheetView showGridLines="0" zoomScaleNormal="100" zoomScaleSheetLayoutView="75" workbookViewId="0">
      <pane xSplit="1" ySplit="8" topLeftCell="B34" activePane="bottomRight" state="frozen"/>
      <selection pane="topRight" activeCell="O33" sqref="O33"/>
      <selection pane="bottomLeft" activeCell="O33" sqref="O33"/>
      <selection pane="bottomRight" activeCell="A41" sqref="A41"/>
    </sheetView>
  </sheetViews>
  <sheetFormatPr defaultColWidth="17" defaultRowHeight="12"/>
  <cols>
    <col min="1" max="1" width="46.28515625" style="119" customWidth="1"/>
    <col min="2" max="9" width="11.5703125" style="119" customWidth="1"/>
    <col min="10" max="10" width="11.5703125" style="120" customWidth="1"/>
    <col min="11" max="14" width="11.5703125" style="119" customWidth="1"/>
    <col min="15" max="16" width="0" style="119" hidden="1" customWidth="1"/>
    <col min="17" max="17" width="23.5703125" style="119" bestFit="1" customWidth="1"/>
    <col min="18" max="18" width="24.28515625" style="119" bestFit="1" customWidth="1"/>
    <col min="19" max="19" width="25.7109375" style="119" bestFit="1" customWidth="1"/>
    <col min="20" max="20" width="21.7109375" style="119" bestFit="1" customWidth="1"/>
    <col min="21" max="16384" width="17" style="119"/>
  </cols>
  <sheetData>
    <row r="1" spans="1:20">
      <c r="A1" s="119" t="s">
        <v>67</v>
      </c>
      <c r="E1" s="117" t="s">
        <v>39</v>
      </c>
    </row>
    <row r="2" spans="1:20">
      <c r="E2" s="117" t="s">
        <v>284</v>
      </c>
    </row>
    <row r="3" spans="1:20">
      <c r="A3" s="512"/>
      <c r="D3" s="121"/>
      <c r="E3" s="122">
        <f>'Program MW '!H3</f>
        <v>44774</v>
      </c>
      <c r="F3" s="121"/>
      <c r="N3" s="361"/>
    </row>
    <row r="4" spans="1:20" ht="12.75" thickBot="1"/>
    <row r="5" spans="1:20">
      <c r="A5" s="123"/>
      <c r="B5" s="124"/>
      <c r="C5" s="124"/>
      <c r="D5" s="124"/>
      <c r="E5" s="124"/>
      <c r="F5" s="124"/>
      <c r="G5" s="124"/>
      <c r="H5" s="124"/>
      <c r="I5" s="124"/>
      <c r="J5" s="125"/>
      <c r="K5" s="124"/>
      <c r="L5" s="124"/>
      <c r="M5" s="124"/>
      <c r="N5" s="283"/>
      <c r="Q5" s="662"/>
    </row>
    <row r="6" spans="1:20" ht="24">
      <c r="A6" s="644" t="s">
        <v>285</v>
      </c>
      <c r="B6" s="485" t="s">
        <v>41</v>
      </c>
      <c r="C6" s="485" t="s">
        <v>42</v>
      </c>
      <c r="D6" s="485" t="s">
        <v>43</v>
      </c>
      <c r="E6" s="485" t="s">
        <v>44</v>
      </c>
      <c r="F6" s="485" t="s">
        <v>31</v>
      </c>
      <c r="G6" s="485" t="s">
        <v>45</v>
      </c>
      <c r="H6" s="485" t="s">
        <v>58</v>
      </c>
      <c r="I6" s="485" t="s">
        <v>59</v>
      </c>
      <c r="J6" s="486" t="s">
        <v>60</v>
      </c>
      <c r="K6" s="485" t="s">
        <v>61</v>
      </c>
      <c r="L6" s="485" t="s">
        <v>62</v>
      </c>
      <c r="M6" s="485" t="s">
        <v>63</v>
      </c>
      <c r="N6" s="635" t="s">
        <v>286</v>
      </c>
      <c r="Q6" s="662"/>
    </row>
    <row r="7" spans="1:20">
      <c r="A7" s="126"/>
      <c r="B7" s="127"/>
      <c r="C7" s="127"/>
      <c r="D7" s="127"/>
      <c r="E7" s="127"/>
      <c r="F7" s="362"/>
      <c r="G7" s="362"/>
      <c r="H7" s="363"/>
      <c r="I7" s="362"/>
      <c r="J7" s="364"/>
      <c r="K7" s="362"/>
      <c r="L7" s="362"/>
      <c r="M7" s="362"/>
      <c r="N7" s="365"/>
      <c r="Q7" s="662"/>
    </row>
    <row r="8" spans="1:20">
      <c r="A8" s="128" t="s">
        <v>287</v>
      </c>
      <c r="B8" s="127"/>
      <c r="C8" s="127"/>
      <c r="D8" s="127"/>
      <c r="E8" s="127"/>
      <c r="F8" s="362"/>
      <c r="G8" s="362"/>
      <c r="H8" s="363"/>
      <c r="I8" s="362"/>
      <c r="J8" s="364"/>
      <c r="K8" s="362"/>
      <c r="L8" s="362"/>
      <c r="M8" s="362"/>
      <c r="N8" s="365"/>
      <c r="Q8" s="662"/>
    </row>
    <row r="9" spans="1:20">
      <c r="A9" s="196" t="s">
        <v>288</v>
      </c>
      <c r="B9" s="543">
        <v>11.819380000000001</v>
      </c>
      <c r="C9" s="544">
        <v>13.621</v>
      </c>
      <c r="D9" s="544">
        <v>26.66</v>
      </c>
      <c r="E9" s="544">
        <v>4.0971500000000001</v>
      </c>
      <c r="F9" s="544">
        <v>10.802110000000001</v>
      </c>
      <c r="G9" s="544">
        <v>12.510300000000001</v>
      </c>
      <c r="H9" s="544">
        <v>9.3032599999999981</v>
      </c>
      <c r="I9" s="544">
        <v>11.016830000000001</v>
      </c>
      <c r="J9" s="544">
        <v>0</v>
      </c>
      <c r="K9" s="544">
        <v>0</v>
      </c>
      <c r="L9" s="544">
        <v>0</v>
      </c>
      <c r="M9" s="544">
        <v>0</v>
      </c>
      <c r="N9" s="334">
        <f t="shared" ref="N9:N35" si="0">SUM(B9:M9)</f>
        <v>99.830029999999994</v>
      </c>
      <c r="O9" s="487">
        <v>0</v>
      </c>
      <c r="P9" s="487">
        <v>0</v>
      </c>
      <c r="Q9" s="520"/>
      <c r="R9" s="520"/>
      <c r="S9" s="520"/>
      <c r="T9" s="520"/>
    </row>
    <row r="10" spans="1:20" ht="13.5">
      <c r="A10" s="196" t="s">
        <v>289</v>
      </c>
      <c r="B10" s="545">
        <v>43.835000000000001</v>
      </c>
      <c r="C10" s="546">
        <v>41.576999999999998</v>
      </c>
      <c r="D10" s="546">
        <v>37.118000000000002</v>
      </c>
      <c r="E10" s="546">
        <v>53.366329999999998</v>
      </c>
      <c r="F10" s="546">
        <v>44.156260000000003</v>
      </c>
      <c r="G10" s="546">
        <v>46.952869999999997</v>
      </c>
      <c r="H10" s="546">
        <v>42.141910000000003</v>
      </c>
      <c r="I10" s="546">
        <v>45.304810000000003</v>
      </c>
      <c r="J10" s="546">
        <v>0</v>
      </c>
      <c r="K10" s="546">
        <v>0</v>
      </c>
      <c r="L10" s="546">
        <v>0</v>
      </c>
      <c r="M10" s="546">
        <v>0</v>
      </c>
      <c r="N10" s="334">
        <f t="shared" si="0"/>
        <v>354.45218</v>
      </c>
      <c r="Q10" s="520"/>
      <c r="R10" s="520"/>
      <c r="S10" s="520"/>
      <c r="T10" s="520"/>
    </row>
    <row r="11" spans="1:20" ht="14.25" customHeight="1">
      <c r="A11" s="196" t="s">
        <v>290</v>
      </c>
      <c r="B11" s="545">
        <v>1.2969999999999999</v>
      </c>
      <c r="C11" s="546">
        <v>1.44</v>
      </c>
      <c r="D11" s="546">
        <v>1.825</v>
      </c>
      <c r="E11" s="546">
        <v>1.77902</v>
      </c>
      <c r="F11" s="546">
        <v>1.3805000000000001</v>
      </c>
      <c r="G11" s="546">
        <v>1.47872</v>
      </c>
      <c r="H11" s="546">
        <v>-0.17429999999999998</v>
      </c>
      <c r="I11" s="546">
        <v>0</v>
      </c>
      <c r="J11" s="546">
        <v>0</v>
      </c>
      <c r="K11" s="546">
        <v>0</v>
      </c>
      <c r="L11" s="546">
        <v>0</v>
      </c>
      <c r="M11" s="546">
        <v>0</v>
      </c>
      <c r="N11" s="334">
        <f t="shared" si="0"/>
        <v>9.0259400000000003</v>
      </c>
      <c r="Q11" s="520"/>
      <c r="R11" s="520"/>
      <c r="S11" s="520"/>
      <c r="T11" s="520"/>
    </row>
    <row r="12" spans="1:20">
      <c r="A12" s="196" t="s">
        <v>291</v>
      </c>
      <c r="B12" s="545">
        <v>0</v>
      </c>
      <c r="C12" s="546">
        <v>0</v>
      </c>
      <c r="D12" s="546">
        <v>0</v>
      </c>
      <c r="E12" s="546">
        <v>0</v>
      </c>
      <c r="F12" s="546">
        <v>0</v>
      </c>
      <c r="G12" s="546">
        <v>0</v>
      </c>
      <c r="H12" s="546">
        <v>0</v>
      </c>
      <c r="I12" s="546">
        <v>0</v>
      </c>
      <c r="J12" s="546">
        <v>0</v>
      </c>
      <c r="K12" s="546">
        <v>0</v>
      </c>
      <c r="L12" s="546">
        <v>0</v>
      </c>
      <c r="M12" s="546">
        <v>0</v>
      </c>
      <c r="N12" s="334">
        <f t="shared" si="0"/>
        <v>0</v>
      </c>
      <c r="Q12" s="520"/>
      <c r="R12" s="520"/>
      <c r="S12" s="520"/>
      <c r="T12" s="520"/>
    </row>
    <row r="13" spans="1:20" ht="13.5">
      <c r="A13" s="196" t="s">
        <v>292</v>
      </c>
      <c r="B13" s="545">
        <v>8.2850000000000001</v>
      </c>
      <c r="C13" s="546">
        <v>9.16</v>
      </c>
      <c r="D13" s="546">
        <v>-4.0739999999999998</v>
      </c>
      <c r="E13" s="546">
        <v>12.88151</v>
      </c>
      <c r="F13" s="546">
        <v>7.4344700000000001</v>
      </c>
      <c r="G13" s="546">
        <v>6.2083399999999997</v>
      </c>
      <c r="H13" s="546">
        <v>5.0752700000000006</v>
      </c>
      <c r="I13" s="546">
        <v>7.8170799999999998</v>
      </c>
      <c r="J13" s="546">
        <v>0</v>
      </c>
      <c r="K13" s="546">
        <v>0</v>
      </c>
      <c r="L13" s="546">
        <v>0</v>
      </c>
      <c r="M13" s="546">
        <v>0</v>
      </c>
      <c r="N13" s="334">
        <f t="shared" si="0"/>
        <v>52.787669999999999</v>
      </c>
      <c r="Q13" s="520"/>
      <c r="R13" s="520"/>
      <c r="S13" s="520"/>
      <c r="T13" s="520"/>
    </row>
    <row r="14" spans="1:20">
      <c r="A14" s="196" t="s">
        <v>293</v>
      </c>
      <c r="B14" s="545">
        <v>11.39</v>
      </c>
      <c r="C14" s="546">
        <v>43.307000000000002</v>
      </c>
      <c r="D14" s="546">
        <v>13.707000000000001</v>
      </c>
      <c r="E14" s="546">
        <v>12.34746</v>
      </c>
      <c r="F14" s="546">
        <v>53.549379999999999</v>
      </c>
      <c r="G14" s="546">
        <v>11.692679999999999</v>
      </c>
      <c r="H14" s="546">
        <v>29.460749999999997</v>
      </c>
      <c r="I14" s="546">
        <v>21.474360000000001</v>
      </c>
      <c r="J14" s="546">
        <v>0</v>
      </c>
      <c r="K14" s="546">
        <v>0</v>
      </c>
      <c r="L14" s="546">
        <v>0</v>
      </c>
      <c r="M14" s="546">
        <v>0</v>
      </c>
      <c r="N14" s="334">
        <f t="shared" si="0"/>
        <v>196.92862999999997</v>
      </c>
      <c r="Q14" s="520"/>
      <c r="R14" s="520"/>
      <c r="S14" s="520"/>
      <c r="T14" s="520"/>
    </row>
    <row r="15" spans="1:20">
      <c r="A15" s="196" t="s">
        <v>294</v>
      </c>
      <c r="B15" s="545">
        <v>25.422000000000001</v>
      </c>
      <c r="C15" s="546">
        <v>16.079000000000001</v>
      </c>
      <c r="D15" s="546">
        <v>25.518999999999998</v>
      </c>
      <c r="E15" s="546">
        <v>78.285150000000002</v>
      </c>
      <c r="F15" s="546">
        <v>38.04074</v>
      </c>
      <c r="G15" s="546">
        <v>13.76216</v>
      </c>
      <c r="H15" s="546">
        <v>41.713540000000002</v>
      </c>
      <c r="I15" s="546">
        <v>50.743729999999999</v>
      </c>
      <c r="J15" s="546">
        <v>0</v>
      </c>
      <c r="K15" s="546">
        <v>0</v>
      </c>
      <c r="L15" s="546">
        <v>0</v>
      </c>
      <c r="M15" s="546">
        <v>0</v>
      </c>
      <c r="N15" s="334">
        <f t="shared" si="0"/>
        <v>289.56532000000004</v>
      </c>
      <c r="Q15" s="520"/>
      <c r="R15" s="520"/>
      <c r="S15" s="520"/>
      <c r="T15" s="520"/>
    </row>
    <row r="16" spans="1:20">
      <c r="A16" s="196" t="s">
        <v>179</v>
      </c>
      <c r="B16" s="545">
        <v>12.194000000000001</v>
      </c>
      <c r="C16" s="546">
        <v>12.827999999999999</v>
      </c>
      <c r="D16" s="546">
        <v>19.89</v>
      </c>
      <c r="E16" s="546">
        <v>4.95594</v>
      </c>
      <c r="F16" s="546">
        <v>9.8368500000000001</v>
      </c>
      <c r="G16" s="546">
        <v>11.208629999999999</v>
      </c>
      <c r="H16" s="546">
        <v>10.423500000000001</v>
      </c>
      <c r="I16" s="546">
        <v>13.44674</v>
      </c>
      <c r="J16" s="546">
        <v>0</v>
      </c>
      <c r="K16" s="546">
        <v>0</v>
      </c>
      <c r="L16" s="546">
        <v>0</v>
      </c>
      <c r="M16" s="546">
        <v>0</v>
      </c>
      <c r="N16" s="334">
        <f t="shared" si="0"/>
        <v>94.783660000000012</v>
      </c>
      <c r="Q16" s="520"/>
      <c r="R16" s="520"/>
      <c r="S16" s="520"/>
      <c r="T16" s="520"/>
    </row>
    <row r="17" spans="1:20">
      <c r="A17" s="196" t="s">
        <v>180</v>
      </c>
      <c r="B17" s="545">
        <v>8.3819999999999997</v>
      </c>
      <c r="C17" s="546">
        <v>10.196</v>
      </c>
      <c r="D17" s="546">
        <v>8.093</v>
      </c>
      <c r="E17" s="546">
        <v>8.6605699999999999</v>
      </c>
      <c r="F17" s="546">
        <v>8.4446499999999993</v>
      </c>
      <c r="G17" s="546">
        <v>16.071899999999999</v>
      </c>
      <c r="H17" s="546">
        <v>4.3300799999999997</v>
      </c>
      <c r="I17" s="546">
        <v>6.13652</v>
      </c>
      <c r="J17" s="546">
        <v>0</v>
      </c>
      <c r="K17" s="546">
        <v>0</v>
      </c>
      <c r="L17" s="546">
        <v>0</v>
      </c>
      <c r="M17" s="546">
        <v>0</v>
      </c>
      <c r="N17" s="334">
        <f t="shared" si="0"/>
        <v>70.314719999999994</v>
      </c>
      <c r="Q17" s="520"/>
      <c r="R17" s="520"/>
      <c r="S17" s="520"/>
      <c r="T17" s="520"/>
    </row>
    <row r="18" spans="1:20">
      <c r="A18" s="196" t="s">
        <v>295</v>
      </c>
      <c r="B18" s="545">
        <v>0</v>
      </c>
      <c r="C18" s="546">
        <v>0</v>
      </c>
      <c r="D18" s="546">
        <v>0</v>
      </c>
      <c r="E18" s="546">
        <v>0</v>
      </c>
      <c r="F18" s="546">
        <v>0</v>
      </c>
      <c r="G18" s="546">
        <v>0</v>
      </c>
      <c r="H18" s="546">
        <v>0</v>
      </c>
      <c r="I18" s="546">
        <v>0</v>
      </c>
      <c r="J18" s="546">
        <v>0</v>
      </c>
      <c r="K18" s="546">
        <v>0</v>
      </c>
      <c r="L18" s="546">
        <v>0</v>
      </c>
      <c r="M18" s="546">
        <v>0</v>
      </c>
      <c r="N18" s="334">
        <f t="shared" si="0"/>
        <v>0</v>
      </c>
      <c r="Q18" s="520"/>
      <c r="R18" s="520"/>
      <c r="S18" s="520"/>
      <c r="T18" s="520"/>
    </row>
    <row r="19" spans="1:20" ht="13.5">
      <c r="A19" s="196" t="s">
        <v>296</v>
      </c>
      <c r="B19" s="545">
        <v>0</v>
      </c>
      <c r="C19" s="546">
        <v>0</v>
      </c>
      <c r="D19" s="546">
        <v>0</v>
      </c>
      <c r="E19" s="546">
        <v>0</v>
      </c>
      <c r="F19" s="546">
        <v>0</v>
      </c>
      <c r="G19" s="546">
        <v>0</v>
      </c>
      <c r="H19" s="546">
        <v>0</v>
      </c>
      <c r="I19" s="546">
        <v>0</v>
      </c>
      <c r="J19" s="546">
        <v>0</v>
      </c>
      <c r="K19" s="546">
        <v>0</v>
      </c>
      <c r="L19" s="546">
        <v>0</v>
      </c>
      <c r="M19" s="546">
        <v>0</v>
      </c>
      <c r="N19" s="334">
        <f t="shared" si="0"/>
        <v>0</v>
      </c>
      <c r="Q19" s="520"/>
      <c r="R19" s="520"/>
      <c r="S19" s="520"/>
      <c r="T19" s="520"/>
    </row>
    <row r="20" spans="1:20" s="121" customFormat="1">
      <c r="A20" s="196" t="s">
        <v>297</v>
      </c>
      <c r="B20" s="545">
        <v>0</v>
      </c>
      <c r="C20" s="546">
        <v>0</v>
      </c>
      <c r="D20" s="546">
        <v>0</v>
      </c>
      <c r="E20" s="546">
        <v>0</v>
      </c>
      <c r="F20" s="546">
        <v>0</v>
      </c>
      <c r="G20" s="546">
        <v>0</v>
      </c>
      <c r="H20" s="546">
        <v>0</v>
      </c>
      <c r="I20" s="546">
        <v>0</v>
      </c>
      <c r="J20" s="546">
        <v>0</v>
      </c>
      <c r="K20" s="546">
        <v>0</v>
      </c>
      <c r="L20" s="546">
        <v>0</v>
      </c>
      <c r="M20" s="546">
        <v>0</v>
      </c>
      <c r="N20" s="334">
        <f t="shared" si="0"/>
        <v>0</v>
      </c>
      <c r="Q20" s="520"/>
      <c r="R20" s="520"/>
      <c r="S20" s="520"/>
      <c r="T20" s="520"/>
    </row>
    <row r="21" spans="1:20" s="121" customFormat="1">
      <c r="A21" s="196" t="s">
        <v>298</v>
      </c>
      <c r="B21" s="545">
        <v>0</v>
      </c>
      <c r="C21" s="546">
        <v>17.693000000000001</v>
      </c>
      <c r="D21" s="546">
        <v>19.661000000000001</v>
      </c>
      <c r="E21" s="546">
        <v>0</v>
      </c>
      <c r="F21" s="546">
        <v>0</v>
      </c>
      <c r="G21" s="546">
        <v>0.38146000000000002</v>
      </c>
      <c r="H21" s="546">
        <v>5.2576999999999998</v>
      </c>
      <c r="I21" s="546">
        <v>25.82912</v>
      </c>
      <c r="J21" s="546">
        <v>0</v>
      </c>
      <c r="K21" s="546">
        <v>0</v>
      </c>
      <c r="L21" s="546">
        <v>0</v>
      </c>
      <c r="M21" s="546">
        <v>0</v>
      </c>
      <c r="N21" s="334">
        <f>SUM(B21:M21)</f>
        <v>68.822279999999992</v>
      </c>
      <c r="Q21" s="520"/>
      <c r="R21" s="520"/>
      <c r="S21" s="520"/>
      <c r="T21" s="520"/>
    </row>
    <row r="22" spans="1:20" ht="13.5">
      <c r="A22" s="196" t="s">
        <v>299</v>
      </c>
      <c r="B22" s="545">
        <v>52.804000000000002</v>
      </c>
      <c r="C22" s="546">
        <v>2.57</v>
      </c>
      <c r="D22" s="546">
        <v>0.89900000000000002</v>
      </c>
      <c r="E22" s="546">
        <v>1.10321</v>
      </c>
      <c r="F22" s="546">
        <v>1.07985</v>
      </c>
      <c r="G22" s="546">
        <v>0.63338000000000005</v>
      </c>
      <c r="H22" s="546">
        <v>46.424330000000005</v>
      </c>
      <c r="I22" s="546">
        <v>-3.61809</v>
      </c>
      <c r="J22" s="546">
        <v>0</v>
      </c>
      <c r="K22" s="546">
        <v>0</v>
      </c>
      <c r="L22" s="546">
        <v>0</v>
      </c>
      <c r="M22" s="546">
        <v>0</v>
      </c>
      <c r="N22" s="334">
        <f t="shared" si="0"/>
        <v>101.89568000000001</v>
      </c>
      <c r="Q22" s="520"/>
      <c r="R22" s="520"/>
      <c r="S22" s="520"/>
      <c r="T22" s="520"/>
    </row>
    <row r="23" spans="1:20" ht="14.25">
      <c r="A23" s="196" t="s">
        <v>300</v>
      </c>
      <c r="B23" s="545">
        <v>4.2999999999999997E-2</v>
      </c>
      <c r="C23" s="546">
        <v>13.542999999999999</v>
      </c>
      <c r="D23" s="546">
        <v>24.450559999999999</v>
      </c>
      <c r="E23" s="546">
        <v>29.317260000000001</v>
      </c>
      <c r="F23" s="546">
        <v>5.9776100000000003</v>
      </c>
      <c r="G23" s="546">
        <v>209.85838000000001</v>
      </c>
      <c r="H23" s="546">
        <v>-76.67889000000001</v>
      </c>
      <c r="I23" s="546">
        <v>87.614080000000001</v>
      </c>
      <c r="J23" s="546">
        <v>0</v>
      </c>
      <c r="K23" s="546">
        <v>0</v>
      </c>
      <c r="L23" s="546">
        <v>0</v>
      </c>
      <c r="M23" s="546">
        <v>0</v>
      </c>
      <c r="N23" s="334">
        <f t="shared" si="0"/>
        <v>294.125</v>
      </c>
      <c r="Q23" s="520"/>
      <c r="R23" s="520"/>
      <c r="S23" s="520"/>
      <c r="T23" s="520"/>
    </row>
    <row r="24" spans="1:20">
      <c r="A24" s="196" t="s">
        <v>301</v>
      </c>
      <c r="B24" s="545">
        <v>34.704000000000001</v>
      </c>
      <c r="C24" s="546">
        <v>52.957999999999998</v>
      </c>
      <c r="D24" s="546">
        <v>48.078000000000003</v>
      </c>
      <c r="E24" s="546">
        <v>40.80603</v>
      </c>
      <c r="F24" s="546">
        <v>52.581800000000001</v>
      </c>
      <c r="G24" s="546">
        <v>54.091990000000003</v>
      </c>
      <c r="H24" s="546">
        <v>49.074069999999999</v>
      </c>
      <c r="I24" s="546">
        <v>50.402450000000002</v>
      </c>
      <c r="J24" s="546">
        <v>0</v>
      </c>
      <c r="K24" s="546">
        <v>0</v>
      </c>
      <c r="L24" s="546">
        <v>0</v>
      </c>
      <c r="M24" s="546">
        <v>0</v>
      </c>
      <c r="N24" s="334">
        <f t="shared" si="0"/>
        <v>382.69634000000002</v>
      </c>
      <c r="Q24" s="520"/>
      <c r="R24" s="520"/>
      <c r="S24" s="520"/>
      <c r="T24" s="520"/>
    </row>
    <row r="25" spans="1:20">
      <c r="A25" s="196" t="s">
        <v>302</v>
      </c>
      <c r="B25" s="545">
        <v>4.1840000000000002</v>
      </c>
      <c r="C25" s="546">
        <v>22.571999999999999</v>
      </c>
      <c r="D25" s="546">
        <v>167.18547000000001</v>
      </c>
      <c r="E25" s="546">
        <v>68.229879999999994</v>
      </c>
      <c r="F25" s="546">
        <v>85.472489999999993</v>
      </c>
      <c r="G25" s="546">
        <v>204.65241</v>
      </c>
      <c r="H25" s="546">
        <v>16.200479999999999</v>
      </c>
      <c r="I25" s="546">
        <v>149.66304</v>
      </c>
      <c r="J25" s="546">
        <v>0</v>
      </c>
      <c r="K25" s="546">
        <v>0</v>
      </c>
      <c r="L25" s="546">
        <v>0</v>
      </c>
      <c r="M25" s="546">
        <v>0</v>
      </c>
      <c r="N25" s="334">
        <f t="shared" si="0"/>
        <v>718.15976999999998</v>
      </c>
      <c r="Q25" s="520"/>
      <c r="R25" s="520"/>
      <c r="S25" s="520"/>
      <c r="T25" s="520"/>
    </row>
    <row r="26" spans="1:20" ht="13.5">
      <c r="A26" s="196" t="s">
        <v>303</v>
      </c>
      <c r="B26" s="545">
        <v>-9.5389999999999997</v>
      </c>
      <c r="C26" s="546">
        <v>68.260999999999996</v>
      </c>
      <c r="D26" s="546">
        <v>71.935000000000002</v>
      </c>
      <c r="E26" s="546">
        <v>75.594430000000003</v>
      </c>
      <c r="F26" s="546">
        <v>101.52406999999999</v>
      </c>
      <c r="G26" s="546">
        <v>74.753529999999998</v>
      </c>
      <c r="H26" s="546">
        <v>65.000640000000004</v>
      </c>
      <c r="I26" s="546">
        <v>85.477930000000001</v>
      </c>
      <c r="J26" s="546">
        <v>0</v>
      </c>
      <c r="K26" s="546">
        <v>0</v>
      </c>
      <c r="L26" s="546">
        <v>0</v>
      </c>
      <c r="M26" s="546">
        <v>0</v>
      </c>
      <c r="N26" s="334">
        <f t="shared" si="0"/>
        <v>533.00760000000002</v>
      </c>
      <c r="Q26" s="520"/>
      <c r="R26" s="520"/>
      <c r="S26" s="520"/>
      <c r="T26" s="520"/>
    </row>
    <row r="27" spans="1:20" s="130" customFormat="1">
      <c r="A27" s="196" t="s">
        <v>196</v>
      </c>
      <c r="B27" s="545">
        <v>0</v>
      </c>
      <c r="C27" s="546">
        <v>0</v>
      </c>
      <c r="D27" s="546">
        <v>35.493000000000002</v>
      </c>
      <c r="E27" s="546">
        <v>0</v>
      </c>
      <c r="F27" s="546">
        <v>63.154470000000003</v>
      </c>
      <c r="G27" s="546">
        <v>0</v>
      </c>
      <c r="H27" s="546">
        <v>47.484760000000001</v>
      </c>
      <c r="I27" s="546">
        <v>0</v>
      </c>
      <c r="J27" s="546">
        <v>0</v>
      </c>
      <c r="K27" s="546">
        <v>0</v>
      </c>
      <c r="L27" s="546">
        <v>0</v>
      </c>
      <c r="M27" s="546">
        <v>0</v>
      </c>
      <c r="N27" s="334">
        <f t="shared" si="0"/>
        <v>146.13222999999999</v>
      </c>
      <c r="O27" s="119"/>
      <c r="Q27" s="520"/>
      <c r="R27" s="520"/>
      <c r="S27" s="520"/>
      <c r="T27" s="520"/>
    </row>
    <row r="28" spans="1:20" s="130" customFormat="1" ht="13.5">
      <c r="A28" s="260" t="s">
        <v>304</v>
      </c>
      <c r="B28" s="545">
        <v>6.734</v>
      </c>
      <c r="C28" s="546">
        <v>0</v>
      </c>
      <c r="D28" s="546">
        <v>21.42</v>
      </c>
      <c r="E28" s="546">
        <v>10.71</v>
      </c>
      <c r="F28" s="546">
        <v>13.387499999999999</v>
      </c>
      <c r="G28" s="546">
        <v>57.298499999999997</v>
      </c>
      <c r="H28" s="546">
        <v>-38.555999999999997</v>
      </c>
      <c r="I28" s="546">
        <v>118.881</v>
      </c>
      <c r="J28" s="546">
        <v>0</v>
      </c>
      <c r="K28" s="546">
        <v>0</v>
      </c>
      <c r="L28" s="546">
        <v>0</v>
      </c>
      <c r="M28" s="546">
        <v>0</v>
      </c>
      <c r="N28" s="334">
        <f t="shared" si="0"/>
        <v>189.875</v>
      </c>
      <c r="O28" s="119"/>
      <c r="Q28" s="520"/>
      <c r="R28" s="520"/>
      <c r="S28" s="520"/>
      <c r="T28" s="520"/>
    </row>
    <row r="29" spans="1:20" s="130" customFormat="1">
      <c r="A29" s="260" t="s">
        <v>305</v>
      </c>
      <c r="B29" s="545">
        <v>0</v>
      </c>
      <c r="C29" s="546">
        <v>0</v>
      </c>
      <c r="D29" s="546">
        <v>0</v>
      </c>
      <c r="E29" s="546">
        <v>0</v>
      </c>
      <c r="F29" s="546">
        <v>0</v>
      </c>
      <c r="G29" s="546">
        <v>0</v>
      </c>
      <c r="H29" s="546">
        <v>23.054190000000006</v>
      </c>
      <c r="I29" s="546">
        <v>2.1812999999999998</v>
      </c>
      <c r="J29" s="546">
        <v>0</v>
      </c>
      <c r="K29" s="546">
        <v>0</v>
      </c>
      <c r="L29" s="546">
        <v>0</v>
      </c>
      <c r="M29" s="546">
        <v>0</v>
      </c>
      <c r="N29" s="334">
        <f t="shared" si="0"/>
        <v>25.235490000000006</v>
      </c>
      <c r="O29" s="119"/>
      <c r="Q29" s="520"/>
      <c r="R29" s="520"/>
      <c r="S29" s="520"/>
      <c r="T29" s="520"/>
    </row>
    <row r="30" spans="1:20" s="130" customFormat="1" ht="15" customHeight="1">
      <c r="A30" s="196" t="s">
        <v>306</v>
      </c>
      <c r="B30" s="545">
        <v>0.13600000000000001</v>
      </c>
      <c r="C30" s="546">
        <v>0.32300000000000001</v>
      </c>
      <c r="D30" s="546">
        <v>0.28494000000000003</v>
      </c>
      <c r="E30" s="546">
        <v>0.40883999999999998</v>
      </c>
      <c r="F30" s="546">
        <v>0.49707000000000001</v>
      </c>
      <c r="G30" s="546">
        <v>0.36151</v>
      </c>
      <c r="H30" s="546">
        <v>0.43675999999999998</v>
      </c>
      <c r="I30" s="546">
        <v>0.31261</v>
      </c>
      <c r="J30" s="546">
        <v>0</v>
      </c>
      <c r="K30" s="546">
        <v>0</v>
      </c>
      <c r="L30" s="546">
        <v>0</v>
      </c>
      <c r="M30" s="546">
        <v>0</v>
      </c>
      <c r="N30" s="334">
        <f t="shared" si="0"/>
        <v>2.7607299999999997</v>
      </c>
      <c r="Q30" s="520"/>
      <c r="R30" s="520"/>
      <c r="S30" s="520"/>
      <c r="T30" s="520"/>
    </row>
    <row r="31" spans="1:20" s="130" customFormat="1" ht="13.5">
      <c r="A31" s="196" t="s">
        <v>307</v>
      </c>
      <c r="B31" s="545">
        <v>0.71099999999999997</v>
      </c>
      <c r="C31" s="546">
        <v>-0.59</v>
      </c>
      <c r="D31" s="546">
        <v>8.2059999999999994E-2</v>
      </c>
      <c r="E31" s="546">
        <v>1.63628</v>
      </c>
      <c r="F31" s="546">
        <v>1.68347</v>
      </c>
      <c r="G31" s="546">
        <v>1.78731</v>
      </c>
      <c r="H31" s="546">
        <v>0.76972000000000007</v>
      </c>
      <c r="I31" s="546">
        <v>1.2787200000000001</v>
      </c>
      <c r="J31" s="546">
        <v>0</v>
      </c>
      <c r="K31" s="546">
        <v>0</v>
      </c>
      <c r="L31" s="546">
        <v>0</v>
      </c>
      <c r="M31" s="546">
        <v>0</v>
      </c>
      <c r="N31" s="334">
        <f t="shared" si="0"/>
        <v>7.3585599999999998</v>
      </c>
      <c r="Q31" s="520"/>
      <c r="R31" s="520"/>
      <c r="S31" s="520"/>
      <c r="T31" s="520"/>
    </row>
    <row r="32" spans="1:20" s="130" customFormat="1" ht="13.5">
      <c r="A32" s="196" t="s">
        <v>308</v>
      </c>
      <c r="B32" s="545">
        <v>0.24199999999999999</v>
      </c>
      <c r="C32" s="546">
        <v>0.19400000000000001</v>
      </c>
      <c r="D32" s="546">
        <v>0.28401999999999999</v>
      </c>
      <c r="E32" s="546">
        <v>0.24529999999999999</v>
      </c>
      <c r="F32" s="546">
        <v>0.29824000000000001</v>
      </c>
      <c r="G32" s="546">
        <v>0.21690999999999999</v>
      </c>
      <c r="H32" s="546">
        <v>0.26206000000000002</v>
      </c>
      <c r="I32" s="546">
        <v>0.18756999999999999</v>
      </c>
      <c r="J32" s="546">
        <v>0</v>
      </c>
      <c r="K32" s="546">
        <v>0</v>
      </c>
      <c r="L32" s="546">
        <v>0</v>
      </c>
      <c r="M32" s="546">
        <v>0</v>
      </c>
      <c r="N32" s="334">
        <f t="shared" si="0"/>
        <v>1.9300999999999999</v>
      </c>
      <c r="Q32" s="520"/>
      <c r="R32" s="520"/>
      <c r="S32" s="520"/>
      <c r="T32" s="520"/>
    </row>
    <row r="33" spans="1:20" s="130" customFormat="1" ht="13.5">
      <c r="A33" s="196" t="s">
        <v>309</v>
      </c>
      <c r="B33" s="545">
        <v>-0.32300000000000001</v>
      </c>
      <c r="C33" s="546">
        <v>0</v>
      </c>
      <c r="D33" s="546">
        <v>0</v>
      </c>
      <c r="E33" s="546">
        <v>0</v>
      </c>
      <c r="F33" s="546">
        <v>0</v>
      </c>
      <c r="G33" s="546">
        <v>0</v>
      </c>
      <c r="H33" s="546">
        <v>0</v>
      </c>
      <c r="I33" s="546">
        <v>0</v>
      </c>
      <c r="J33" s="546">
        <v>0</v>
      </c>
      <c r="K33" s="546">
        <v>0</v>
      </c>
      <c r="L33" s="546">
        <v>0</v>
      </c>
      <c r="M33" s="546">
        <v>0</v>
      </c>
      <c r="N33" s="334">
        <f t="shared" si="0"/>
        <v>-0.32300000000000001</v>
      </c>
      <c r="Q33" s="520"/>
      <c r="R33" s="520"/>
      <c r="S33" s="520"/>
      <c r="T33" s="520"/>
    </row>
    <row r="34" spans="1:20" s="130" customFormat="1" ht="13.5">
      <c r="A34" s="196" t="s">
        <v>310</v>
      </c>
      <c r="B34" s="545">
        <v>9.7639999999999993</v>
      </c>
      <c r="C34" s="546">
        <v>-0.19800000000000001</v>
      </c>
      <c r="D34" s="546">
        <v>222.19684000000001</v>
      </c>
      <c r="E34" s="546">
        <v>-23.363849999999999</v>
      </c>
      <c r="F34" s="546">
        <v>328.02131000000003</v>
      </c>
      <c r="G34" s="546">
        <v>70.897000000000006</v>
      </c>
      <c r="H34" s="546">
        <v>-29.766290000000001</v>
      </c>
      <c r="I34" s="546">
        <v>-31.199269999999999</v>
      </c>
      <c r="J34" s="546">
        <v>0</v>
      </c>
      <c r="K34" s="546">
        <v>0</v>
      </c>
      <c r="L34" s="546">
        <v>0</v>
      </c>
      <c r="M34" s="546">
        <v>0</v>
      </c>
      <c r="N34" s="334">
        <f t="shared" si="0"/>
        <v>546.35174000000006</v>
      </c>
      <c r="Q34" s="520"/>
      <c r="R34" s="520"/>
      <c r="S34" s="520"/>
      <c r="T34" s="520"/>
    </row>
    <row r="35" spans="1:20" s="130" customFormat="1" ht="13.5">
      <c r="A35" s="196" t="s">
        <v>311</v>
      </c>
      <c r="B35" s="547">
        <v>248.40100000000001</v>
      </c>
      <c r="C35" s="548">
        <v>248.40100000000001</v>
      </c>
      <c r="D35" s="548">
        <v>496.80354</v>
      </c>
      <c r="E35" s="548">
        <v>496.80354999999997</v>
      </c>
      <c r="F35" s="548">
        <v>-248.40177</v>
      </c>
      <c r="G35" s="548">
        <v>248.40177</v>
      </c>
      <c r="H35" s="548">
        <v>248.40177</v>
      </c>
      <c r="I35" s="548">
        <v>248.40178</v>
      </c>
      <c r="J35" s="548">
        <v>0</v>
      </c>
      <c r="K35" s="548">
        <v>0</v>
      </c>
      <c r="L35" s="548">
        <v>0</v>
      </c>
      <c r="M35" s="548">
        <v>0</v>
      </c>
      <c r="N35" s="334">
        <f t="shared" si="0"/>
        <v>1987.21264</v>
      </c>
      <c r="Q35" s="520"/>
      <c r="R35" s="520"/>
      <c r="S35" s="520"/>
      <c r="T35" s="520"/>
    </row>
    <row r="36" spans="1:20">
      <c r="A36" s="682" t="s">
        <v>312</v>
      </c>
      <c r="B36" s="341">
        <f t="shared" ref="B36:M36" si="1">SUM(B9:B35)</f>
        <v>470.48538000000008</v>
      </c>
      <c r="C36" s="332">
        <f t="shared" si="1"/>
        <v>573.93499999999995</v>
      </c>
      <c r="D36" s="332">
        <f t="shared" si="1"/>
        <v>1237.51143</v>
      </c>
      <c r="E36" s="332">
        <f t="shared" si="1"/>
        <v>877.86405999999988</v>
      </c>
      <c r="F36" s="366">
        <f t="shared" si="1"/>
        <v>578.9210700000001</v>
      </c>
      <c r="G36" s="366">
        <f t="shared" si="1"/>
        <v>1043.21975</v>
      </c>
      <c r="H36" s="366">
        <f t="shared" si="1"/>
        <v>499.63931000000002</v>
      </c>
      <c r="I36" s="366">
        <f t="shared" si="1"/>
        <v>891.35230999999999</v>
      </c>
      <c r="J36" s="366">
        <f t="shared" si="1"/>
        <v>0</v>
      </c>
      <c r="K36" s="366">
        <f t="shared" si="1"/>
        <v>0</v>
      </c>
      <c r="L36" s="366">
        <f t="shared" si="1"/>
        <v>0</v>
      </c>
      <c r="M36" s="366">
        <f t="shared" si="1"/>
        <v>0</v>
      </c>
      <c r="N36" s="636">
        <f>SUM(N9:N35)</f>
        <v>6172.9283100000011</v>
      </c>
      <c r="Q36" s="520"/>
      <c r="R36" s="520"/>
    </row>
    <row r="37" spans="1:20">
      <c r="A37" s="196"/>
      <c r="B37" s="330"/>
      <c r="C37" s="331"/>
      <c r="D37" s="331"/>
      <c r="E37" s="331"/>
      <c r="F37" s="331"/>
      <c r="G37" s="331"/>
      <c r="H37" s="331"/>
      <c r="I37" s="331"/>
      <c r="J37" s="331"/>
      <c r="K37" s="331"/>
      <c r="L37" s="331"/>
      <c r="M37" s="331"/>
      <c r="N37" s="334"/>
    </row>
    <row r="38" spans="1:20" s="130" customFormat="1">
      <c r="A38" s="195" t="s">
        <v>313</v>
      </c>
      <c r="B38" s="330"/>
      <c r="C38" s="331"/>
      <c r="D38" s="331"/>
      <c r="E38" s="331"/>
      <c r="F38" s="331"/>
      <c r="G38" s="331"/>
      <c r="H38" s="331"/>
      <c r="I38" s="331"/>
      <c r="J38" s="331"/>
      <c r="K38" s="331"/>
      <c r="L38" s="331"/>
      <c r="M38" s="331"/>
      <c r="N38" s="334"/>
      <c r="O38" s="119"/>
    </row>
    <row r="39" spans="1:20" ht="13.5">
      <c r="A39" s="511" t="s">
        <v>314</v>
      </c>
      <c r="B39" s="543">
        <v>0.9</v>
      </c>
      <c r="C39" s="544">
        <v>0.06</v>
      </c>
      <c r="D39" s="544">
        <v>41.68</v>
      </c>
      <c r="E39" s="544">
        <v>0.32</v>
      </c>
      <c r="F39" s="544">
        <v>0.04</v>
      </c>
      <c r="G39" s="544">
        <v>0.06</v>
      </c>
      <c r="H39" s="690">
        <v>0.04</v>
      </c>
      <c r="I39" s="690">
        <v>0.02</v>
      </c>
      <c r="J39" s="544">
        <v>0</v>
      </c>
      <c r="K39" s="544">
        <v>0</v>
      </c>
      <c r="L39" s="544">
        <v>0</v>
      </c>
      <c r="M39" s="544">
        <v>0</v>
      </c>
      <c r="N39" s="653">
        <f t="shared" ref="N39:N49" si="2">SUM(B39:M39)</f>
        <v>43.120000000000005</v>
      </c>
      <c r="R39" s="519"/>
    </row>
    <row r="40" spans="1:20" s="121" customFormat="1" ht="14.25">
      <c r="A40" s="511" t="s">
        <v>315</v>
      </c>
      <c r="B40" s="545">
        <v>40.75806</v>
      </c>
      <c r="C40" s="546">
        <v>32.123260000000002</v>
      </c>
      <c r="D40" s="546">
        <v>0.92837999999999998</v>
      </c>
      <c r="E40" s="546">
        <v>0.10868</v>
      </c>
      <c r="F40" s="546">
        <v>5.3999999999999999E-2</v>
      </c>
      <c r="G40" s="546">
        <v>-2.5020000000000001E-2</v>
      </c>
      <c r="H40" s="546">
        <v>0</v>
      </c>
      <c r="I40" s="546">
        <v>0</v>
      </c>
      <c r="J40" s="546">
        <v>0</v>
      </c>
      <c r="K40" s="546">
        <v>0</v>
      </c>
      <c r="L40" s="546">
        <v>0</v>
      </c>
      <c r="M40" s="546">
        <v>0</v>
      </c>
      <c r="N40" s="334">
        <f t="shared" si="2"/>
        <v>73.947360000000018</v>
      </c>
    </row>
    <row r="41" spans="1:20" ht="13.5">
      <c r="A41" s="511" t="s">
        <v>316</v>
      </c>
      <c r="B41" s="545">
        <v>0.38719999999999999</v>
      </c>
      <c r="C41" s="546">
        <v>0.39023999999999998</v>
      </c>
      <c r="D41" s="546">
        <v>-1.20072</v>
      </c>
      <c r="E41" s="546">
        <v>0</v>
      </c>
      <c r="F41" s="546">
        <v>0</v>
      </c>
      <c r="G41" s="546">
        <v>0</v>
      </c>
      <c r="H41" s="546">
        <v>0</v>
      </c>
      <c r="I41" s="546">
        <v>0</v>
      </c>
      <c r="J41" s="546">
        <v>0</v>
      </c>
      <c r="K41" s="546">
        <v>0</v>
      </c>
      <c r="L41" s="546">
        <v>0</v>
      </c>
      <c r="M41" s="546">
        <v>0</v>
      </c>
      <c r="N41" s="334">
        <f t="shared" si="2"/>
        <v>-0.4232800000000001</v>
      </c>
    </row>
    <row r="42" spans="1:20" ht="13.5">
      <c r="A42" s="196" t="s">
        <v>317</v>
      </c>
      <c r="B42" s="545">
        <v>48.863999999999997</v>
      </c>
      <c r="C42" s="546">
        <v>0</v>
      </c>
      <c r="D42" s="546">
        <v>0</v>
      </c>
      <c r="E42" s="546">
        <v>0</v>
      </c>
      <c r="F42" s="546">
        <v>0</v>
      </c>
      <c r="G42" s="546">
        <v>0</v>
      </c>
      <c r="H42" s="546">
        <v>11.447469999999999</v>
      </c>
      <c r="I42" s="546">
        <v>-11.447469999999999</v>
      </c>
      <c r="J42" s="546">
        <v>0</v>
      </c>
      <c r="K42" s="546">
        <v>0</v>
      </c>
      <c r="L42" s="546">
        <v>0</v>
      </c>
      <c r="M42" s="546">
        <v>0</v>
      </c>
      <c r="N42" s="334">
        <f t="shared" si="2"/>
        <v>48.864000000000004</v>
      </c>
    </row>
    <row r="43" spans="1:20">
      <c r="A43" s="196" t="s">
        <v>318</v>
      </c>
      <c r="B43" s="545">
        <v>0</v>
      </c>
      <c r="C43" s="546">
        <v>0</v>
      </c>
      <c r="D43" s="546">
        <v>0</v>
      </c>
      <c r="E43" s="546">
        <v>0</v>
      </c>
      <c r="F43" s="546">
        <v>0</v>
      </c>
      <c r="G43" s="546">
        <v>0</v>
      </c>
      <c r="H43" s="546">
        <v>0</v>
      </c>
      <c r="I43" s="546">
        <v>11.447469999999999</v>
      </c>
      <c r="J43" s="546">
        <v>0</v>
      </c>
      <c r="K43" s="546">
        <v>0</v>
      </c>
      <c r="L43" s="546">
        <v>0</v>
      </c>
      <c r="M43" s="546">
        <v>0</v>
      </c>
      <c r="N43" s="334">
        <f t="shared" si="2"/>
        <v>11.447469999999999</v>
      </c>
    </row>
    <row r="44" spans="1:20" ht="13.5">
      <c r="A44" s="196" t="s">
        <v>319</v>
      </c>
      <c r="B44" s="545">
        <v>0.871</v>
      </c>
      <c r="C44" s="546">
        <v>-15.92</v>
      </c>
      <c r="D44" s="546">
        <v>50.101100000000002</v>
      </c>
      <c r="E44" s="546">
        <v>49.377299999999998</v>
      </c>
      <c r="F44" s="546">
        <v>-0.57321999999999995</v>
      </c>
      <c r="G44" s="546">
        <v>250.21605</v>
      </c>
      <c r="H44" s="546">
        <v>-42.273000000000003</v>
      </c>
      <c r="I44" s="546">
        <v>131.59299999999999</v>
      </c>
      <c r="J44" s="546">
        <v>0</v>
      </c>
      <c r="K44" s="546">
        <v>0</v>
      </c>
      <c r="L44" s="546">
        <v>0</v>
      </c>
      <c r="M44" s="546">
        <v>0</v>
      </c>
      <c r="N44" s="334">
        <f t="shared" si="2"/>
        <v>423.39222999999993</v>
      </c>
    </row>
    <row r="45" spans="1:20">
      <c r="A45" s="197" t="s">
        <v>320</v>
      </c>
      <c r="B45" s="545">
        <v>23.6</v>
      </c>
      <c r="C45" s="546">
        <v>46.6</v>
      </c>
      <c r="D45" s="546">
        <v>53.7</v>
      </c>
      <c r="E45" s="546">
        <v>24.5</v>
      </c>
      <c r="F45" s="546">
        <v>31.55</v>
      </c>
      <c r="G45" s="546">
        <v>19.2</v>
      </c>
      <c r="H45" s="546">
        <v>40.450000000000003</v>
      </c>
      <c r="I45" s="546">
        <v>57.9</v>
      </c>
      <c r="J45" s="546">
        <v>0</v>
      </c>
      <c r="K45" s="546">
        <v>0</v>
      </c>
      <c r="L45" s="546">
        <v>0</v>
      </c>
      <c r="M45" s="546">
        <v>0</v>
      </c>
      <c r="N45" s="334">
        <f t="shared" si="2"/>
        <v>297.5</v>
      </c>
    </row>
    <row r="46" spans="1:20" ht="13.5">
      <c r="A46" s="196" t="s">
        <v>321</v>
      </c>
      <c r="B46" s="545">
        <v>0</v>
      </c>
      <c r="C46" s="546">
        <v>0</v>
      </c>
      <c r="D46" s="546">
        <v>0</v>
      </c>
      <c r="E46" s="546">
        <v>0</v>
      </c>
      <c r="F46" s="546">
        <v>0</v>
      </c>
      <c r="G46" s="546">
        <v>0</v>
      </c>
      <c r="H46" s="546">
        <v>0</v>
      </c>
      <c r="I46" s="546">
        <v>0</v>
      </c>
      <c r="J46" s="546">
        <v>0</v>
      </c>
      <c r="K46" s="546">
        <v>0</v>
      </c>
      <c r="L46" s="546">
        <v>0</v>
      </c>
      <c r="M46" s="546">
        <v>0</v>
      </c>
      <c r="N46" s="334">
        <f t="shared" si="2"/>
        <v>0</v>
      </c>
    </row>
    <row r="47" spans="1:20">
      <c r="A47" s="196" t="s">
        <v>295</v>
      </c>
      <c r="B47" s="545">
        <v>0</v>
      </c>
      <c r="C47" s="546">
        <v>0</v>
      </c>
      <c r="D47" s="546">
        <v>0</v>
      </c>
      <c r="E47" s="546">
        <v>0</v>
      </c>
      <c r="F47" s="546">
        <v>0</v>
      </c>
      <c r="G47" s="546">
        <v>0</v>
      </c>
      <c r="H47" s="546">
        <v>0</v>
      </c>
      <c r="I47" s="546">
        <v>0</v>
      </c>
      <c r="J47" s="546">
        <v>0</v>
      </c>
      <c r="K47" s="546">
        <v>0</v>
      </c>
      <c r="L47" s="546">
        <v>0</v>
      </c>
      <c r="M47" s="546">
        <v>0</v>
      </c>
      <c r="N47" s="334">
        <f t="shared" si="2"/>
        <v>0</v>
      </c>
    </row>
    <row r="48" spans="1:20">
      <c r="A48" s="259" t="s">
        <v>322</v>
      </c>
      <c r="B48" s="545">
        <v>0</v>
      </c>
      <c r="C48" s="546">
        <v>0</v>
      </c>
      <c r="D48" s="546">
        <v>0</v>
      </c>
      <c r="E48" s="546">
        <v>0</v>
      </c>
      <c r="F48" s="546">
        <v>0</v>
      </c>
      <c r="G48" s="546">
        <v>0</v>
      </c>
      <c r="H48" s="546">
        <v>0</v>
      </c>
      <c r="I48" s="546">
        <v>0</v>
      </c>
      <c r="J48" s="546">
        <v>0</v>
      </c>
      <c r="K48" s="546">
        <v>0</v>
      </c>
      <c r="L48" s="546">
        <v>0</v>
      </c>
      <c r="M48" s="546">
        <v>0</v>
      </c>
      <c r="N48" s="334">
        <f t="shared" si="2"/>
        <v>0</v>
      </c>
    </row>
    <row r="49" spans="1:14">
      <c r="A49" s="196" t="s">
        <v>323</v>
      </c>
      <c r="B49" s="547">
        <v>0</v>
      </c>
      <c r="C49" s="548">
        <v>0</v>
      </c>
      <c r="D49" s="548">
        <v>0</v>
      </c>
      <c r="E49" s="548">
        <v>0</v>
      </c>
      <c r="F49" s="548">
        <v>0</v>
      </c>
      <c r="G49" s="548">
        <v>0</v>
      </c>
      <c r="H49" s="548">
        <v>0</v>
      </c>
      <c r="I49" s="548">
        <v>0</v>
      </c>
      <c r="J49" s="548">
        <v>0</v>
      </c>
      <c r="K49" s="548">
        <v>0</v>
      </c>
      <c r="L49" s="548">
        <v>0</v>
      </c>
      <c r="M49" s="548">
        <v>0</v>
      </c>
      <c r="N49" s="334">
        <f t="shared" si="2"/>
        <v>0</v>
      </c>
    </row>
    <row r="50" spans="1:14">
      <c r="A50" s="261" t="s">
        <v>324</v>
      </c>
      <c r="B50" s="366">
        <f t="shared" ref="B50:M50" si="3">SUM(B39:B49)</f>
        <v>115.38025999999999</v>
      </c>
      <c r="C50" s="366">
        <f t="shared" si="3"/>
        <v>63.253500000000003</v>
      </c>
      <c r="D50" s="366">
        <f t="shared" si="3"/>
        <v>145.20875999999998</v>
      </c>
      <c r="E50" s="366">
        <f t="shared" si="3"/>
        <v>74.305980000000005</v>
      </c>
      <c r="F50" s="366">
        <f t="shared" si="3"/>
        <v>31.070779999999999</v>
      </c>
      <c r="G50" s="366">
        <f t="shared" si="3"/>
        <v>269.45103</v>
      </c>
      <c r="H50" s="366">
        <f t="shared" si="3"/>
        <v>9.6644699999999979</v>
      </c>
      <c r="I50" s="366">
        <f t="shared" si="3"/>
        <v>189.51300000000001</v>
      </c>
      <c r="J50" s="366">
        <f t="shared" si="3"/>
        <v>0</v>
      </c>
      <c r="K50" s="366">
        <f t="shared" si="3"/>
        <v>0</v>
      </c>
      <c r="L50" s="366">
        <f t="shared" si="3"/>
        <v>0</v>
      </c>
      <c r="M50" s="366">
        <f t="shared" si="3"/>
        <v>0</v>
      </c>
      <c r="N50" s="636">
        <f>SUM(N39:N49)</f>
        <v>897.84777999999994</v>
      </c>
    </row>
    <row r="51" spans="1:14" ht="20.25" customHeight="1" thickBot="1">
      <c r="A51" s="684" t="s">
        <v>325</v>
      </c>
      <c r="B51" s="342">
        <f t="shared" ref="B51:N51" si="4">B50+B36</f>
        <v>585.8656400000001</v>
      </c>
      <c r="C51" s="333">
        <f t="shared" si="4"/>
        <v>637.18849999999998</v>
      </c>
      <c r="D51" s="333">
        <f t="shared" si="4"/>
        <v>1382.72019</v>
      </c>
      <c r="E51" s="333">
        <f t="shared" si="4"/>
        <v>952.17003999999986</v>
      </c>
      <c r="F51" s="367">
        <f t="shared" si="4"/>
        <v>609.99185000000011</v>
      </c>
      <c r="G51" s="367">
        <f t="shared" si="4"/>
        <v>1312.6707799999999</v>
      </c>
      <c r="H51" s="367">
        <f t="shared" si="4"/>
        <v>509.30378000000002</v>
      </c>
      <c r="I51" s="367">
        <f t="shared" si="4"/>
        <v>1080.8653099999999</v>
      </c>
      <c r="J51" s="367">
        <f t="shared" si="4"/>
        <v>0</v>
      </c>
      <c r="K51" s="367">
        <f t="shared" si="4"/>
        <v>0</v>
      </c>
      <c r="L51" s="367">
        <f t="shared" si="4"/>
        <v>0</v>
      </c>
      <c r="M51" s="367">
        <f t="shared" si="4"/>
        <v>0</v>
      </c>
      <c r="N51" s="368">
        <f t="shared" si="4"/>
        <v>7070.7760900000012</v>
      </c>
    </row>
    <row r="52" spans="1:14" ht="16.5" customHeight="1">
      <c r="A52" s="683"/>
      <c r="B52" s="507"/>
      <c r="C52" s="507"/>
      <c r="D52" s="507"/>
      <c r="E52" s="507"/>
      <c r="F52" s="508"/>
      <c r="G52" s="508"/>
      <c r="H52" s="508"/>
      <c r="I52" s="508"/>
      <c r="J52" s="509"/>
      <c r="K52" s="508"/>
      <c r="L52" s="508"/>
      <c r="M52" s="508"/>
      <c r="N52" s="651"/>
    </row>
    <row r="53" spans="1:14" s="121" customFormat="1" ht="30.75" customHeight="1" thickBot="1">
      <c r="A53" s="506" t="s">
        <v>326</v>
      </c>
      <c r="B53" s="514">
        <f>B51+0.032</f>
        <v>585.89764000000014</v>
      </c>
      <c r="C53" s="514">
        <f>C51+0.113</f>
        <v>637.30150000000003</v>
      </c>
      <c r="D53" s="514">
        <f>D51+0.335</f>
        <v>1383.05519</v>
      </c>
      <c r="E53" s="514">
        <f>E51+1.618</f>
        <v>953.78803999999991</v>
      </c>
      <c r="F53" s="514">
        <f>F51+2.802</f>
        <v>612.79385000000013</v>
      </c>
      <c r="G53" s="514">
        <f>G51+4.346</f>
        <v>1317.0167799999999</v>
      </c>
      <c r="H53" s="514">
        <f>H51+5.112</f>
        <v>514.41578000000004</v>
      </c>
      <c r="I53" s="514">
        <f>I51+13.297</f>
        <v>1094.1623099999999</v>
      </c>
      <c r="J53" s="514">
        <v>0</v>
      </c>
      <c r="K53" s="514">
        <v>0</v>
      </c>
      <c r="L53" s="514">
        <v>0</v>
      </c>
      <c r="M53" s="514">
        <v>0</v>
      </c>
      <c r="N53" s="652">
        <f>SUM(B53:M53)</f>
        <v>7098.43109</v>
      </c>
    </row>
    <row r="54" spans="1:14" ht="12.75" customHeight="1">
      <c r="A54" s="154"/>
      <c r="B54" s="155"/>
      <c r="C54" s="155"/>
      <c r="D54" s="155"/>
      <c r="E54" s="155"/>
      <c r="F54" s="155"/>
      <c r="G54" s="155"/>
      <c r="H54" s="155"/>
      <c r="I54" s="155"/>
      <c r="J54" s="155"/>
      <c r="K54" s="155"/>
      <c r="L54" s="155"/>
      <c r="M54" s="155"/>
      <c r="N54" s="156"/>
    </row>
    <row r="55" spans="1:14" ht="12.75" customHeight="1">
      <c r="A55" s="663" t="s">
        <v>105</v>
      </c>
      <c r="B55" s="155"/>
      <c r="C55" s="155"/>
      <c r="D55" s="155"/>
      <c r="E55" s="155"/>
      <c r="F55" s="155"/>
      <c r="G55" s="155"/>
      <c r="H55" s="155"/>
      <c r="I55" s="155"/>
      <c r="J55" s="155"/>
      <c r="K55" s="155"/>
      <c r="L55" s="155"/>
      <c r="M55" s="155"/>
      <c r="N55" s="156"/>
    </row>
    <row r="56" spans="1:14" ht="14.25">
      <c r="A56" s="661" t="s">
        <v>327</v>
      </c>
    </row>
    <row r="57" spans="1:14" s="130" customFormat="1" ht="16.5" customHeight="1">
      <c r="A57" s="66" t="s">
        <v>328</v>
      </c>
      <c r="G57" s="129"/>
      <c r="H57" s="129"/>
      <c r="J57" s="174"/>
    </row>
    <row r="58" spans="1:14" ht="14.25">
      <c r="A58" s="66" t="s">
        <v>329</v>
      </c>
      <c r="I58" s="200"/>
    </row>
    <row r="59" spans="1:14" ht="14.25">
      <c r="A59" s="66" t="s">
        <v>330</v>
      </c>
    </row>
    <row r="60" spans="1:14" ht="14.25">
      <c r="A60" s="688" t="s">
        <v>331</v>
      </c>
    </row>
    <row r="61" spans="1:14" ht="14.25">
      <c r="A61" s="66" t="s">
        <v>332</v>
      </c>
      <c r="F61" s="66"/>
    </row>
    <row r="62" spans="1:14" ht="14.25">
      <c r="A62" s="66" t="s">
        <v>333</v>
      </c>
    </row>
    <row r="63" spans="1:14" ht="14.25">
      <c r="A63" s="66" t="s">
        <v>334</v>
      </c>
    </row>
    <row r="64" spans="1:14" s="66" customFormat="1" ht="13.5" customHeight="1">
      <c r="A64" s="689" t="s">
        <v>335</v>
      </c>
    </row>
    <row r="65" spans="1:1" s="66" customFormat="1" ht="13.5" customHeight="1">
      <c r="A65" s="697" t="s">
        <v>336</v>
      </c>
    </row>
    <row r="66" spans="1:1" s="66" customFormat="1" ht="13.5" customHeight="1">
      <c r="A66" s="697" t="s">
        <v>337</v>
      </c>
    </row>
    <row r="67" spans="1:1" s="66" customFormat="1" ht="13.5" customHeight="1">
      <c r="A67" s="650" t="s">
        <v>206</v>
      </c>
    </row>
    <row r="68" spans="1:1" ht="12.75">
      <c r="A68" s="655" t="s">
        <v>84</v>
      </c>
    </row>
  </sheetData>
  <printOptions horizontalCentered="1"/>
  <pageMargins left="0" right="0" top="0.55000000000000004" bottom="0" header="0.3" footer="0.15"/>
  <pageSetup paperSize="5" scale="48"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9"/>
  <sheetViews>
    <sheetView showGridLines="0" zoomScale="90" zoomScaleNormal="90" zoomScaleSheetLayoutView="75" workbookViewId="0">
      <selection activeCell="I12" sqref="I12"/>
    </sheetView>
  </sheetViews>
  <sheetFormatPr defaultColWidth="9.28515625" defaultRowHeight="12.75"/>
  <cols>
    <col min="1" max="1" width="39.28515625" style="15" customWidth="1"/>
    <col min="2" max="13" width="11" style="15" customWidth="1"/>
    <col min="14" max="14" width="15.7109375" style="15" bestFit="1" customWidth="1"/>
    <col min="15" max="15" width="9.7109375" style="15" bestFit="1" customWidth="1"/>
    <col min="16" max="16" width="9.28515625" style="15"/>
    <col min="17" max="17" width="22.28515625" style="15" customWidth="1"/>
    <col min="18" max="16384" width="9.28515625" style="15"/>
  </cols>
  <sheetData>
    <row r="2" spans="1:14">
      <c r="E2" s="79" t="s">
        <v>39</v>
      </c>
    </row>
    <row r="3" spans="1:14">
      <c r="C3" s="90"/>
      <c r="D3" s="90"/>
      <c r="E3" s="91" t="s">
        <v>338</v>
      </c>
      <c r="F3" s="90"/>
      <c r="G3" s="90"/>
    </row>
    <row r="4" spans="1:14">
      <c r="A4" s="19"/>
      <c r="D4" s="90"/>
      <c r="E4" s="82">
        <f>'Program MW '!H3</f>
        <v>44774</v>
      </c>
      <c r="F4" s="90"/>
    </row>
    <row r="5" spans="1:14">
      <c r="A5" s="19"/>
      <c r="E5" s="82"/>
    </row>
    <row r="6" spans="1:14" ht="13.5" thickBot="1">
      <c r="A6" s="19"/>
      <c r="E6" s="82"/>
    </row>
    <row r="7" spans="1:14" ht="32.25" customHeight="1">
      <c r="A7" s="20" t="s">
        <v>285</v>
      </c>
      <c r="B7" s="21" t="s">
        <v>41</v>
      </c>
      <c r="C7" s="21" t="s">
        <v>42</v>
      </c>
      <c r="D7" s="21" t="s">
        <v>43</v>
      </c>
      <c r="E7" s="21" t="s">
        <v>44</v>
      </c>
      <c r="F7" s="21" t="s">
        <v>31</v>
      </c>
      <c r="G7" s="21" t="s">
        <v>45</v>
      </c>
      <c r="H7" s="21" t="s">
        <v>58</v>
      </c>
      <c r="I7" s="21" t="s">
        <v>59</v>
      </c>
      <c r="J7" s="21" t="s">
        <v>60</v>
      </c>
      <c r="K7" s="21" t="s">
        <v>61</v>
      </c>
      <c r="L7" s="21" t="s">
        <v>62</v>
      </c>
      <c r="M7" s="21" t="s">
        <v>63</v>
      </c>
      <c r="N7" s="282" t="s">
        <v>339</v>
      </c>
    </row>
    <row r="8" spans="1:14" ht="16.5">
      <c r="A8" s="22" t="s">
        <v>340</v>
      </c>
      <c r="N8" s="205"/>
    </row>
    <row r="9" spans="1:14" ht="6" customHeight="1">
      <c r="A9" s="23"/>
      <c r="N9" s="205"/>
    </row>
    <row r="10" spans="1:14">
      <c r="A10" s="23" t="s">
        <v>287</v>
      </c>
      <c r="N10" s="205"/>
    </row>
    <row r="11" spans="1:14" ht="14.25" customHeight="1">
      <c r="A11" s="24" t="s">
        <v>117</v>
      </c>
      <c r="B11" s="549">
        <v>1.89</v>
      </c>
      <c r="C11" s="549">
        <v>2.3210000000000002</v>
      </c>
      <c r="D11" s="549">
        <v>0.19248999999999999</v>
      </c>
      <c r="E11" s="549">
        <v>0.49575000000000002</v>
      </c>
      <c r="F11" s="549">
        <v>0.43879000000000001</v>
      </c>
      <c r="G11" s="549">
        <v>0.25736999999999999</v>
      </c>
      <c r="H11" s="549">
        <v>0.36899999999999999</v>
      </c>
      <c r="I11" s="549">
        <v>0.41980000000000001</v>
      </c>
      <c r="J11" s="549">
        <v>0</v>
      </c>
      <c r="K11" s="549">
        <v>0</v>
      </c>
      <c r="L11" s="549">
        <v>0</v>
      </c>
      <c r="M11" s="549">
        <v>0</v>
      </c>
      <c r="N11" s="336">
        <f>SUM(B11:M11)</f>
        <v>6.3842000000000008</v>
      </c>
    </row>
    <row r="12" spans="1:14">
      <c r="A12" s="24" t="s">
        <v>121</v>
      </c>
      <c r="B12" s="549">
        <v>0</v>
      </c>
      <c r="C12" s="549">
        <v>0</v>
      </c>
      <c r="D12" s="549">
        <v>0</v>
      </c>
      <c r="E12" s="549">
        <v>0</v>
      </c>
      <c r="F12" s="549">
        <v>0</v>
      </c>
      <c r="G12" s="549">
        <v>0</v>
      </c>
      <c r="H12" s="549">
        <v>0</v>
      </c>
      <c r="I12" s="549">
        <v>0</v>
      </c>
      <c r="J12" s="549">
        <v>0</v>
      </c>
      <c r="K12" s="549">
        <v>0</v>
      </c>
      <c r="L12" s="549">
        <v>0</v>
      </c>
      <c r="M12" s="549">
        <v>0</v>
      </c>
      <c r="N12" s="336">
        <f>SUM(B12:M12)</f>
        <v>0</v>
      </c>
    </row>
    <row r="13" spans="1:14">
      <c r="A13" s="24" t="s">
        <v>341</v>
      </c>
      <c r="B13" s="549">
        <v>0</v>
      </c>
      <c r="C13" s="549">
        <v>0</v>
      </c>
      <c r="D13" s="549">
        <v>0</v>
      </c>
      <c r="E13" s="549">
        <v>0</v>
      </c>
      <c r="F13" s="549">
        <v>0</v>
      </c>
      <c r="G13" s="549">
        <v>0</v>
      </c>
      <c r="H13" s="549">
        <v>0</v>
      </c>
      <c r="I13" s="549">
        <v>0</v>
      </c>
      <c r="J13" s="549">
        <v>0</v>
      </c>
      <c r="K13" s="549">
        <v>0</v>
      </c>
      <c r="L13" s="549">
        <v>0</v>
      </c>
      <c r="M13" s="549">
        <v>0</v>
      </c>
      <c r="N13" s="336">
        <f>SUM(B13:M13)</f>
        <v>0</v>
      </c>
    </row>
    <row r="14" spans="1:14">
      <c r="A14" s="645" t="s">
        <v>342</v>
      </c>
      <c r="B14" s="488">
        <f t="shared" ref="B14:M14" si="0">SUM(B11:B13)</f>
        <v>1.89</v>
      </c>
      <c r="C14" s="488">
        <f t="shared" si="0"/>
        <v>2.3210000000000002</v>
      </c>
      <c r="D14" s="488">
        <f t="shared" si="0"/>
        <v>0.19248999999999999</v>
      </c>
      <c r="E14" s="488">
        <f t="shared" si="0"/>
        <v>0.49575000000000002</v>
      </c>
      <c r="F14" s="488">
        <f t="shared" si="0"/>
        <v>0.43879000000000001</v>
      </c>
      <c r="G14" s="488">
        <f t="shared" si="0"/>
        <v>0.25736999999999999</v>
      </c>
      <c r="H14" s="488">
        <f t="shared" si="0"/>
        <v>0.36899999999999999</v>
      </c>
      <c r="I14" s="488">
        <f t="shared" si="0"/>
        <v>0.41980000000000001</v>
      </c>
      <c r="J14" s="488">
        <f t="shared" si="0"/>
        <v>0</v>
      </c>
      <c r="K14" s="488">
        <f t="shared" si="0"/>
        <v>0</v>
      </c>
      <c r="L14" s="488">
        <f t="shared" si="0"/>
        <v>0</v>
      </c>
      <c r="M14" s="488">
        <f t="shared" si="0"/>
        <v>0</v>
      </c>
      <c r="N14" s="637">
        <f>SUM(B14:M14)</f>
        <v>6.3842000000000008</v>
      </c>
    </row>
    <row r="15" spans="1:14">
      <c r="A15" s="24"/>
      <c r="B15" s="335"/>
      <c r="C15" s="335"/>
      <c r="D15" s="335"/>
      <c r="E15" s="335"/>
      <c r="F15" s="335"/>
      <c r="G15" s="335"/>
      <c r="H15" s="335"/>
      <c r="I15" s="335"/>
      <c r="J15" s="335"/>
      <c r="K15" s="335"/>
      <c r="L15" s="335"/>
      <c r="M15" s="335"/>
      <c r="N15" s="336"/>
    </row>
    <row r="16" spans="1:14">
      <c r="A16" s="23" t="s">
        <v>343</v>
      </c>
      <c r="B16" s="335"/>
      <c r="C16" s="335"/>
      <c r="D16" s="335"/>
      <c r="E16" s="335"/>
      <c r="F16" s="335"/>
      <c r="G16" s="335"/>
      <c r="H16" s="335"/>
      <c r="I16" s="335"/>
      <c r="J16" s="335"/>
      <c r="K16" s="335"/>
      <c r="L16" s="335"/>
      <c r="M16" s="335"/>
      <c r="N16" s="336"/>
    </row>
    <row r="17" spans="1:19" ht="14.25">
      <c r="A17" s="24" t="s">
        <v>344</v>
      </c>
      <c r="B17" s="549">
        <v>0</v>
      </c>
      <c r="C17" s="549">
        <v>0</v>
      </c>
      <c r="D17" s="549">
        <v>0</v>
      </c>
      <c r="E17" s="549">
        <v>0</v>
      </c>
      <c r="F17" s="549">
        <v>0</v>
      </c>
      <c r="G17" s="549">
        <v>0</v>
      </c>
      <c r="H17" s="550">
        <v>0</v>
      </c>
      <c r="I17" s="550">
        <v>0</v>
      </c>
      <c r="J17" s="550">
        <v>0</v>
      </c>
      <c r="K17" s="550">
        <v>0</v>
      </c>
      <c r="L17" s="550">
        <v>0</v>
      </c>
      <c r="M17" s="550">
        <v>0</v>
      </c>
      <c r="N17" s="336">
        <f>SUM(B17:M17)</f>
        <v>0</v>
      </c>
    </row>
    <row r="18" spans="1:19">
      <c r="A18" s="645" t="s">
        <v>345</v>
      </c>
      <c r="B18" s="488">
        <f t="shared" ref="B18:M18" si="1">SUM(B17:B17)</f>
        <v>0</v>
      </c>
      <c r="C18" s="488">
        <f t="shared" si="1"/>
        <v>0</v>
      </c>
      <c r="D18" s="488">
        <f t="shared" si="1"/>
        <v>0</v>
      </c>
      <c r="E18" s="488">
        <f t="shared" si="1"/>
        <v>0</v>
      </c>
      <c r="F18" s="488">
        <f t="shared" si="1"/>
        <v>0</v>
      </c>
      <c r="G18" s="488">
        <f t="shared" si="1"/>
        <v>0</v>
      </c>
      <c r="H18" s="488">
        <f t="shared" si="1"/>
        <v>0</v>
      </c>
      <c r="I18" s="488">
        <f t="shared" si="1"/>
        <v>0</v>
      </c>
      <c r="J18" s="488">
        <f t="shared" si="1"/>
        <v>0</v>
      </c>
      <c r="K18" s="488">
        <f t="shared" si="1"/>
        <v>0</v>
      </c>
      <c r="L18" s="488">
        <f t="shared" si="1"/>
        <v>0</v>
      </c>
      <c r="M18" s="488">
        <f t="shared" si="1"/>
        <v>0</v>
      </c>
      <c r="N18" s="637">
        <f>SUM(B18:M18)</f>
        <v>0</v>
      </c>
    </row>
    <row r="19" spans="1:19">
      <c r="A19" s="26"/>
      <c r="B19" s="335"/>
      <c r="C19" s="335"/>
      <c r="D19" s="335"/>
      <c r="E19" s="335"/>
      <c r="F19" s="335"/>
      <c r="G19" s="335"/>
      <c r="H19" s="335"/>
      <c r="I19" s="335"/>
      <c r="J19" s="335"/>
      <c r="K19" s="335"/>
      <c r="L19" s="335"/>
      <c r="M19" s="335"/>
      <c r="N19" s="336"/>
    </row>
    <row r="20" spans="1:19">
      <c r="A20" s="23" t="s">
        <v>346</v>
      </c>
      <c r="B20" s="335" t="s">
        <v>67</v>
      </c>
      <c r="C20" s="335" t="s">
        <v>67</v>
      </c>
      <c r="D20" s="335" t="s">
        <v>67</v>
      </c>
      <c r="E20" s="335"/>
      <c r="F20" s="335" t="s">
        <v>67</v>
      </c>
      <c r="G20" s="335"/>
      <c r="H20" s="335" t="s">
        <v>67</v>
      </c>
      <c r="I20" s="335" t="s">
        <v>67</v>
      </c>
      <c r="J20" s="335" t="s">
        <v>67</v>
      </c>
      <c r="K20" s="335" t="s">
        <v>67</v>
      </c>
      <c r="L20" s="335" t="s">
        <v>67</v>
      </c>
      <c r="M20" s="335" t="s">
        <v>67</v>
      </c>
      <c r="N20" s="336" t="s">
        <v>67</v>
      </c>
    </row>
    <row r="21" spans="1:19">
      <c r="A21" s="24" t="s">
        <v>347</v>
      </c>
      <c r="B21" s="549">
        <v>0</v>
      </c>
      <c r="C21" s="549">
        <v>0</v>
      </c>
      <c r="D21" s="549">
        <v>0</v>
      </c>
      <c r="E21" s="549">
        <v>0</v>
      </c>
      <c r="F21" s="549">
        <v>0</v>
      </c>
      <c r="G21" s="549">
        <v>0</v>
      </c>
      <c r="H21" s="550">
        <v>0</v>
      </c>
      <c r="I21" s="550">
        <v>0</v>
      </c>
      <c r="J21" s="550">
        <v>0</v>
      </c>
      <c r="K21" s="550">
        <v>0</v>
      </c>
      <c r="L21" s="550">
        <v>0</v>
      </c>
      <c r="M21" s="550">
        <v>0</v>
      </c>
      <c r="N21" s="336">
        <f>SUM(B21:M21)</f>
        <v>0</v>
      </c>
    </row>
    <row r="22" spans="1:19">
      <c r="A22" s="646" t="s">
        <v>348</v>
      </c>
      <c r="B22" s="488">
        <f t="shared" ref="B22:M22" si="2">SUM(B21:B21)</f>
        <v>0</v>
      </c>
      <c r="C22" s="488">
        <f t="shared" si="2"/>
        <v>0</v>
      </c>
      <c r="D22" s="488">
        <f t="shared" si="2"/>
        <v>0</v>
      </c>
      <c r="E22" s="488">
        <f t="shared" si="2"/>
        <v>0</v>
      </c>
      <c r="F22" s="488">
        <f t="shared" si="2"/>
        <v>0</v>
      </c>
      <c r="G22" s="488">
        <f t="shared" si="2"/>
        <v>0</v>
      </c>
      <c r="H22" s="488">
        <f t="shared" si="2"/>
        <v>0</v>
      </c>
      <c r="I22" s="488">
        <f t="shared" si="2"/>
        <v>0</v>
      </c>
      <c r="J22" s="488">
        <f t="shared" si="2"/>
        <v>0</v>
      </c>
      <c r="K22" s="488">
        <f t="shared" si="2"/>
        <v>0</v>
      </c>
      <c r="L22" s="488">
        <f t="shared" si="2"/>
        <v>0</v>
      </c>
      <c r="M22" s="488">
        <f t="shared" si="2"/>
        <v>0</v>
      </c>
      <c r="N22" s="637">
        <f>SUM(B22:M22)</f>
        <v>0</v>
      </c>
    </row>
    <row r="23" spans="1:19">
      <c r="A23" s="28"/>
      <c r="B23" s="335"/>
      <c r="C23" s="335"/>
      <c r="D23" s="335"/>
      <c r="E23" s="335"/>
      <c r="F23" s="335"/>
      <c r="G23" s="489"/>
      <c r="H23" s="335"/>
      <c r="I23" s="489"/>
      <c r="J23" s="335"/>
      <c r="K23" s="335"/>
      <c r="L23" s="489"/>
      <c r="M23" s="335"/>
      <c r="N23" s="336"/>
    </row>
    <row r="24" spans="1:19">
      <c r="A24" s="29" t="s">
        <v>313</v>
      </c>
      <c r="B24" s="335"/>
      <c r="C24" s="335"/>
      <c r="D24" s="335"/>
      <c r="E24" s="335"/>
      <c r="F24" s="335"/>
      <c r="G24" s="335"/>
      <c r="H24" s="335"/>
      <c r="I24" s="335"/>
      <c r="J24" s="335"/>
      <c r="K24" s="335"/>
      <c r="L24" s="335"/>
      <c r="M24" s="335"/>
      <c r="N24" s="336"/>
    </row>
    <row r="25" spans="1:19">
      <c r="A25" s="24" t="s">
        <v>120</v>
      </c>
      <c r="B25" s="549">
        <v>0</v>
      </c>
      <c r="C25" s="549">
        <v>0</v>
      </c>
      <c r="D25" s="549">
        <v>0</v>
      </c>
      <c r="E25" s="549">
        <v>0</v>
      </c>
      <c r="F25" s="549">
        <v>0</v>
      </c>
      <c r="G25" s="549">
        <v>0</v>
      </c>
      <c r="H25" s="550">
        <v>0</v>
      </c>
      <c r="I25" s="550">
        <v>0</v>
      </c>
      <c r="J25" s="550">
        <v>0</v>
      </c>
      <c r="K25" s="550">
        <v>0</v>
      </c>
      <c r="L25" s="550">
        <v>0</v>
      </c>
      <c r="M25" s="550">
        <v>0</v>
      </c>
      <c r="N25" s="336">
        <f>SUM(B25:M25)</f>
        <v>0</v>
      </c>
    </row>
    <row r="26" spans="1:19">
      <c r="A26" s="24" t="s">
        <v>121</v>
      </c>
      <c r="B26" s="549">
        <v>0</v>
      </c>
      <c r="C26" s="549">
        <v>0</v>
      </c>
      <c r="D26" s="549">
        <v>0</v>
      </c>
      <c r="E26" s="549">
        <v>0</v>
      </c>
      <c r="F26" s="549">
        <v>0</v>
      </c>
      <c r="G26" s="549">
        <v>0</v>
      </c>
      <c r="H26" s="550">
        <v>0</v>
      </c>
      <c r="I26" s="550">
        <v>0</v>
      </c>
      <c r="J26" s="550">
        <v>0</v>
      </c>
      <c r="K26" s="550">
        <v>0</v>
      </c>
      <c r="L26" s="550">
        <v>0</v>
      </c>
      <c r="M26" s="550">
        <v>0</v>
      </c>
      <c r="N26" s="336">
        <f>SUM(B26:M26)</f>
        <v>0</v>
      </c>
    </row>
    <row r="27" spans="1:19">
      <c r="A27" s="24" t="s">
        <v>341</v>
      </c>
      <c r="B27" s="549">
        <v>0</v>
      </c>
      <c r="C27" s="549">
        <v>0</v>
      </c>
      <c r="D27" s="549">
        <v>0</v>
      </c>
      <c r="E27" s="549">
        <v>0</v>
      </c>
      <c r="F27" s="549">
        <v>0</v>
      </c>
      <c r="G27" s="549">
        <v>0</v>
      </c>
      <c r="H27" s="550">
        <v>0</v>
      </c>
      <c r="I27" s="550">
        <v>0</v>
      </c>
      <c r="J27" s="550">
        <v>0</v>
      </c>
      <c r="K27" s="550">
        <v>0</v>
      </c>
      <c r="L27" s="550">
        <v>0</v>
      </c>
      <c r="M27" s="551">
        <v>0</v>
      </c>
      <c r="N27" s="336">
        <f>SUM(B27:M27)</f>
        <v>0</v>
      </c>
    </row>
    <row r="28" spans="1:19">
      <c r="A28" s="647" t="s">
        <v>324</v>
      </c>
      <c r="B28" s="488">
        <f>SUM(B25:B27)</f>
        <v>0</v>
      </c>
      <c r="C28" s="488">
        <f t="shared" ref="C28:M28" si="3">SUM(C25:C27)</f>
        <v>0</v>
      </c>
      <c r="D28" s="488">
        <f t="shared" si="3"/>
        <v>0</v>
      </c>
      <c r="E28" s="488">
        <f t="shared" si="3"/>
        <v>0</v>
      </c>
      <c r="F28" s="488">
        <f t="shared" si="3"/>
        <v>0</v>
      </c>
      <c r="G28" s="488">
        <f t="shared" si="3"/>
        <v>0</v>
      </c>
      <c r="H28" s="488">
        <f t="shared" si="3"/>
        <v>0</v>
      </c>
      <c r="I28" s="488">
        <f t="shared" si="3"/>
        <v>0</v>
      </c>
      <c r="J28" s="488">
        <f t="shared" si="3"/>
        <v>0</v>
      </c>
      <c r="K28" s="488">
        <f t="shared" si="3"/>
        <v>0</v>
      </c>
      <c r="L28" s="488">
        <f t="shared" si="3"/>
        <v>0</v>
      </c>
      <c r="M28" s="488">
        <f t="shared" si="3"/>
        <v>0</v>
      </c>
      <c r="N28" s="637">
        <f>SUM(B28:M28)</f>
        <v>0</v>
      </c>
      <c r="O28" s="25"/>
    </row>
    <row r="29" spans="1:19" ht="10.5" customHeight="1">
      <c r="A29" s="490"/>
      <c r="B29" s="489"/>
      <c r="C29" s="489"/>
      <c r="D29" s="489"/>
      <c r="E29" s="489"/>
      <c r="F29" s="489"/>
      <c r="G29" s="489"/>
      <c r="H29" s="489"/>
      <c r="I29" s="489"/>
      <c r="J29" s="489"/>
      <c r="K29" s="489"/>
      <c r="L29" s="489"/>
      <c r="M29" s="489"/>
      <c r="N29" s="491"/>
    </row>
    <row r="30" spans="1:19" ht="15" customHeight="1">
      <c r="A30" s="645" t="s">
        <v>349</v>
      </c>
      <c r="B30" s="552">
        <v>0</v>
      </c>
      <c r="C30" s="552">
        <v>0</v>
      </c>
      <c r="D30" s="552">
        <v>0</v>
      </c>
      <c r="E30" s="552">
        <v>0</v>
      </c>
      <c r="F30" s="552">
        <v>0</v>
      </c>
      <c r="G30" s="552">
        <v>0</v>
      </c>
      <c r="H30" s="552">
        <v>0</v>
      </c>
      <c r="I30" s="552">
        <v>0</v>
      </c>
      <c r="J30" s="553">
        <v>0</v>
      </c>
      <c r="K30" s="553">
        <v>0</v>
      </c>
      <c r="L30" s="552">
        <v>0</v>
      </c>
      <c r="M30" s="552">
        <v>0</v>
      </c>
      <c r="N30" s="638">
        <f>SUM(B30:M30)</f>
        <v>0</v>
      </c>
      <c r="O30" s="27"/>
      <c r="P30" s="27"/>
      <c r="Q30" s="27"/>
      <c r="R30" s="27"/>
      <c r="S30" s="30"/>
    </row>
    <row r="31" spans="1:19" ht="28.5" customHeight="1" thickBot="1">
      <c r="A31" s="18" t="s">
        <v>350</v>
      </c>
      <c r="B31" s="338">
        <f t="shared" ref="B31:M31" si="4">B14+B18+B22+B28+B30</f>
        <v>1.89</v>
      </c>
      <c r="C31" s="338">
        <f t="shared" si="4"/>
        <v>2.3210000000000002</v>
      </c>
      <c r="D31" s="338">
        <f t="shared" si="4"/>
        <v>0.19248999999999999</v>
      </c>
      <c r="E31" s="338">
        <f t="shared" si="4"/>
        <v>0.49575000000000002</v>
      </c>
      <c r="F31" s="338">
        <f t="shared" si="4"/>
        <v>0.43879000000000001</v>
      </c>
      <c r="G31" s="338">
        <f t="shared" si="4"/>
        <v>0.25736999999999999</v>
      </c>
      <c r="H31" s="338">
        <f t="shared" si="4"/>
        <v>0.36899999999999999</v>
      </c>
      <c r="I31" s="338">
        <f t="shared" si="4"/>
        <v>0.41980000000000001</v>
      </c>
      <c r="J31" s="338">
        <f t="shared" si="4"/>
        <v>0</v>
      </c>
      <c r="K31" s="338">
        <f t="shared" si="4"/>
        <v>0</v>
      </c>
      <c r="L31" s="338">
        <f t="shared" si="4"/>
        <v>0</v>
      </c>
      <c r="M31" s="338">
        <f t="shared" si="4"/>
        <v>0</v>
      </c>
      <c r="N31" s="339">
        <f>SUM(B31:M31)</f>
        <v>6.3842000000000008</v>
      </c>
      <c r="O31" s="25"/>
    </row>
    <row r="32" spans="1:19" ht="12" customHeight="1">
      <c r="A32" s="31"/>
      <c r="B32" s="32"/>
      <c r="C32" s="32"/>
      <c r="D32" s="140"/>
      <c r="E32" s="32"/>
      <c r="F32" s="32"/>
      <c r="G32" s="32"/>
      <c r="H32" s="32"/>
      <c r="I32" s="140"/>
      <c r="J32" s="140"/>
      <c r="K32" s="140"/>
      <c r="L32" s="140"/>
      <c r="M32" s="140"/>
      <c r="N32" s="32"/>
    </row>
    <row r="33" spans="1:14" s="66" customFormat="1" ht="13.5" customHeight="1"/>
    <row r="34" spans="1:14" s="66" customFormat="1" ht="13.5" customHeight="1">
      <c r="A34" s="650" t="s">
        <v>206</v>
      </c>
    </row>
    <row r="35" spans="1:14" ht="12" customHeight="1">
      <c r="A35" s="655" t="s">
        <v>84</v>
      </c>
      <c r="B35" s="25"/>
      <c r="C35" s="25"/>
      <c r="D35" s="25"/>
      <c r="E35" s="25"/>
      <c r="F35" s="25"/>
      <c r="G35" s="25"/>
      <c r="H35" s="25"/>
      <c r="I35" s="25"/>
      <c r="J35" s="25"/>
      <c r="K35" s="25"/>
      <c r="L35" s="25"/>
      <c r="M35" s="25"/>
      <c r="N35" s="25"/>
    </row>
    <row r="36" spans="1:14" ht="14.25" customHeight="1">
      <c r="A36" s="723"/>
      <c r="B36" s="723"/>
      <c r="C36" s="723"/>
      <c r="D36" s="723"/>
      <c r="E36" s="723"/>
      <c r="F36" s="723"/>
      <c r="G36" s="723"/>
      <c r="H36" s="723"/>
      <c r="I36" s="723"/>
      <c r="J36" s="723"/>
      <c r="K36" s="723"/>
      <c r="L36" s="723"/>
      <c r="M36" s="723"/>
      <c r="N36" s="723"/>
    </row>
    <row r="39" spans="1:14">
      <c r="H39" s="25"/>
    </row>
  </sheetData>
  <mergeCells count="1">
    <mergeCell ref="A36:N36"/>
  </mergeCells>
  <printOptions horizontalCentered="1"/>
  <pageMargins left="0" right="0" top="0.55000000000000004" bottom="0.17" header="0.3" footer="0.15"/>
  <pageSetup paperSize="5" scale="74"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5"/>
  <sheetViews>
    <sheetView showGridLines="0" zoomScale="90" zoomScaleNormal="90" zoomScaleSheetLayoutView="75" workbookViewId="0">
      <selection activeCell="A43" sqref="A43"/>
    </sheetView>
  </sheetViews>
  <sheetFormatPr defaultColWidth="9.28515625" defaultRowHeight="12.75"/>
  <cols>
    <col min="1" max="1" width="55.28515625" style="15" customWidth="1"/>
    <col min="2" max="13" width="11.5703125" style="15" customWidth="1"/>
    <col min="14" max="14" width="15.7109375" style="15" bestFit="1" customWidth="1"/>
    <col min="15" max="15" width="9.7109375" style="15" bestFit="1" customWidth="1"/>
    <col min="16" max="16" width="22.7109375" style="15" bestFit="1" customWidth="1"/>
    <col min="17" max="17" width="22.28515625" style="15" customWidth="1"/>
    <col min="18" max="16384" width="9.28515625" style="15"/>
  </cols>
  <sheetData>
    <row r="1" spans="1:16" ht="15">
      <c r="A1" s="300"/>
    </row>
    <row r="3" spans="1:16">
      <c r="E3" s="79" t="s">
        <v>39</v>
      </c>
    </row>
    <row r="4" spans="1:16">
      <c r="C4" s="90"/>
      <c r="D4" s="90"/>
      <c r="E4" s="91" t="s">
        <v>351</v>
      </c>
      <c r="F4" s="90"/>
      <c r="G4" s="90"/>
    </row>
    <row r="5" spans="1:16">
      <c r="D5" s="90"/>
      <c r="E5" s="82">
        <f>'Program MW '!H3</f>
        <v>44774</v>
      </c>
      <c r="F5" s="90"/>
    </row>
    <row r="6" spans="1:16">
      <c r="E6" s="82"/>
    </row>
    <row r="7" spans="1:16" ht="13.5" thickBot="1">
      <c r="A7" s="19"/>
    </row>
    <row r="8" spans="1:16" ht="32.25" customHeight="1" thickBot="1">
      <c r="A8" s="231" t="s">
        <v>285</v>
      </c>
      <c r="B8" s="21" t="s">
        <v>41</v>
      </c>
      <c r="C8" s="21" t="s">
        <v>42</v>
      </c>
      <c r="D8" s="21" t="s">
        <v>43</v>
      </c>
      <c r="E8" s="21" t="s">
        <v>44</v>
      </c>
      <c r="F8" s="21" t="s">
        <v>31</v>
      </c>
      <c r="G8" s="21" t="s">
        <v>45</v>
      </c>
      <c r="H8" s="21" t="s">
        <v>58</v>
      </c>
      <c r="I8" s="21" t="s">
        <v>59</v>
      </c>
      <c r="J8" s="21" t="s">
        <v>60</v>
      </c>
      <c r="K8" s="21" t="s">
        <v>61</v>
      </c>
      <c r="L8" s="21" t="s">
        <v>62</v>
      </c>
      <c r="M8" s="21" t="s">
        <v>63</v>
      </c>
      <c r="N8" s="282" t="s">
        <v>339</v>
      </c>
    </row>
    <row r="9" spans="1:16" ht="25.5">
      <c r="A9" s="232" t="s">
        <v>352</v>
      </c>
      <c r="B9" s="141"/>
      <c r="C9" s="141"/>
      <c r="N9" s="492"/>
    </row>
    <row r="10" spans="1:16" ht="6" customHeight="1">
      <c r="A10" s="203"/>
      <c r="B10" s="141"/>
      <c r="C10" s="141"/>
      <c r="N10" s="205"/>
    </row>
    <row r="11" spans="1:16">
      <c r="A11" s="203" t="s">
        <v>287</v>
      </c>
      <c r="B11" s="141"/>
      <c r="C11" s="141"/>
      <c r="N11" s="205"/>
    </row>
    <row r="12" spans="1:16" ht="14.25">
      <c r="A12" s="204" t="s">
        <v>353</v>
      </c>
      <c r="B12" s="549">
        <v>0</v>
      </c>
      <c r="C12" s="549">
        <v>0</v>
      </c>
      <c r="D12" s="549">
        <v>0</v>
      </c>
      <c r="E12" s="549">
        <v>0</v>
      </c>
      <c r="F12" s="549">
        <v>0</v>
      </c>
      <c r="G12" s="549">
        <v>0</v>
      </c>
      <c r="H12" s="549">
        <v>0</v>
      </c>
      <c r="I12" s="549">
        <v>0</v>
      </c>
      <c r="J12" s="549">
        <v>0</v>
      </c>
      <c r="K12" s="549">
        <v>0</v>
      </c>
      <c r="L12" s="549">
        <v>0</v>
      </c>
      <c r="M12" s="549">
        <v>0</v>
      </c>
      <c r="N12" s="336">
        <f t="shared" ref="N12:N17" si="0">SUM(B12:M12)</f>
        <v>0</v>
      </c>
      <c r="P12" s="228"/>
    </row>
    <row r="13" spans="1:16" ht="14.25">
      <c r="A13" s="204" t="s">
        <v>354</v>
      </c>
      <c r="B13" s="549">
        <v>22.611000000000001</v>
      </c>
      <c r="C13" s="549">
        <v>22.087</v>
      </c>
      <c r="D13" s="549">
        <v>6.8034800000000004</v>
      </c>
      <c r="E13" s="549">
        <v>31.632000000000001</v>
      </c>
      <c r="F13" s="549">
        <v>25.003769999999999</v>
      </c>
      <c r="G13" s="549">
        <v>20.858689999999999</v>
      </c>
      <c r="H13" s="549">
        <v>20.004359999999998</v>
      </c>
      <c r="I13" s="549">
        <v>30.81636</v>
      </c>
      <c r="J13" s="549">
        <v>0</v>
      </c>
      <c r="K13" s="549">
        <v>0</v>
      </c>
      <c r="L13" s="549">
        <v>0</v>
      </c>
      <c r="M13" s="549">
        <v>0</v>
      </c>
      <c r="N13" s="336">
        <f t="shared" si="0"/>
        <v>179.81666000000001</v>
      </c>
    </row>
    <row r="14" spans="1:16">
      <c r="A14" s="204" t="s">
        <v>355</v>
      </c>
      <c r="B14" s="549">
        <v>0</v>
      </c>
      <c r="C14" s="549">
        <v>0</v>
      </c>
      <c r="D14" s="549">
        <v>0</v>
      </c>
      <c r="E14" s="549">
        <v>0</v>
      </c>
      <c r="F14" s="549">
        <v>0</v>
      </c>
      <c r="G14" s="549">
        <v>0</v>
      </c>
      <c r="H14" s="549">
        <v>0</v>
      </c>
      <c r="I14" s="549">
        <v>0</v>
      </c>
      <c r="J14" s="549">
        <v>0</v>
      </c>
      <c r="K14" s="549">
        <v>0</v>
      </c>
      <c r="L14" s="549">
        <v>0</v>
      </c>
      <c r="M14" s="549">
        <v>0</v>
      </c>
      <c r="N14" s="336">
        <f t="shared" si="0"/>
        <v>0</v>
      </c>
    </row>
    <row r="15" spans="1:16" ht="14.25">
      <c r="A15" s="204" t="s">
        <v>356</v>
      </c>
      <c r="B15" s="549">
        <v>0</v>
      </c>
      <c r="C15" s="549">
        <v>0</v>
      </c>
      <c r="D15" s="549">
        <v>0</v>
      </c>
      <c r="E15" s="549">
        <v>0</v>
      </c>
      <c r="F15" s="549">
        <v>0</v>
      </c>
      <c r="G15" s="549">
        <v>0</v>
      </c>
      <c r="H15" s="549">
        <v>0</v>
      </c>
      <c r="I15" s="549">
        <v>0</v>
      </c>
      <c r="J15" s="549">
        <v>0</v>
      </c>
      <c r="K15" s="549">
        <v>0</v>
      </c>
      <c r="L15" s="549">
        <v>0</v>
      </c>
      <c r="M15" s="549">
        <v>0</v>
      </c>
      <c r="N15" s="336">
        <f t="shared" si="0"/>
        <v>0</v>
      </c>
    </row>
    <row r="16" spans="1:16" ht="14.25">
      <c r="A16" s="233" t="s">
        <v>357</v>
      </c>
      <c r="B16" s="549">
        <v>3.6829999999999998</v>
      </c>
      <c r="C16" s="549">
        <v>20.532</v>
      </c>
      <c r="D16" s="549">
        <v>-3.2681900000000002</v>
      </c>
      <c r="E16" s="549">
        <v>1.3800300000000001</v>
      </c>
      <c r="F16" s="549">
        <v>0</v>
      </c>
      <c r="G16" s="549">
        <v>0</v>
      </c>
      <c r="H16" s="549">
        <v>0</v>
      </c>
      <c r="I16" s="549">
        <v>0</v>
      </c>
      <c r="J16" s="549">
        <v>0</v>
      </c>
      <c r="K16" s="549">
        <v>0</v>
      </c>
      <c r="L16" s="549">
        <v>0</v>
      </c>
      <c r="M16" s="549">
        <v>0</v>
      </c>
      <c r="N16" s="336">
        <f t="shared" si="0"/>
        <v>22.326840000000001</v>
      </c>
      <c r="O16" s="25"/>
    </row>
    <row r="17" spans="1:16">
      <c r="A17" s="324" t="s">
        <v>342</v>
      </c>
      <c r="B17" s="488">
        <f t="shared" ref="B17:M17" si="1">SUM(B12:B16)</f>
        <v>26.294</v>
      </c>
      <c r="C17" s="488">
        <f t="shared" si="1"/>
        <v>42.619</v>
      </c>
      <c r="D17" s="488">
        <f t="shared" si="1"/>
        <v>3.5352900000000003</v>
      </c>
      <c r="E17" s="488">
        <f t="shared" si="1"/>
        <v>33.012030000000003</v>
      </c>
      <c r="F17" s="488">
        <f t="shared" si="1"/>
        <v>25.003769999999999</v>
      </c>
      <c r="G17" s="488">
        <f t="shared" si="1"/>
        <v>20.858689999999999</v>
      </c>
      <c r="H17" s="488">
        <f t="shared" si="1"/>
        <v>20.004359999999998</v>
      </c>
      <c r="I17" s="488">
        <f t="shared" si="1"/>
        <v>30.81636</v>
      </c>
      <c r="J17" s="488">
        <f t="shared" si="1"/>
        <v>0</v>
      </c>
      <c r="K17" s="488">
        <f t="shared" si="1"/>
        <v>0</v>
      </c>
      <c r="L17" s="488">
        <f t="shared" si="1"/>
        <v>0</v>
      </c>
      <c r="M17" s="488">
        <f t="shared" si="1"/>
        <v>0</v>
      </c>
      <c r="N17" s="637">
        <f t="shared" si="0"/>
        <v>202.14349999999999</v>
      </c>
    </row>
    <row r="18" spans="1:16">
      <c r="A18" s="205"/>
      <c r="B18" s="335"/>
      <c r="C18" s="335"/>
      <c r="D18" s="335"/>
      <c r="E18" s="335"/>
      <c r="F18" s="335"/>
      <c r="G18" s="335"/>
      <c r="H18" s="335"/>
      <c r="I18" s="335"/>
      <c r="J18" s="335" t="s">
        <v>67</v>
      </c>
      <c r="K18" s="335"/>
      <c r="L18" s="335"/>
      <c r="M18" s="335"/>
      <c r="N18" s="336"/>
      <c r="P18" s="228"/>
    </row>
    <row r="19" spans="1:16">
      <c r="A19" s="203" t="s">
        <v>358</v>
      </c>
      <c r="B19" s="335"/>
      <c r="C19" s="335"/>
      <c r="D19" s="335"/>
      <c r="E19" s="335"/>
      <c r="F19" s="335"/>
      <c r="G19" s="335"/>
      <c r="H19" s="335"/>
      <c r="I19" s="335"/>
      <c r="J19" s="335"/>
      <c r="K19" s="335"/>
      <c r="L19" s="335"/>
      <c r="M19" s="335"/>
      <c r="N19" s="336"/>
      <c r="P19" s="228"/>
    </row>
    <row r="20" spans="1:16" ht="14.25">
      <c r="A20" s="204" t="s">
        <v>359</v>
      </c>
      <c r="B20" s="549">
        <v>43.347000000000001</v>
      </c>
      <c r="C20" s="549">
        <v>43.347000000000001</v>
      </c>
      <c r="D20" s="549">
        <v>43.347149999999999</v>
      </c>
      <c r="E20" s="549">
        <v>43.347149999999999</v>
      </c>
      <c r="F20" s="549">
        <v>42.96546</v>
      </c>
      <c r="G20" s="549">
        <v>42.96546</v>
      </c>
      <c r="H20" s="549">
        <v>42.863869999999999</v>
      </c>
      <c r="I20" s="549">
        <v>0</v>
      </c>
      <c r="J20" s="549">
        <v>0</v>
      </c>
      <c r="K20" s="549">
        <v>0</v>
      </c>
      <c r="L20" s="549">
        <v>0</v>
      </c>
      <c r="M20" s="549">
        <v>0</v>
      </c>
      <c r="N20" s="336">
        <f>SUM(B20:M20)</f>
        <v>302.18309000000005</v>
      </c>
      <c r="P20" s="228"/>
    </row>
    <row r="21" spans="1:16">
      <c r="A21" s="204" t="s">
        <v>360</v>
      </c>
      <c r="B21" s="549">
        <v>17.338000000000001</v>
      </c>
      <c r="C21" s="549">
        <v>17.645</v>
      </c>
      <c r="D21" s="549">
        <v>17.283999999999999</v>
      </c>
      <c r="E21" s="549">
        <v>17.199000000000002</v>
      </c>
      <c r="F21" s="549">
        <v>16.952999999999999</v>
      </c>
      <c r="G21" s="549">
        <v>16.87</v>
      </c>
      <c r="H21" s="549">
        <v>16.744</v>
      </c>
      <c r="I21" s="549">
        <v>-1.5289999999999999</v>
      </c>
      <c r="J21" s="549">
        <v>0</v>
      </c>
      <c r="K21" s="549">
        <v>0</v>
      </c>
      <c r="L21" s="549">
        <v>0</v>
      </c>
      <c r="M21" s="549">
        <v>0</v>
      </c>
      <c r="N21" s="336">
        <f t="shared" ref="N21:N22" si="2">SUM(B21:M21)</f>
        <v>118.50400000000002</v>
      </c>
      <c r="P21" s="228"/>
    </row>
    <row r="22" spans="1:16">
      <c r="A22" s="204" t="s">
        <v>361</v>
      </c>
      <c r="B22" s="549">
        <v>1.1639999999999999</v>
      </c>
      <c r="C22" s="549">
        <v>1.1639999999999999</v>
      </c>
      <c r="D22" s="549">
        <v>1.1639999999999999</v>
      </c>
      <c r="E22" s="549">
        <v>1.1639999999999999</v>
      </c>
      <c r="F22" s="549">
        <v>1.1639999999999999</v>
      </c>
      <c r="G22" s="549">
        <v>1.1639999999999999</v>
      </c>
      <c r="H22" s="549">
        <v>0.41799999999999998</v>
      </c>
      <c r="I22" s="549">
        <v>0.41799999999999998</v>
      </c>
      <c r="J22" s="549">
        <v>0</v>
      </c>
      <c r="K22" s="549">
        <v>0</v>
      </c>
      <c r="L22" s="549">
        <v>0</v>
      </c>
      <c r="M22" s="549">
        <v>0</v>
      </c>
      <c r="N22" s="336">
        <f t="shared" si="2"/>
        <v>7.8199999999999994</v>
      </c>
      <c r="P22" s="228"/>
    </row>
    <row r="23" spans="1:16" ht="14.25">
      <c r="A23" s="206" t="s">
        <v>362</v>
      </c>
      <c r="B23" s="549">
        <v>1.764</v>
      </c>
      <c r="C23" s="549">
        <v>1.492</v>
      </c>
      <c r="D23" s="549">
        <v>1.2194199999999999</v>
      </c>
      <c r="E23" s="549">
        <v>0.94669999999999999</v>
      </c>
      <c r="F23" s="549">
        <v>0.67517000000000005</v>
      </c>
      <c r="G23" s="549">
        <v>0.40484999999999999</v>
      </c>
      <c r="H23" s="549">
        <v>0.13483999999999999</v>
      </c>
      <c r="I23" s="549">
        <v>0</v>
      </c>
      <c r="J23" s="549">
        <v>0</v>
      </c>
      <c r="K23" s="549">
        <v>0</v>
      </c>
      <c r="L23" s="549">
        <v>0</v>
      </c>
      <c r="M23" s="549">
        <v>0</v>
      </c>
      <c r="N23" s="336">
        <f>SUM(B23:M23)</f>
        <v>6.6369799999999985</v>
      </c>
      <c r="P23" s="228"/>
    </row>
    <row r="24" spans="1:16">
      <c r="A24" s="639" t="s">
        <v>345</v>
      </c>
      <c r="B24" s="488">
        <f>SUM(B20:B23)</f>
        <v>63.613000000000007</v>
      </c>
      <c r="C24" s="488">
        <f t="shared" ref="C24:M24" si="3">SUM(C20:C23)</f>
        <v>63.648000000000003</v>
      </c>
      <c r="D24" s="488">
        <f t="shared" si="3"/>
        <v>63.014569999999999</v>
      </c>
      <c r="E24" s="488">
        <f t="shared" si="3"/>
        <v>62.656849999999999</v>
      </c>
      <c r="F24" s="488">
        <f t="shared" si="3"/>
        <v>61.757629999999999</v>
      </c>
      <c r="G24" s="488">
        <f t="shared" si="3"/>
        <v>61.404310000000002</v>
      </c>
      <c r="H24" s="488">
        <f t="shared" si="3"/>
        <v>60.160709999999995</v>
      </c>
      <c r="I24" s="488">
        <f t="shared" si="3"/>
        <v>-1.111</v>
      </c>
      <c r="J24" s="488">
        <f t="shared" si="3"/>
        <v>0</v>
      </c>
      <c r="K24" s="488">
        <f t="shared" si="3"/>
        <v>0</v>
      </c>
      <c r="L24" s="488">
        <f t="shared" si="3"/>
        <v>0</v>
      </c>
      <c r="M24" s="488">
        <f t="shared" si="3"/>
        <v>0</v>
      </c>
      <c r="N24" s="637">
        <f>SUM(B24:M24)</f>
        <v>435.14407</v>
      </c>
      <c r="P24" s="228"/>
    </row>
    <row r="25" spans="1:16">
      <c r="A25" s="206"/>
      <c r="B25" s="335"/>
      <c r="C25" s="335"/>
      <c r="D25" s="335"/>
      <c r="E25" s="335"/>
      <c r="F25" s="335"/>
      <c r="G25" s="335"/>
      <c r="H25" s="335"/>
      <c r="I25" s="335"/>
      <c r="J25" s="335"/>
      <c r="K25" s="335"/>
      <c r="L25" s="335"/>
      <c r="M25" s="335"/>
      <c r="N25" s="336"/>
      <c r="P25" s="228"/>
    </row>
    <row r="26" spans="1:16">
      <c r="A26" s="203"/>
      <c r="B26" s="335" t="s">
        <v>67</v>
      </c>
      <c r="C26" s="335" t="s">
        <v>67</v>
      </c>
      <c r="D26" s="335" t="s">
        <v>67</v>
      </c>
      <c r="E26" s="335"/>
      <c r="F26" s="335" t="s">
        <v>67</v>
      </c>
      <c r="G26" s="335"/>
      <c r="H26" s="337" t="s">
        <v>67</v>
      </c>
      <c r="I26" s="337" t="s">
        <v>67</v>
      </c>
      <c r="J26" s="337" t="s">
        <v>67</v>
      </c>
      <c r="K26" s="337" t="s">
        <v>67</v>
      </c>
      <c r="L26" s="337" t="s">
        <v>67</v>
      </c>
      <c r="M26" s="337" t="s">
        <v>67</v>
      </c>
      <c r="N26" s="336" t="s">
        <v>67</v>
      </c>
      <c r="P26" s="228"/>
    </row>
    <row r="27" spans="1:16">
      <c r="A27" s="203" t="s">
        <v>346</v>
      </c>
      <c r="B27" s="549">
        <v>0</v>
      </c>
      <c r="C27" s="549">
        <v>0</v>
      </c>
      <c r="D27" s="549">
        <v>0</v>
      </c>
      <c r="E27" s="549">
        <v>0</v>
      </c>
      <c r="F27" s="549">
        <v>0</v>
      </c>
      <c r="G27" s="549">
        <v>0</v>
      </c>
      <c r="H27" s="550">
        <v>0</v>
      </c>
      <c r="I27" s="550">
        <v>0</v>
      </c>
      <c r="J27" s="550">
        <v>0</v>
      </c>
      <c r="K27" s="550">
        <v>0</v>
      </c>
      <c r="L27" s="550">
        <v>0</v>
      </c>
      <c r="M27" s="550">
        <v>0</v>
      </c>
      <c r="N27" s="336">
        <f>SUM(B27:M27)</f>
        <v>0</v>
      </c>
      <c r="P27" s="228"/>
    </row>
    <row r="28" spans="1:16">
      <c r="A28" s="640" t="s">
        <v>348</v>
      </c>
      <c r="B28" s="488">
        <f t="shared" ref="B28:H28" si="4">SUM(B27:B27)</f>
        <v>0</v>
      </c>
      <c r="C28" s="488">
        <f t="shared" si="4"/>
        <v>0</v>
      </c>
      <c r="D28" s="488">
        <f t="shared" si="4"/>
        <v>0</v>
      </c>
      <c r="E28" s="488">
        <f>SUM(E27:E27)</f>
        <v>0</v>
      </c>
      <c r="F28" s="488">
        <f t="shared" si="4"/>
        <v>0</v>
      </c>
      <c r="G28" s="488">
        <f t="shared" si="4"/>
        <v>0</v>
      </c>
      <c r="H28" s="488">
        <f t="shared" si="4"/>
        <v>0</v>
      </c>
      <c r="I28" s="488">
        <f>SUM(I27:I27)</f>
        <v>0</v>
      </c>
      <c r="J28" s="488">
        <f>SUM(J27:J27)</f>
        <v>0</v>
      </c>
      <c r="K28" s="488">
        <f>SUM(K27:K27)</f>
        <v>0</v>
      </c>
      <c r="L28" s="488">
        <f>SUM(L27:L27)</f>
        <v>0</v>
      </c>
      <c r="M28" s="488">
        <f>SUM(M27:M27)</f>
        <v>0</v>
      </c>
      <c r="N28" s="637">
        <f>SUM(B28:M28)</f>
        <v>0</v>
      </c>
      <c r="P28" s="228"/>
    </row>
    <row r="29" spans="1:16">
      <c r="A29" s="207"/>
      <c r="B29" s="335"/>
      <c r="C29" s="335"/>
      <c r="D29" s="335"/>
      <c r="E29" s="335"/>
      <c r="F29" s="335"/>
      <c r="G29" s="489"/>
      <c r="H29" s="335"/>
      <c r="I29" s="489"/>
      <c r="J29" s="335"/>
      <c r="K29" s="335"/>
      <c r="L29" s="489"/>
      <c r="M29" s="335"/>
      <c r="N29" s="336"/>
    </row>
    <row r="30" spans="1:16">
      <c r="A30" s="208"/>
      <c r="B30" s="335"/>
      <c r="C30" s="335"/>
      <c r="D30" s="335"/>
      <c r="E30" s="335"/>
      <c r="F30" s="335"/>
      <c r="G30" s="335"/>
      <c r="H30" s="335"/>
      <c r="I30" s="335"/>
      <c r="J30" s="335"/>
      <c r="K30" s="335"/>
      <c r="L30" s="335"/>
      <c r="M30" s="335"/>
      <c r="N30" s="336"/>
    </row>
    <row r="31" spans="1:16">
      <c r="A31" s="208" t="s">
        <v>313</v>
      </c>
      <c r="B31" s="549">
        <v>0</v>
      </c>
      <c r="C31" s="549">
        <v>0</v>
      </c>
      <c r="D31" s="549">
        <v>0</v>
      </c>
      <c r="E31" s="549">
        <v>0</v>
      </c>
      <c r="F31" s="549">
        <v>0</v>
      </c>
      <c r="G31" s="549">
        <v>0</v>
      </c>
      <c r="H31" s="550">
        <v>0</v>
      </c>
      <c r="I31" s="550">
        <v>0</v>
      </c>
      <c r="J31" s="550">
        <v>0</v>
      </c>
      <c r="K31" s="550">
        <v>0</v>
      </c>
      <c r="L31" s="550">
        <v>0</v>
      </c>
      <c r="M31" s="550">
        <v>0</v>
      </c>
      <c r="N31" s="336">
        <f>SUM(B31:M31)</f>
        <v>0</v>
      </c>
    </row>
    <row r="32" spans="1:16">
      <c r="A32" s="641" t="s">
        <v>324</v>
      </c>
      <c r="B32" s="488">
        <f t="shared" ref="B32:G32" si="5">SUM(B31:B31)</f>
        <v>0</v>
      </c>
      <c r="C32" s="488">
        <f t="shared" si="5"/>
        <v>0</v>
      </c>
      <c r="D32" s="488">
        <f t="shared" si="5"/>
        <v>0</v>
      </c>
      <c r="E32" s="488">
        <f t="shared" si="5"/>
        <v>0</v>
      </c>
      <c r="F32" s="488">
        <f t="shared" si="5"/>
        <v>0</v>
      </c>
      <c r="G32" s="488">
        <f t="shared" si="5"/>
        <v>0</v>
      </c>
      <c r="H32" s="488">
        <f>SUM(H30:H31)</f>
        <v>0</v>
      </c>
      <c r="I32" s="488">
        <f>SUM(I30:I31)</f>
        <v>0</v>
      </c>
      <c r="J32" s="488">
        <f>SUM(J31:J31)</f>
        <v>0</v>
      </c>
      <c r="K32" s="488">
        <f>SUM(K31:K31)</f>
        <v>0</v>
      </c>
      <c r="L32" s="488">
        <f>SUM(L31:L31)</f>
        <v>0</v>
      </c>
      <c r="M32" s="488">
        <f>SUM(M31:M31)</f>
        <v>0</v>
      </c>
      <c r="N32" s="637">
        <f>SUM(B32:M32)</f>
        <v>0</v>
      </c>
      <c r="O32" s="25"/>
    </row>
    <row r="33" spans="1:19" ht="10.5" customHeight="1">
      <c r="A33" s="381"/>
      <c r="B33" s="489"/>
      <c r="C33" s="489"/>
      <c r="D33" s="489"/>
      <c r="E33" s="489"/>
      <c r="F33" s="489"/>
      <c r="G33" s="489"/>
      <c r="H33" s="489">
        <v>0</v>
      </c>
      <c r="I33" s="489"/>
      <c r="J33" s="489"/>
      <c r="K33" s="489"/>
      <c r="L33" s="489"/>
      <c r="M33" s="489"/>
      <c r="N33" s="491"/>
    </row>
    <row r="34" spans="1:19" ht="15" customHeight="1">
      <c r="A34" s="639" t="s">
        <v>349</v>
      </c>
      <c r="B34" s="552">
        <v>0</v>
      </c>
      <c r="C34" s="552">
        <v>0</v>
      </c>
      <c r="D34" s="552">
        <v>0</v>
      </c>
      <c r="E34" s="552">
        <v>0</v>
      </c>
      <c r="F34" s="552">
        <v>0</v>
      </c>
      <c r="G34" s="552">
        <v>0</v>
      </c>
      <c r="H34" s="552">
        <v>0</v>
      </c>
      <c r="I34" s="552">
        <v>0</v>
      </c>
      <c r="J34" s="553">
        <v>0</v>
      </c>
      <c r="K34" s="553">
        <v>0</v>
      </c>
      <c r="L34" s="552">
        <v>0</v>
      </c>
      <c r="M34" s="552">
        <v>0</v>
      </c>
      <c r="N34" s="638">
        <f>SUM(B34:M34)</f>
        <v>0</v>
      </c>
      <c r="O34" s="27"/>
      <c r="P34" s="27"/>
      <c r="Q34" s="27"/>
      <c r="R34" s="27"/>
      <c r="S34" s="30"/>
    </row>
    <row r="35" spans="1:19" ht="15" customHeight="1" thickBot="1">
      <c r="A35" s="209" t="s">
        <v>363</v>
      </c>
      <c r="B35" s="338">
        <f t="shared" ref="B35:M35" si="6">B17+B24+B28+B32+B34</f>
        <v>89.907000000000011</v>
      </c>
      <c r="C35" s="338">
        <f t="shared" si="6"/>
        <v>106.267</v>
      </c>
      <c r="D35" s="338">
        <f t="shared" si="6"/>
        <v>66.549859999999995</v>
      </c>
      <c r="E35" s="338">
        <f t="shared" si="6"/>
        <v>95.668880000000001</v>
      </c>
      <c r="F35" s="338">
        <f t="shared" si="6"/>
        <v>86.761399999999995</v>
      </c>
      <c r="G35" s="338">
        <f t="shared" si="6"/>
        <v>82.263000000000005</v>
      </c>
      <c r="H35" s="338">
        <f t="shared" si="6"/>
        <v>80.165069999999986</v>
      </c>
      <c r="I35" s="338">
        <f t="shared" si="6"/>
        <v>29.705359999999999</v>
      </c>
      <c r="J35" s="338">
        <f t="shared" si="6"/>
        <v>0</v>
      </c>
      <c r="K35" s="338">
        <f t="shared" si="6"/>
        <v>0</v>
      </c>
      <c r="L35" s="338">
        <f t="shared" si="6"/>
        <v>0</v>
      </c>
      <c r="M35" s="338">
        <f t="shared" si="6"/>
        <v>0</v>
      </c>
      <c r="N35" s="339">
        <f>SUM(B35:M35)</f>
        <v>637.28757000000007</v>
      </c>
      <c r="O35" s="27"/>
      <c r="P35" s="27"/>
      <c r="Q35" s="27"/>
      <c r="R35" s="27"/>
      <c r="S35" s="30"/>
    </row>
    <row r="36" spans="1:19" s="90" customFormat="1" ht="26.25" customHeight="1" thickBot="1">
      <c r="A36" s="316" t="s">
        <v>364</v>
      </c>
      <c r="B36" s="501">
        <f>B35+0.005</f>
        <v>89.912000000000006</v>
      </c>
      <c r="C36" s="502">
        <f>C35+0.018</f>
        <v>106.285</v>
      </c>
      <c r="D36" s="502">
        <f>D35+0.04</f>
        <v>66.589860000000002</v>
      </c>
      <c r="E36" s="502">
        <f>E35+0.163</f>
        <v>95.831879999999998</v>
      </c>
      <c r="F36" s="502">
        <f>F35+0.291</f>
        <v>87.052399999999992</v>
      </c>
      <c r="G36" s="502">
        <f>G35+0.438</f>
        <v>82.701000000000008</v>
      </c>
      <c r="H36" s="502">
        <f>H35+0.507</f>
        <v>80.672069999999991</v>
      </c>
      <c r="I36" s="502">
        <f>I35+1.269</f>
        <v>30.974359999999997</v>
      </c>
      <c r="J36" s="502">
        <v>0</v>
      </c>
      <c r="K36" s="502">
        <v>0</v>
      </c>
      <c r="L36" s="502">
        <v>0</v>
      </c>
      <c r="M36" s="502">
        <v>0</v>
      </c>
      <c r="N36" s="340">
        <f>SUM(B36:M36)</f>
        <v>640.01856999999995</v>
      </c>
      <c r="O36" s="317"/>
    </row>
    <row r="37" spans="1:19">
      <c r="A37" s="31"/>
      <c r="B37" s="32"/>
      <c r="C37" s="32"/>
      <c r="D37" s="32"/>
      <c r="E37" s="32"/>
      <c r="F37" s="32"/>
      <c r="G37" s="32"/>
      <c r="H37" s="32"/>
      <c r="I37" s="32"/>
      <c r="J37" s="32"/>
      <c r="K37" s="32"/>
      <c r="L37" s="32"/>
      <c r="M37" s="32"/>
      <c r="N37" s="32"/>
    </row>
    <row r="38" spans="1:19">
      <c r="A38" s="663" t="s">
        <v>68</v>
      </c>
      <c r="B38" s="264"/>
      <c r="C38" s="264"/>
      <c r="D38" s="264"/>
      <c r="E38" s="264"/>
      <c r="F38" s="264"/>
      <c r="G38" s="264"/>
      <c r="H38" s="264"/>
      <c r="I38" s="264"/>
      <c r="J38" s="264"/>
      <c r="K38" s="264"/>
      <c r="L38" s="264"/>
      <c r="M38" s="264"/>
      <c r="N38" s="264"/>
    </row>
    <row r="39" spans="1:19" ht="14.25">
      <c r="A39" s="664" t="s">
        <v>365</v>
      </c>
      <c r="B39" s="264"/>
      <c r="C39" s="264"/>
      <c r="D39" s="264"/>
      <c r="E39" s="264"/>
      <c r="F39" s="264"/>
      <c r="G39" s="264"/>
      <c r="H39" s="264"/>
      <c r="I39" s="264"/>
      <c r="J39" s="264"/>
      <c r="K39" s="264"/>
      <c r="L39" s="264"/>
      <c r="M39" s="264"/>
      <c r="N39" s="264"/>
    </row>
    <row r="40" spans="1:19" ht="15" customHeight="1">
      <c r="A40" s="723" t="s">
        <v>366</v>
      </c>
      <c r="B40" s="723"/>
      <c r="C40" s="723"/>
      <c r="D40" s="723"/>
      <c r="E40" s="723"/>
      <c r="F40" s="723"/>
      <c r="G40" s="723"/>
      <c r="H40" s="723"/>
      <c r="I40" s="723"/>
      <c r="J40" s="723"/>
      <c r="K40" s="723"/>
      <c r="L40" s="723"/>
      <c r="M40" s="723"/>
      <c r="N40" s="723"/>
    </row>
    <row r="41" spans="1:19" ht="15" customHeight="1">
      <c r="A41" s="665" t="s">
        <v>367</v>
      </c>
      <c r="B41" s="666"/>
      <c r="C41" s="666"/>
      <c r="D41" s="666"/>
      <c r="E41" s="666"/>
      <c r="F41" s="666"/>
      <c r="G41" s="666"/>
      <c r="H41" s="666"/>
      <c r="I41" s="666"/>
      <c r="J41" s="666"/>
      <c r="K41" s="666"/>
      <c r="L41" s="666"/>
      <c r="M41" s="666"/>
      <c r="N41" s="666"/>
    </row>
    <row r="42" spans="1:19" ht="15" customHeight="1">
      <c r="A42" s="90" t="s">
        <v>368</v>
      </c>
      <c r="B42" s="666"/>
      <c r="C42" s="666"/>
      <c r="D42" s="666"/>
      <c r="E42" s="666"/>
      <c r="F42" s="666"/>
      <c r="G42" s="666"/>
      <c r="H42" s="666"/>
      <c r="I42" s="666"/>
      <c r="J42" s="666"/>
      <c r="K42" s="666"/>
      <c r="L42" s="666"/>
      <c r="M42" s="666"/>
      <c r="N42" s="666"/>
    </row>
    <row r="43" spans="1:19" ht="15" customHeight="1">
      <c r="A43" s="370" t="s">
        <v>369</v>
      </c>
      <c r="B43" s="667"/>
      <c r="C43" s="667"/>
      <c r="D43" s="667"/>
      <c r="E43" s="667"/>
      <c r="F43" s="667"/>
      <c r="G43" s="667"/>
      <c r="H43" s="667"/>
      <c r="I43" s="667"/>
      <c r="J43" s="667"/>
      <c r="K43" s="667"/>
      <c r="L43" s="667"/>
      <c r="M43" s="667"/>
      <c r="N43" s="667"/>
    </row>
    <row r="44" spans="1:19" s="66" customFormat="1" ht="13.5" customHeight="1">
      <c r="A44" s="650" t="s">
        <v>206</v>
      </c>
    </row>
    <row r="45" spans="1:19">
      <c r="A45" s="655" t="s">
        <v>84</v>
      </c>
      <c r="H45" s="25"/>
    </row>
  </sheetData>
  <mergeCells count="1">
    <mergeCell ref="A40:N40"/>
  </mergeCells>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E49B-D9A7-4664-A36E-ADD6121550E7}">
  <sheetPr>
    <pageSetUpPr fitToPage="1"/>
  </sheetPr>
  <dimension ref="A1:S42"/>
  <sheetViews>
    <sheetView showGridLines="0" zoomScale="90" zoomScaleNormal="90" zoomScaleSheetLayoutView="75" workbookViewId="0">
      <selection activeCell="A13" sqref="A13"/>
    </sheetView>
  </sheetViews>
  <sheetFormatPr defaultColWidth="9.28515625" defaultRowHeight="12.75"/>
  <cols>
    <col min="1" max="1" width="55.28515625" style="369" customWidth="1"/>
    <col min="2" max="13" width="11.5703125" style="369" customWidth="1"/>
    <col min="14" max="14" width="15.7109375" style="369" bestFit="1" customWidth="1"/>
    <col min="15" max="15" width="9.7109375" style="369" bestFit="1" customWidth="1"/>
    <col min="16" max="16" width="22.7109375" style="369" bestFit="1" customWidth="1"/>
    <col min="17" max="17" width="22.28515625" style="369" customWidth="1"/>
    <col min="18" max="16384" width="9.28515625" style="369"/>
  </cols>
  <sheetData>
    <row r="1" spans="1:16" ht="15">
      <c r="A1" s="493"/>
    </row>
    <row r="3" spans="1:16">
      <c r="E3" s="79" t="s">
        <v>370</v>
      </c>
    </row>
    <row r="4" spans="1:16">
      <c r="C4" s="370"/>
      <c r="D4" s="370"/>
      <c r="E4" s="91" t="s">
        <v>371</v>
      </c>
      <c r="F4" s="370"/>
      <c r="G4" s="370"/>
    </row>
    <row r="5" spans="1:16">
      <c r="D5" s="370"/>
      <c r="E5" s="107">
        <f>'Program MW '!H3</f>
        <v>44774</v>
      </c>
      <c r="F5" s="370"/>
    </row>
    <row r="6" spans="1:16">
      <c r="E6" s="107"/>
    </row>
    <row r="7" spans="1:16" ht="13.5" thickBot="1">
      <c r="A7" s="19"/>
    </row>
    <row r="8" spans="1:16" ht="32.25" customHeight="1" thickBot="1">
      <c r="A8" s="231" t="s">
        <v>285</v>
      </c>
      <c r="B8" s="21" t="s">
        <v>41</v>
      </c>
      <c r="C8" s="21" t="s">
        <v>42</v>
      </c>
      <c r="D8" s="21" t="s">
        <v>43</v>
      </c>
      <c r="E8" s="21" t="s">
        <v>44</v>
      </c>
      <c r="F8" s="21" t="s">
        <v>31</v>
      </c>
      <c r="G8" s="21" t="s">
        <v>45</v>
      </c>
      <c r="H8" s="21" t="s">
        <v>58</v>
      </c>
      <c r="I8" s="21" t="s">
        <v>59</v>
      </c>
      <c r="J8" s="21" t="s">
        <v>60</v>
      </c>
      <c r="K8" s="21" t="s">
        <v>61</v>
      </c>
      <c r="L8" s="21" t="s">
        <v>62</v>
      </c>
      <c r="M8" s="21" t="s">
        <v>63</v>
      </c>
      <c r="N8" s="282" t="s">
        <v>339</v>
      </c>
    </row>
    <row r="9" spans="1:16" ht="25.5">
      <c r="A9" s="232" t="s">
        <v>372</v>
      </c>
      <c r="B9" s="371"/>
      <c r="C9" s="371"/>
      <c r="N9" s="372"/>
    </row>
    <row r="10" spans="1:16" ht="6" customHeight="1">
      <c r="A10" s="203"/>
      <c r="B10" s="371"/>
      <c r="C10" s="371"/>
      <c r="N10" s="373"/>
    </row>
    <row r="11" spans="1:16">
      <c r="A11" s="203" t="s">
        <v>287</v>
      </c>
      <c r="B11" s="371"/>
      <c r="C11" s="371"/>
      <c r="N11" s="373"/>
    </row>
    <row r="12" spans="1:16">
      <c r="A12" s="204" t="s">
        <v>237</v>
      </c>
      <c r="B12" s="549">
        <v>21.271000000000001</v>
      </c>
      <c r="C12" s="549">
        <v>24.053999999999998</v>
      </c>
      <c r="D12" s="549">
        <v>23.854880000000001</v>
      </c>
      <c r="E12" s="549">
        <v>28.098659999999999</v>
      </c>
      <c r="F12" s="549">
        <v>28.794609999999999</v>
      </c>
      <c r="G12" s="549">
        <v>25.432839999999999</v>
      </c>
      <c r="H12" s="549">
        <v>29.86055</v>
      </c>
      <c r="I12" s="549">
        <v>36.798409999999997</v>
      </c>
      <c r="J12" s="549">
        <v>0</v>
      </c>
      <c r="K12" s="549">
        <v>0</v>
      </c>
      <c r="L12" s="549">
        <v>0</v>
      </c>
      <c r="M12" s="549">
        <v>0</v>
      </c>
      <c r="N12" s="375">
        <f>SUM(B12:M12)</f>
        <v>218.16494999999998</v>
      </c>
      <c r="P12" s="549"/>
    </row>
    <row r="13" spans="1:16">
      <c r="A13" s="204" t="s">
        <v>373</v>
      </c>
      <c r="B13" s="549">
        <v>7.6319999999999997</v>
      </c>
      <c r="C13" s="549">
        <v>1.768</v>
      </c>
      <c r="D13" s="549">
        <v>16.300419999999999</v>
      </c>
      <c r="E13" s="549">
        <v>30.710799999999999</v>
      </c>
      <c r="F13" s="549">
        <v>37.01061</v>
      </c>
      <c r="G13" s="549">
        <v>78.743030000000005</v>
      </c>
      <c r="H13" s="549">
        <v>11.58506</v>
      </c>
      <c r="I13" s="549">
        <v>41.001040000000003</v>
      </c>
      <c r="J13" s="549">
        <v>0</v>
      </c>
      <c r="K13" s="549">
        <v>0</v>
      </c>
      <c r="L13" s="549">
        <v>0</v>
      </c>
      <c r="M13" s="549">
        <v>0</v>
      </c>
      <c r="N13" s="375">
        <f>SUM(B13:M13)</f>
        <v>224.75096000000002</v>
      </c>
    </row>
    <row r="14" spans="1:16" ht="14.25">
      <c r="A14" s="204" t="s">
        <v>374</v>
      </c>
      <c r="B14" s="549">
        <v>0</v>
      </c>
      <c r="C14" s="549">
        <v>0</v>
      </c>
      <c r="D14" s="549">
        <v>7.3609200000000001</v>
      </c>
      <c r="E14" s="549">
        <v>26.551079999999999</v>
      </c>
      <c r="F14" s="549">
        <v>33</v>
      </c>
      <c r="G14" s="549">
        <v>179.78214</v>
      </c>
      <c r="H14" s="549">
        <v>-123.12432</v>
      </c>
      <c r="I14" s="549">
        <v>81.831270000000004</v>
      </c>
      <c r="J14" s="549">
        <v>0</v>
      </c>
      <c r="K14" s="549">
        <v>0</v>
      </c>
      <c r="L14" s="549">
        <v>0</v>
      </c>
      <c r="M14" s="549">
        <v>0</v>
      </c>
      <c r="N14" s="375">
        <f>SUM(B14:M14)</f>
        <v>205.40109000000001</v>
      </c>
    </row>
    <row r="15" spans="1:16">
      <c r="A15" s="324" t="s">
        <v>342</v>
      </c>
      <c r="B15" s="377">
        <f>SUM(B12:B14)</f>
        <v>28.902999999999999</v>
      </c>
      <c r="C15" s="377">
        <f t="shared" ref="C15:D15" si="0">SUM(C12:C14)</f>
        <v>25.821999999999999</v>
      </c>
      <c r="D15" s="377">
        <f t="shared" si="0"/>
        <v>47.516219999999997</v>
      </c>
      <c r="E15" s="377">
        <f t="shared" ref="E15:M15" si="1">SUM(E12:E14)</f>
        <v>85.36054</v>
      </c>
      <c r="F15" s="377">
        <f t="shared" si="1"/>
        <v>98.805219999999991</v>
      </c>
      <c r="G15" s="377">
        <f t="shared" si="1"/>
        <v>283.95801</v>
      </c>
      <c r="H15" s="377">
        <f t="shared" si="1"/>
        <v>-81.678709999999995</v>
      </c>
      <c r="I15" s="377">
        <f t="shared" si="1"/>
        <v>159.63072</v>
      </c>
      <c r="J15" s="377">
        <f t="shared" si="1"/>
        <v>0</v>
      </c>
      <c r="K15" s="377">
        <f t="shared" si="1"/>
        <v>0</v>
      </c>
      <c r="L15" s="377">
        <f t="shared" si="1"/>
        <v>0</v>
      </c>
      <c r="M15" s="377">
        <f t="shared" si="1"/>
        <v>0</v>
      </c>
      <c r="N15" s="642">
        <f>SUM(B15:M15)</f>
        <v>648.31700000000001</v>
      </c>
    </row>
    <row r="16" spans="1:16">
      <c r="A16" s="373"/>
      <c r="B16" s="374"/>
      <c r="C16" s="374"/>
      <c r="D16" s="374"/>
      <c r="E16" s="374"/>
      <c r="F16" s="374"/>
      <c r="G16" s="374"/>
      <c r="H16" s="374"/>
      <c r="I16" s="374"/>
      <c r="J16" s="374" t="s">
        <v>67</v>
      </c>
      <c r="K16" s="374"/>
      <c r="L16" s="374"/>
      <c r="M16" s="374"/>
      <c r="N16" s="375"/>
      <c r="P16" s="378"/>
    </row>
    <row r="17" spans="1:19">
      <c r="A17" s="203" t="s">
        <v>358</v>
      </c>
      <c r="B17" s="374"/>
      <c r="C17" s="374"/>
      <c r="D17" s="374"/>
      <c r="E17" s="374"/>
      <c r="F17" s="374"/>
      <c r="G17" s="374"/>
      <c r="H17" s="374"/>
      <c r="I17" s="374"/>
      <c r="J17" s="374"/>
      <c r="K17" s="374"/>
      <c r="L17" s="374"/>
      <c r="M17" s="374"/>
      <c r="N17" s="375"/>
      <c r="P17" s="378"/>
    </row>
    <row r="18" spans="1:19">
      <c r="A18" s="204" t="s">
        <v>375</v>
      </c>
      <c r="B18" s="549">
        <v>0</v>
      </c>
      <c r="C18" s="549">
        <v>0</v>
      </c>
      <c r="D18" s="549">
        <v>0</v>
      </c>
      <c r="E18" s="549">
        <v>0</v>
      </c>
      <c r="F18" s="549">
        <v>0</v>
      </c>
      <c r="G18" s="549">
        <v>0</v>
      </c>
      <c r="H18" s="549">
        <v>0</v>
      </c>
      <c r="I18" s="549">
        <v>0</v>
      </c>
      <c r="J18" s="549">
        <v>0</v>
      </c>
      <c r="K18" s="549">
        <v>0</v>
      </c>
      <c r="L18" s="549">
        <v>0</v>
      </c>
      <c r="M18" s="549">
        <v>0</v>
      </c>
      <c r="N18" s="375">
        <f>SUM(B18:M18)</f>
        <v>0</v>
      </c>
      <c r="P18" s="378"/>
    </row>
    <row r="19" spans="1:19">
      <c r="A19" s="204" t="s">
        <v>376</v>
      </c>
      <c r="B19" s="549">
        <v>0</v>
      </c>
      <c r="C19" s="549">
        <v>0</v>
      </c>
      <c r="D19" s="549">
        <v>0</v>
      </c>
      <c r="E19" s="549">
        <v>0</v>
      </c>
      <c r="F19" s="549">
        <v>0</v>
      </c>
      <c r="G19" s="549">
        <v>0</v>
      </c>
      <c r="H19" s="549">
        <v>0</v>
      </c>
      <c r="I19" s="549">
        <v>0</v>
      </c>
      <c r="J19" s="549">
        <v>0</v>
      </c>
      <c r="K19" s="549">
        <v>0</v>
      </c>
      <c r="L19" s="549">
        <v>0</v>
      </c>
      <c r="M19" s="549">
        <v>0</v>
      </c>
      <c r="N19" s="375">
        <f>SUM(B19:M19)</f>
        <v>0</v>
      </c>
      <c r="P19" s="378"/>
    </row>
    <row r="20" spans="1:19">
      <c r="A20" s="204" t="s">
        <v>377</v>
      </c>
      <c r="B20" s="549">
        <v>0</v>
      </c>
      <c r="C20" s="549">
        <v>0</v>
      </c>
      <c r="D20" s="549">
        <v>0</v>
      </c>
      <c r="E20" s="549">
        <v>0</v>
      </c>
      <c r="F20" s="549">
        <v>0</v>
      </c>
      <c r="G20" s="549">
        <v>0</v>
      </c>
      <c r="H20" s="549">
        <v>0</v>
      </c>
      <c r="I20" s="549">
        <v>0</v>
      </c>
      <c r="J20" s="549">
        <v>0</v>
      </c>
      <c r="K20" s="549">
        <v>0</v>
      </c>
      <c r="L20" s="549">
        <v>0</v>
      </c>
      <c r="M20" s="549">
        <v>0</v>
      </c>
      <c r="N20" s="375">
        <f>SUM(B20:M20)</f>
        <v>0</v>
      </c>
      <c r="P20" s="378"/>
    </row>
    <row r="21" spans="1:19">
      <c r="A21" s="206" t="s">
        <v>378</v>
      </c>
      <c r="B21" s="549">
        <v>0</v>
      </c>
      <c r="C21" s="549">
        <v>0</v>
      </c>
      <c r="D21" s="549">
        <v>0</v>
      </c>
      <c r="E21" s="549">
        <v>0</v>
      </c>
      <c r="F21" s="549">
        <v>0</v>
      </c>
      <c r="G21" s="549">
        <v>0</v>
      </c>
      <c r="H21" s="549">
        <v>0</v>
      </c>
      <c r="I21" s="549">
        <v>0</v>
      </c>
      <c r="J21" s="549">
        <v>0</v>
      </c>
      <c r="K21" s="549">
        <v>0</v>
      </c>
      <c r="L21" s="549">
        <v>0</v>
      </c>
      <c r="M21" s="549">
        <v>0</v>
      </c>
      <c r="N21" s="375">
        <f>SUM(B21:M21)</f>
        <v>0</v>
      </c>
      <c r="P21" s="378"/>
    </row>
    <row r="22" spans="1:19">
      <c r="A22" s="639" t="s">
        <v>345</v>
      </c>
      <c r="B22" s="377">
        <f t="shared" ref="B22:M22" si="2">SUM(B18:B21)</f>
        <v>0</v>
      </c>
      <c r="C22" s="377">
        <f t="shared" si="2"/>
        <v>0</v>
      </c>
      <c r="D22" s="377">
        <f t="shared" si="2"/>
        <v>0</v>
      </c>
      <c r="E22" s="377">
        <f t="shared" si="2"/>
        <v>0</v>
      </c>
      <c r="F22" s="377">
        <f t="shared" si="2"/>
        <v>0</v>
      </c>
      <c r="G22" s="377">
        <f t="shared" si="2"/>
        <v>0</v>
      </c>
      <c r="H22" s="377">
        <f t="shared" si="2"/>
        <v>0</v>
      </c>
      <c r="I22" s="377">
        <f t="shared" si="2"/>
        <v>0</v>
      </c>
      <c r="J22" s="377">
        <f t="shared" si="2"/>
        <v>0</v>
      </c>
      <c r="K22" s="377">
        <f t="shared" si="2"/>
        <v>0</v>
      </c>
      <c r="L22" s="377">
        <f t="shared" si="2"/>
        <v>0</v>
      </c>
      <c r="M22" s="377">
        <f t="shared" si="2"/>
        <v>0</v>
      </c>
      <c r="N22" s="642">
        <f>SUM(B22:M22)</f>
        <v>0</v>
      </c>
      <c r="P22" s="378"/>
    </row>
    <row r="23" spans="1:19">
      <c r="A23" s="206"/>
      <c r="B23" s="374"/>
      <c r="C23" s="374"/>
      <c r="D23" s="374"/>
      <c r="E23" s="374"/>
      <c r="F23" s="374"/>
      <c r="G23" s="374"/>
      <c r="H23" s="374"/>
      <c r="I23" s="374"/>
      <c r="J23" s="374"/>
      <c r="K23" s="374"/>
      <c r="L23" s="374"/>
      <c r="M23" s="374"/>
      <c r="N23" s="375"/>
      <c r="P23" s="378"/>
    </row>
    <row r="24" spans="1:19">
      <c r="A24" s="203"/>
      <c r="B24" s="374" t="s">
        <v>67</v>
      </c>
      <c r="C24" s="374" t="s">
        <v>67</v>
      </c>
      <c r="D24" s="374" t="s">
        <v>67</v>
      </c>
      <c r="E24" s="374"/>
      <c r="F24" s="374" t="s">
        <v>67</v>
      </c>
      <c r="G24" s="374"/>
      <c r="H24" s="379" t="s">
        <v>67</v>
      </c>
      <c r="I24" s="379" t="s">
        <v>67</v>
      </c>
      <c r="J24" s="379" t="s">
        <v>67</v>
      </c>
      <c r="K24" s="379" t="s">
        <v>67</v>
      </c>
      <c r="L24" s="379" t="s">
        <v>67</v>
      </c>
      <c r="M24" s="379" t="s">
        <v>67</v>
      </c>
      <c r="N24" s="375" t="s">
        <v>67</v>
      </c>
      <c r="P24" s="378"/>
    </row>
    <row r="25" spans="1:19">
      <c r="A25" s="203" t="s">
        <v>346</v>
      </c>
      <c r="B25" s="549">
        <v>0</v>
      </c>
      <c r="C25" s="549">
        <v>0</v>
      </c>
      <c r="D25" s="549">
        <v>0</v>
      </c>
      <c r="E25" s="549">
        <v>0</v>
      </c>
      <c r="F25" s="549">
        <v>0</v>
      </c>
      <c r="G25" s="549">
        <v>0</v>
      </c>
      <c r="H25" s="550">
        <v>0</v>
      </c>
      <c r="I25" s="550">
        <v>0</v>
      </c>
      <c r="J25" s="550">
        <v>0</v>
      </c>
      <c r="K25" s="550">
        <v>0</v>
      </c>
      <c r="L25" s="550">
        <v>0</v>
      </c>
      <c r="M25" s="550">
        <v>0</v>
      </c>
      <c r="N25" s="375">
        <f>SUM(B25:M25)</f>
        <v>0</v>
      </c>
      <c r="P25" s="378"/>
    </row>
    <row r="26" spans="1:19">
      <c r="A26" s="640" t="s">
        <v>348</v>
      </c>
      <c r="B26" s="377">
        <f t="shared" ref="B26:M26" si="3">SUM(B25:B25)</f>
        <v>0</v>
      </c>
      <c r="C26" s="377">
        <f t="shared" si="3"/>
        <v>0</v>
      </c>
      <c r="D26" s="377">
        <f t="shared" si="3"/>
        <v>0</v>
      </c>
      <c r="E26" s="377">
        <f t="shared" si="3"/>
        <v>0</v>
      </c>
      <c r="F26" s="377">
        <f t="shared" si="3"/>
        <v>0</v>
      </c>
      <c r="G26" s="377">
        <f t="shared" si="3"/>
        <v>0</v>
      </c>
      <c r="H26" s="377">
        <f t="shared" si="3"/>
        <v>0</v>
      </c>
      <c r="I26" s="377">
        <f t="shared" si="3"/>
        <v>0</v>
      </c>
      <c r="J26" s="377">
        <f t="shared" si="3"/>
        <v>0</v>
      </c>
      <c r="K26" s="377">
        <f t="shared" si="3"/>
        <v>0</v>
      </c>
      <c r="L26" s="377">
        <f t="shared" si="3"/>
        <v>0</v>
      </c>
      <c r="M26" s="377">
        <f t="shared" si="3"/>
        <v>0</v>
      </c>
      <c r="N26" s="642">
        <f>SUM(B26:M26)</f>
        <v>0</v>
      </c>
      <c r="P26" s="378"/>
    </row>
    <row r="27" spans="1:19">
      <c r="A27" s="207"/>
      <c r="B27" s="374"/>
      <c r="C27" s="374"/>
      <c r="D27" s="374"/>
      <c r="E27" s="374"/>
      <c r="F27" s="374"/>
      <c r="G27" s="380"/>
      <c r="H27" s="374"/>
      <c r="I27" s="380"/>
      <c r="J27" s="374"/>
      <c r="K27" s="374"/>
      <c r="L27" s="380"/>
      <c r="M27" s="374"/>
      <c r="N27" s="375"/>
    </row>
    <row r="28" spans="1:19">
      <c r="A28" s="208"/>
      <c r="B28" s="374"/>
      <c r="C28" s="374"/>
      <c r="D28" s="374"/>
      <c r="E28" s="374"/>
      <c r="F28" s="374"/>
      <c r="G28" s="374"/>
      <c r="H28" s="374"/>
      <c r="I28" s="374"/>
      <c r="J28" s="374"/>
      <c r="K28" s="374"/>
      <c r="L28" s="374"/>
      <c r="M28" s="374"/>
      <c r="N28" s="375"/>
    </row>
    <row r="29" spans="1:19">
      <c r="A29" s="208" t="s">
        <v>313</v>
      </c>
      <c r="B29" s="549">
        <v>0</v>
      </c>
      <c r="C29" s="549">
        <v>0</v>
      </c>
      <c r="D29" s="549">
        <v>0</v>
      </c>
      <c r="E29" s="549">
        <v>0</v>
      </c>
      <c r="F29" s="549">
        <v>0</v>
      </c>
      <c r="G29" s="549">
        <v>0</v>
      </c>
      <c r="H29" s="550">
        <v>0</v>
      </c>
      <c r="I29" s="550">
        <v>0</v>
      </c>
      <c r="J29" s="550">
        <v>0</v>
      </c>
      <c r="K29" s="550">
        <v>0</v>
      </c>
      <c r="L29" s="550">
        <v>0</v>
      </c>
      <c r="M29" s="550">
        <v>0</v>
      </c>
      <c r="N29" s="375">
        <f>SUM(B29:M29)</f>
        <v>0</v>
      </c>
    </row>
    <row r="30" spans="1:19">
      <c r="A30" s="641" t="s">
        <v>324</v>
      </c>
      <c r="B30" s="377">
        <f t="shared" ref="B30:G30" si="4">SUM(B29:B29)</f>
        <v>0</v>
      </c>
      <c r="C30" s="377">
        <f t="shared" si="4"/>
        <v>0</v>
      </c>
      <c r="D30" s="377">
        <f t="shared" si="4"/>
        <v>0</v>
      </c>
      <c r="E30" s="377">
        <f t="shared" si="4"/>
        <v>0</v>
      </c>
      <c r="F30" s="377">
        <f t="shared" si="4"/>
        <v>0</v>
      </c>
      <c r="G30" s="377">
        <f t="shared" si="4"/>
        <v>0</v>
      </c>
      <c r="H30" s="377">
        <f>SUM(H28:H29)</f>
        <v>0</v>
      </c>
      <c r="I30" s="377">
        <f>SUM(I28:I29)</f>
        <v>0</v>
      </c>
      <c r="J30" s="377">
        <f>SUM(J29:J29)</f>
        <v>0</v>
      </c>
      <c r="K30" s="377">
        <f>SUM(K29:K29)</f>
        <v>0</v>
      </c>
      <c r="L30" s="377">
        <f>SUM(L29:L29)</f>
        <v>0</v>
      </c>
      <c r="M30" s="377">
        <f>SUM(M29:M29)</f>
        <v>0</v>
      </c>
      <c r="N30" s="642">
        <f>SUM(B30:M30)</f>
        <v>0</v>
      </c>
      <c r="O30" s="376"/>
    </row>
    <row r="31" spans="1:19" ht="10.5" customHeight="1">
      <c r="A31" s="381"/>
      <c r="B31" s="380"/>
      <c r="C31" s="380"/>
      <c r="D31" s="380"/>
      <c r="E31" s="380"/>
      <c r="F31" s="380"/>
      <c r="G31" s="380"/>
      <c r="H31" s="380"/>
      <c r="I31" s="380"/>
      <c r="J31" s="380"/>
      <c r="K31" s="380"/>
      <c r="L31" s="380"/>
      <c r="M31" s="380"/>
      <c r="N31" s="382"/>
    </row>
    <row r="32" spans="1:19" ht="15" customHeight="1">
      <c r="A32" s="639" t="s">
        <v>349</v>
      </c>
      <c r="B32" s="552">
        <v>0</v>
      </c>
      <c r="C32" s="552">
        <v>0</v>
      </c>
      <c r="D32" s="552">
        <v>0</v>
      </c>
      <c r="E32" s="552">
        <v>0</v>
      </c>
      <c r="F32" s="552">
        <v>0</v>
      </c>
      <c r="G32" s="552">
        <v>0</v>
      </c>
      <c r="H32" s="552">
        <v>0</v>
      </c>
      <c r="I32" s="552">
        <v>0</v>
      </c>
      <c r="J32" s="553">
        <v>0</v>
      </c>
      <c r="K32" s="553">
        <v>0</v>
      </c>
      <c r="L32" s="552">
        <v>0</v>
      </c>
      <c r="M32" s="552">
        <v>0</v>
      </c>
      <c r="N32" s="643">
        <f>SUM(B32:M32)</f>
        <v>0</v>
      </c>
      <c r="O32" s="383"/>
      <c r="P32" s="383"/>
      <c r="Q32" s="383"/>
      <c r="R32" s="383"/>
      <c r="S32" s="384"/>
    </row>
    <row r="33" spans="1:19" ht="15" customHeight="1">
      <c r="A33" s="676" t="s">
        <v>379</v>
      </c>
      <c r="B33" s="505">
        <f t="shared" ref="B33:M33" si="5">B15+B22+B26+B30+B32</f>
        <v>28.902999999999999</v>
      </c>
      <c r="C33" s="505">
        <f t="shared" si="5"/>
        <v>25.821999999999999</v>
      </c>
      <c r="D33" s="505">
        <f t="shared" si="5"/>
        <v>47.516219999999997</v>
      </c>
      <c r="E33" s="505">
        <f t="shared" si="5"/>
        <v>85.36054</v>
      </c>
      <c r="F33" s="505">
        <f t="shared" si="5"/>
        <v>98.805219999999991</v>
      </c>
      <c r="G33" s="505">
        <f t="shared" si="5"/>
        <v>283.95801</v>
      </c>
      <c r="H33" s="505">
        <f t="shared" si="5"/>
        <v>-81.678709999999995</v>
      </c>
      <c r="I33" s="505">
        <f t="shared" si="5"/>
        <v>159.63072</v>
      </c>
      <c r="J33" s="505">
        <f t="shared" si="5"/>
        <v>0</v>
      </c>
      <c r="K33" s="505">
        <f t="shared" si="5"/>
        <v>0</v>
      </c>
      <c r="L33" s="505">
        <f t="shared" si="5"/>
        <v>0</v>
      </c>
      <c r="M33" s="505">
        <f t="shared" si="5"/>
        <v>0</v>
      </c>
      <c r="N33" s="677">
        <f>SUM(B33:M33)</f>
        <v>648.31700000000001</v>
      </c>
      <c r="O33" s="383"/>
      <c r="P33" s="383"/>
      <c r="Q33" s="383"/>
      <c r="R33" s="383"/>
      <c r="S33" s="384"/>
    </row>
    <row r="34" spans="1:19" s="370" customFormat="1" ht="26.25" customHeight="1" thickBot="1">
      <c r="A34" s="503" t="s">
        <v>380</v>
      </c>
      <c r="B34" s="678">
        <f>B33</f>
        <v>28.902999999999999</v>
      </c>
      <c r="C34" s="679">
        <f t="shared" ref="C34:M34" si="6">C33</f>
        <v>25.821999999999999</v>
      </c>
      <c r="D34" s="680">
        <f t="shared" si="6"/>
        <v>47.516219999999997</v>
      </c>
      <c r="E34" s="680">
        <f t="shared" si="6"/>
        <v>85.36054</v>
      </c>
      <c r="F34" s="680">
        <f t="shared" si="6"/>
        <v>98.805219999999991</v>
      </c>
      <c r="G34" s="680">
        <f t="shared" si="6"/>
        <v>283.95801</v>
      </c>
      <c r="H34" s="680">
        <f t="shared" si="6"/>
        <v>-81.678709999999995</v>
      </c>
      <c r="I34" s="680">
        <f t="shared" si="6"/>
        <v>159.63072</v>
      </c>
      <c r="J34" s="680">
        <f t="shared" si="6"/>
        <v>0</v>
      </c>
      <c r="K34" s="680">
        <f t="shared" si="6"/>
        <v>0</v>
      </c>
      <c r="L34" s="680">
        <f t="shared" si="6"/>
        <v>0</v>
      </c>
      <c r="M34" s="681">
        <f t="shared" si="6"/>
        <v>0</v>
      </c>
      <c r="N34" s="504">
        <f>SUM(B34:M34)</f>
        <v>648.31700000000001</v>
      </c>
      <c r="O34" s="385"/>
    </row>
    <row r="35" spans="1:19">
      <c r="A35" s="663"/>
      <c r="B35" s="264"/>
      <c r="C35" s="264"/>
      <c r="D35" s="264"/>
      <c r="E35" s="264"/>
      <c r="F35" s="264"/>
      <c r="G35" s="264"/>
      <c r="H35" s="264"/>
      <c r="I35" s="264"/>
      <c r="J35" s="264"/>
      <c r="K35" s="264"/>
      <c r="L35" s="264"/>
      <c r="M35" s="264"/>
      <c r="N35" s="264"/>
    </row>
    <row r="36" spans="1:19">
      <c r="A36" s="663" t="s">
        <v>68</v>
      </c>
      <c r="B36" s="264"/>
      <c r="C36" s="264"/>
      <c r="D36" s="264"/>
      <c r="E36" s="264"/>
      <c r="F36" s="264"/>
      <c r="G36" s="264"/>
      <c r="H36" s="264"/>
      <c r="I36" s="264"/>
      <c r="J36" s="264"/>
      <c r="K36" s="264"/>
      <c r="L36" s="264"/>
      <c r="M36" s="264"/>
      <c r="N36" s="264"/>
    </row>
    <row r="37" spans="1:19" ht="15">
      <c r="A37" s="664" t="s">
        <v>381</v>
      </c>
      <c r="B37" s="314"/>
      <c r="C37" s="314"/>
      <c r="D37" s="314"/>
      <c r="E37" s="314"/>
      <c r="F37" s="314"/>
      <c r="G37" s="314"/>
      <c r="H37" s="314"/>
      <c r="I37" s="314"/>
      <c r="J37" s="314"/>
      <c r="K37" s="314"/>
      <c r="L37" s="314"/>
      <c r="M37" s="314"/>
      <c r="N37" s="314"/>
    </row>
    <row r="38" spans="1:19" ht="15" customHeight="1">
      <c r="A38" s="66" t="s">
        <v>382</v>
      </c>
      <c r="B38" s="302"/>
      <c r="C38" s="302"/>
      <c r="D38" s="302"/>
      <c r="E38" s="302"/>
      <c r="F38" s="302"/>
      <c r="G38" s="302"/>
      <c r="H38" s="302"/>
      <c r="I38" s="302"/>
      <c r="J38" s="302"/>
      <c r="K38" s="302"/>
      <c r="L38" s="302"/>
      <c r="M38" s="302"/>
      <c r="N38" s="302"/>
    </row>
    <row r="39" spans="1:19" ht="15" customHeight="1">
      <c r="A39" s="66"/>
      <c r="B39" s="302"/>
      <c r="C39" s="302"/>
      <c r="D39" s="302"/>
      <c r="E39" s="302"/>
      <c r="F39" s="302"/>
      <c r="G39" s="302"/>
      <c r="H39" s="302"/>
      <c r="I39" s="302"/>
      <c r="J39" s="302"/>
      <c r="K39" s="302"/>
      <c r="L39" s="302"/>
      <c r="M39" s="302"/>
      <c r="N39" s="302"/>
    </row>
    <row r="40" spans="1:19" s="66" customFormat="1" ht="13.5" customHeight="1">
      <c r="A40" s="650" t="s">
        <v>206</v>
      </c>
    </row>
    <row r="41" spans="1:19" ht="15">
      <c r="A41" s="655" t="s">
        <v>84</v>
      </c>
      <c r="E41" s="62"/>
    </row>
    <row r="42" spans="1:19">
      <c r="H42" s="376"/>
    </row>
  </sheetData>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582AB-EEA3-486B-833E-43D6F3807422}">
  <sheetPr>
    <pageSetUpPr fitToPage="1"/>
  </sheetPr>
  <dimension ref="A1:S41"/>
  <sheetViews>
    <sheetView showGridLines="0" tabSelected="1" zoomScale="90" zoomScaleNormal="90" zoomScaleSheetLayoutView="75" workbookViewId="0">
      <selection activeCell="A12" sqref="A12:XFD12"/>
    </sheetView>
  </sheetViews>
  <sheetFormatPr defaultColWidth="9.28515625" defaultRowHeight="12.75"/>
  <cols>
    <col min="1" max="1" width="55.28515625" style="369" customWidth="1"/>
    <col min="2" max="13" width="11.5703125" style="369" customWidth="1"/>
    <col min="14" max="14" width="15.7109375" style="369" bestFit="1" customWidth="1"/>
    <col min="15" max="15" width="9.7109375" style="369" bestFit="1" customWidth="1"/>
    <col min="16" max="16" width="22.7109375" style="369" bestFit="1" customWidth="1"/>
    <col min="17" max="17" width="22.28515625" style="369" customWidth="1"/>
    <col min="18" max="16384" width="9.28515625" style="369"/>
  </cols>
  <sheetData>
    <row r="1" spans="1:16" ht="15">
      <c r="A1" s="493"/>
    </row>
    <row r="3" spans="1:16">
      <c r="E3" s="79" t="s">
        <v>370</v>
      </c>
    </row>
    <row r="4" spans="1:16">
      <c r="C4" s="370"/>
      <c r="D4" s="370"/>
      <c r="E4" s="91" t="s">
        <v>383</v>
      </c>
      <c r="F4" s="370"/>
      <c r="G4" s="370"/>
    </row>
    <row r="5" spans="1:16">
      <c r="D5" s="370"/>
      <c r="E5" s="107">
        <f>'Program MW '!H3</f>
        <v>44774</v>
      </c>
      <c r="F5" s="370"/>
    </row>
    <row r="6" spans="1:16">
      <c r="E6" s="107"/>
    </row>
    <row r="7" spans="1:16" ht="13.5" thickBot="1">
      <c r="A7" s="19"/>
    </row>
    <row r="8" spans="1:16" ht="32.25" customHeight="1" thickBot="1">
      <c r="A8" s="231" t="s">
        <v>285</v>
      </c>
      <c r="B8" s="21" t="s">
        <v>41</v>
      </c>
      <c r="C8" s="21" t="s">
        <v>42</v>
      </c>
      <c r="D8" s="21" t="s">
        <v>43</v>
      </c>
      <c r="E8" s="21" t="s">
        <v>44</v>
      </c>
      <c r="F8" s="21" t="s">
        <v>31</v>
      </c>
      <c r="G8" s="21" t="s">
        <v>45</v>
      </c>
      <c r="H8" s="21" t="s">
        <v>58</v>
      </c>
      <c r="I8" s="21" t="s">
        <v>59</v>
      </c>
      <c r="J8" s="21" t="s">
        <v>60</v>
      </c>
      <c r="K8" s="21" t="s">
        <v>61</v>
      </c>
      <c r="L8" s="21" t="s">
        <v>62</v>
      </c>
      <c r="M8" s="21" t="s">
        <v>63</v>
      </c>
      <c r="N8" s="282" t="s">
        <v>339</v>
      </c>
    </row>
    <row r="9" spans="1:16" ht="25.5">
      <c r="A9" s="232" t="s">
        <v>372</v>
      </c>
      <c r="B9" s="371"/>
      <c r="C9" s="371"/>
      <c r="N9" s="372"/>
    </row>
    <row r="10" spans="1:16" ht="6" customHeight="1">
      <c r="A10" s="203"/>
      <c r="B10" s="371"/>
      <c r="C10" s="371"/>
      <c r="N10" s="373"/>
    </row>
    <row r="11" spans="1:16">
      <c r="A11" s="203" t="s">
        <v>287</v>
      </c>
      <c r="B11" s="371"/>
      <c r="C11" s="371"/>
      <c r="N11" s="373"/>
    </row>
    <row r="12" spans="1:16" ht="14.25">
      <c r="A12" s="204" t="s">
        <v>384</v>
      </c>
      <c r="B12" s="549">
        <v>0</v>
      </c>
      <c r="C12" s="549">
        <v>0</v>
      </c>
      <c r="D12" s="549">
        <v>0</v>
      </c>
      <c r="E12" s="549">
        <v>0</v>
      </c>
      <c r="F12" s="549">
        <v>0</v>
      </c>
      <c r="G12" s="549">
        <v>19.574999999999999</v>
      </c>
      <c r="H12" s="549">
        <v>-6.0750000000000002</v>
      </c>
      <c r="I12" s="549">
        <v>6.2249999999999996</v>
      </c>
      <c r="J12" s="549">
        <v>0</v>
      </c>
      <c r="K12" s="549">
        <v>0</v>
      </c>
      <c r="L12" s="549">
        <v>0</v>
      </c>
      <c r="M12" s="549">
        <v>0</v>
      </c>
      <c r="N12" s="375">
        <f>SUM(B12:M12)</f>
        <v>19.725000000000001</v>
      </c>
    </row>
    <row r="13" spans="1:16">
      <c r="A13" s="204" t="s">
        <v>385</v>
      </c>
      <c r="B13" s="549">
        <v>264.05085000000003</v>
      </c>
      <c r="C13" s="549">
        <v>0</v>
      </c>
      <c r="D13" s="549">
        <v>0</v>
      </c>
      <c r="E13" s="549">
        <v>266.16406000000001</v>
      </c>
      <c r="F13" s="549">
        <v>0</v>
      </c>
      <c r="G13" s="549">
        <v>594.54098999999997</v>
      </c>
      <c r="H13" s="549">
        <v>0</v>
      </c>
      <c r="I13" s="549">
        <v>0</v>
      </c>
      <c r="J13" s="549">
        <v>0</v>
      </c>
      <c r="K13" s="549">
        <v>0</v>
      </c>
      <c r="L13" s="549">
        <v>0</v>
      </c>
      <c r="M13" s="549">
        <v>0</v>
      </c>
      <c r="N13" s="375">
        <f>SUM(B13:M13)</f>
        <v>1124.7559000000001</v>
      </c>
    </row>
    <row r="14" spans="1:16">
      <c r="A14" s="324" t="s">
        <v>342</v>
      </c>
      <c r="B14" s="377">
        <f t="shared" ref="B14:M14" si="0">SUM(B12:B13)</f>
        <v>264.05085000000003</v>
      </c>
      <c r="C14" s="377">
        <f t="shared" si="0"/>
        <v>0</v>
      </c>
      <c r="D14" s="377">
        <f t="shared" si="0"/>
        <v>0</v>
      </c>
      <c r="E14" s="377">
        <f t="shared" si="0"/>
        <v>266.16406000000001</v>
      </c>
      <c r="F14" s="377">
        <f t="shared" si="0"/>
        <v>0</v>
      </c>
      <c r="G14" s="377">
        <f t="shared" si="0"/>
        <v>614.11599000000001</v>
      </c>
      <c r="H14" s="377">
        <f t="shared" si="0"/>
        <v>-6.0750000000000002</v>
      </c>
      <c r="I14" s="377">
        <f t="shared" si="0"/>
        <v>6.2249999999999996</v>
      </c>
      <c r="J14" s="377">
        <f t="shared" si="0"/>
        <v>0</v>
      </c>
      <c r="K14" s="377">
        <f t="shared" si="0"/>
        <v>0</v>
      </c>
      <c r="L14" s="377">
        <f t="shared" si="0"/>
        <v>0</v>
      </c>
      <c r="M14" s="377">
        <f t="shared" si="0"/>
        <v>0</v>
      </c>
      <c r="N14" s="642">
        <f>SUM(B14:M14)</f>
        <v>1144.4808999999998</v>
      </c>
    </row>
    <row r="15" spans="1:16">
      <c r="A15" s="373"/>
      <c r="B15" s="374"/>
      <c r="C15" s="374"/>
      <c r="D15" s="374"/>
      <c r="E15" s="374"/>
      <c r="F15" s="374"/>
      <c r="G15" s="374"/>
      <c r="H15" s="374"/>
      <c r="I15" s="374"/>
      <c r="J15" s="374" t="s">
        <v>67</v>
      </c>
      <c r="K15" s="374"/>
      <c r="L15" s="374"/>
      <c r="M15" s="374"/>
      <c r="N15" s="375"/>
      <c r="P15" s="378"/>
    </row>
    <row r="16" spans="1:16">
      <c r="A16" s="203" t="s">
        <v>358</v>
      </c>
      <c r="B16" s="374"/>
      <c r="C16" s="374"/>
      <c r="D16" s="374"/>
      <c r="E16" s="374"/>
      <c r="F16" s="374"/>
      <c r="G16" s="374"/>
      <c r="H16" s="374"/>
      <c r="I16" s="374"/>
      <c r="J16" s="374"/>
      <c r="K16" s="374"/>
      <c r="L16" s="374"/>
      <c r="M16" s="374"/>
      <c r="N16" s="375"/>
      <c r="P16" s="378"/>
    </row>
    <row r="17" spans="1:19">
      <c r="A17" s="204" t="s">
        <v>375</v>
      </c>
      <c r="B17" s="549">
        <v>0</v>
      </c>
      <c r="C17" s="549">
        <v>0</v>
      </c>
      <c r="D17" s="549">
        <v>0</v>
      </c>
      <c r="E17" s="549">
        <v>0</v>
      </c>
      <c r="F17" s="549">
        <v>0</v>
      </c>
      <c r="G17" s="549">
        <v>0</v>
      </c>
      <c r="H17" s="549">
        <v>0</v>
      </c>
      <c r="I17" s="549">
        <v>0</v>
      </c>
      <c r="J17" s="549">
        <v>0</v>
      </c>
      <c r="K17" s="549">
        <v>0</v>
      </c>
      <c r="L17" s="549">
        <v>0</v>
      </c>
      <c r="M17" s="549">
        <v>0</v>
      </c>
      <c r="N17" s="375">
        <f>SUM(B17:M17)</f>
        <v>0</v>
      </c>
      <c r="P17" s="378"/>
    </row>
    <row r="18" spans="1:19">
      <c r="A18" s="204" t="s">
        <v>376</v>
      </c>
      <c r="B18" s="549">
        <v>0</v>
      </c>
      <c r="C18" s="549">
        <v>0</v>
      </c>
      <c r="D18" s="549">
        <v>0</v>
      </c>
      <c r="E18" s="549">
        <v>0</v>
      </c>
      <c r="F18" s="549">
        <v>0</v>
      </c>
      <c r="G18" s="549">
        <v>0</v>
      </c>
      <c r="H18" s="549">
        <v>0</v>
      </c>
      <c r="I18" s="549">
        <v>0</v>
      </c>
      <c r="J18" s="549">
        <v>0</v>
      </c>
      <c r="K18" s="549">
        <v>0</v>
      </c>
      <c r="L18" s="549">
        <v>0</v>
      </c>
      <c r="M18" s="549">
        <v>0</v>
      </c>
      <c r="N18" s="375">
        <f>SUM(B18:M18)</f>
        <v>0</v>
      </c>
      <c r="P18" s="378"/>
    </row>
    <row r="19" spans="1:19">
      <c r="A19" s="204" t="s">
        <v>377</v>
      </c>
      <c r="B19" s="549">
        <v>0</v>
      </c>
      <c r="C19" s="549">
        <v>0</v>
      </c>
      <c r="D19" s="549">
        <v>0</v>
      </c>
      <c r="E19" s="549">
        <v>0</v>
      </c>
      <c r="F19" s="549">
        <v>0</v>
      </c>
      <c r="G19" s="549">
        <v>0</v>
      </c>
      <c r="H19" s="549">
        <v>0</v>
      </c>
      <c r="I19" s="549">
        <v>0</v>
      </c>
      <c r="J19" s="549">
        <v>0</v>
      </c>
      <c r="K19" s="549">
        <v>0</v>
      </c>
      <c r="L19" s="549">
        <v>0</v>
      </c>
      <c r="M19" s="549">
        <v>0</v>
      </c>
      <c r="N19" s="375">
        <f>SUM(B19:M19)</f>
        <v>0</v>
      </c>
      <c r="P19" s="378"/>
    </row>
    <row r="20" spans="1:19">
      <c r="A20" s="206" t="s">
        <v>378</v>
      </c>
      <c r="B20" s="549">
        <v>0</v>
      </c>
      <c r="C20" s="549">
        <v>0</v>
      </c>
      <c r="D20" s="549">
        <v>0</v>
      </c>
      <c r="E20" s="549">
        <v>0</v>
      </c>
      <c r="F20" s="549">
        <v>0</v>
      </c>
      <c r="G20" s="549">
        <v>0</v>
      </c>
      <c r="H20" s="549">
        <v>0</v>
      </c>
      <c r="I20" s="549">
        <v>0</v>
      </c>
      <c r="J20" s="549">
        <v>0</v>
      </c>
      <c r="K20" s="549">
        <v>0</v>
      </c>
      <c r="L20" s="549">
        <v>0</v>
      </c>
      <c r="M20" s="549">
        <v>0</v>
      </c>
      <c r="N20" s="375">
        <f>SUM(B20:M20)</f>
        <v>0</v>
      </c>
      <c r="P20" s="378"/>
    </row>
    <row r="21" spans="1:19">
      <c r="A21" s="639" t="s">
        <v>345</v>
      </c>
      <c r="B21" s="377">
        <f t="shared" ref="B21:M21" si="1">SUM(B17:B20)</f>
        <v>0</v>
      </c>
      <c r="C21" s="377">
        <f t="shared" si="1"/>
        <v>0</v>
      </c>
      <c r="D21" s="377">
        <f t="shared" si="1"/>
        <v>0</v>
      </c>
      <c r="E21" s="377">
        <f t="shared" si="1"/>
        <v>0</v>
      </c>
      <c r="F21" s="377">
        <f t="shared" si="1"/>
        <v>0</v>
      </c>
      <c r="G21" s="377">
        <f t="shared" si="1"/>
        <v>0</v>
      </c>
      <c r="H21" s="377">
        <f t="shared" si="1"/>
        <v>0</v>
      </c>
      <c r="I21" s="377">
        <f t="shared" si="1"/>
        <v>0</v>
      </c>
      <c r="J21" s="377">
        <f t="shared" si="1"/>
        <v>0</v>
      </c>
      <c r="K21" s="377">
        <f t="shared" si="1"/>
        <v>0</v>
      </c>
      <c r="L21" s="377">
        <f t="shared" si="1"/>
        <v>0</v>
      </c>
      <c r="M21" s="377">
        <f t="shared" si="1"/>
        <v>0</v>
      </c>
      <c r="N21" s="642">
        <f>SUM(B21:M21)</f>
        <v>0</v>
      </c>
      <c r="P21" s="378"/>
    </row>
    <row r="22" spans="1:19">
      <c r="A22" s="206"/>
      <c r="B22" s="374"/>
      <c r="C22" s="374"/>
      <c r="D22" s="374"/>
      <c r="E22" s="374"/>
      <c r="F22" s="374"/>
      <c r="G22" s="374"/>
      <c r="H22" s="374"/>
      <c r="I22" s="374"/>
      <c r="J22" s="374"/>
      <c r="K22" s="374"/>
      <c r="L22" s="374"/>
      <c r="M22" s="374"/>
      <c r="N22" s="375"/>
      <c r="P22" s="378"/>
    </row>
    <row r="23" spans="1:19">
      <c r="A23" s="203"/>
      <c r="B23" s="374" t="s">
        <v>67</v>
      </c>
      <c r="C23" s="374" t="s">
        <v>67</v>
      </c>
      <c r="D23" s="374" t="s">
        <v>67</v>
      </c>
      <c r="E23" s="374"/>
      <c r="F23" s="374" t="s">
        <v>67</v>
      </c>
      <c r="G23" s="374"/>
      <c r="H23" s="379" t="s">
        <v>67</v>
      </c>
      <c r="I23" s="379" t="s">
        <v>67</v>
      </c>
      <c r="J23" s="379" t="s">
        <v>67</v>
      </c>
      <c r="K23" s="379" t="s">
        <v>67</v>
      </c>
      <c r="L23" s="379" t="s">
        <v>67</v>
      </c>
      <c r="M23" s="379" t="s">
        <v>67</v>
      </c>
      <c r="N23" s="375" t="s">
        <v>67</v>
      </c>
      <c r="P23" s="378"/>
    </row>
    <row r="24" spans="1:19">
      <c r="A24" s="203" t="s">
        <v>346</v>
      </c>
      <c r="B24" s="549">
        <v>0</v>
      </c>
      <c r="C24" s="549">
        <v>0</v>
      </c>
      <c r="D24" s="549">
        <v>0</v>
      </c>
      <c r="E24" s="549">
        <v>0</v>
      </c>
      <c r="F24" s="549">
        <v>0</v>
      </c>
      <c r="G24" s="549">
        <v>0</v>
      </c>
      <c r="H24" s="550">
        <v>0</v>
      </c>
      <c r="I24" s="550">
        <v>0</v>
      </c>
      <c r="J24" s="550">
        <v>0</v>
      </c>
      <c r="K24" s="550">
        <v>0</v>
      </c>
      <c r="L24" s="550">
        <v>0</v>
      </c>
      <c r="M24" s="550">
        <v>0</v>
      </c>
      <c r="N24" s="375">
        <f>SUM(B24:M24)</f>
        <v>0</v>
      </c>
      <c r="P24" s="378"/>
    </row>
    <row r="25" spans="1:19">
      <c r="A25" s="640" t="s">
        <v>348</v>
      </c>
      <c r="B25" s="377">
        <f t="shared" ref="B25:M25" si="2">SUM(B24:B24)</f>
        <v>0</v>
      </c>
      <c r="C25" s="377">
        <f t="shared" si="2"/>
        <v>0</v>
      </c>
      <c r="D25" s="377">
        <f t="shared" si="2"/>
        <v>0</v>
      </c>
      <c r="E25" s="377">
        <f t="shared" si="2"/>
        <v>0</v>
      </c>
      <c r="F25" s="377">
        <f t="shared" si="2"/>
        <v>0</v>
      </c>
      <c r="G25" s="377">
        <f t="shared" si="2"/>
        <v>0</v>
      </c>
      <c r="H25" s="377">
        <f t="shared" si="2"/>
        <v>0</v>
      </c>
      <c r="I25" s="377">
        <f t="shared" si="2"/>
        <v>0</v>
      </c>
      <c r="J25" s="377">
        <f t="shared" si="2"/>
        <v>0</v>
      </c>
      <c r="K25" s="377">
        <f t="shared" si="2"/>
        <v>0</v>
      </c>
      <c r="L25" s="377">
        <f t="shared" si="2"/>
        <v>0</v>
      </c>
      <c r="M25" s="377">
        <f t="shared" si="2"/>
        <v>0</v>
      </c>
      <c r="N25" s="642">
        <f>SUM(B25:M25)</f>
        <v>0</v>
      </c>
      <c r="P25" s="378"/>
    </row>
    <row r="26" spans="1:19">
      <c r="A26" s="207"/>
      <c r="B26" s="374"/>
      <c r="C26" s="374"/>
      <c r="D26" s="374"/>
      <c r="E26" s="374"/>
      <c r="F26" s="374"/>
      <c r="G26" s="380"/>
      <c r="H26" s="374"/>
      <c r="I26" s="380"/>
      <c r="J26" s="374"/>
      <c r="K26" s="374"/>
      <c r="L26" s="380"/>
      <c r="M26" s="374"/>
      <c r="N26" s="375"/>
    </row>
    <row r="27" spans="1:19">
      <c r="A27" s="208"/>
      <c r="B27" s="374"/>
      <c r="C27" s="374"/>
      <c r="D27" s="374"/>
      <c r="E27" s="374"/>
      <c r="F27" s="374"/>
      <c r="G27" s="374"/>
      <c r="H27" s="374"/>
      <c r="I27" s="374"/>
      <c r="J27" s="374"/>
      <c r="K27" s="374"/>
      <c r="L27" s="374"/>
      <c r="M27" s="374"/>
      <c r="N27" s="375"/>
    </row>
    <row r="28" spans="1:19">
      <c r="A28" s="208" t="s">
        <v>313</v>
      </c>
      <c r="B28" s="549">
        <v>0</v>
      </c>
      <c r="C28" s="549">
        <v>0</v>
      </c>
      <c r="D28" s="549">
        <v>0</v>
      </c>
      <c r="E28" s="549">
        <v>0</v>
      </c>
      <c r="F28" s="549">
        <v>0</v>
      </c>
      <c r="G28" s="549">
        <v>0</v>
      </c>
      <c r="H28" s="550">
        <v>0</v>
      </c>
      <c r="I28" s="550">
        <v>0</v>
      </c>
      <c r="J28" s="550">
        <v>0</v>
      </c>
      <c r="K28" s="550">
        <v>0</v>
      </c>
      <c r="L28" s="550">
        <v>0</v>
      </c>
      <c r="M28" s="550">
        <v>0</v>
      </c>
      <c r="N28" s="375">
        <f>SUM(B28:M28)</f>
        <v>0</v>
      </c>
    </row>
    <row r="29" spans="1:19">
      <c r="A29" s="641" t="s">
        <v>324</v>
      </c>
      <c r="B29" s="377">
        <f t="shared" ref="B29:G29" si="3">SUM(B28:B28)</f>
        <v>0</v>
      </c>
      <c r="C29" s="377">
        <f t="shared" si="3"/>
        <v>0</v>
      </c>
      <c r="D29" s="377">
        <f t="shared" si="3"/>
        <v>0</v>
      </c>
      <c r="E29" s="377">
        <f t="shared" si="3"/>
        <v>0</v>
      </c>
      <c r="F29" s="377">
        <f t="shared" si="3"/>
        <v>0</v>
      </c>
      <c r="G29" s="377">
        <f t="shared" si="3"/>
        <v>0</v>
      </c>
      <c r="H29" s="377">
        <f>SUM(H27:H28)</f>
        <v>0</v>
      </c>
      <c r="I29" s="377">
        <f>SUM(I27:I28)</f>
        <v>0</v>
      </c>
      <c r="J29" s="377">
        <f>SUM(J28:J28)</f>
        <v>0</v>
      </c>
      <c r="K29" s="377">
        <f>SUM(K28:K28)</f>
        <v>0</v>
      </c>
      <c r="L29" s="377">
        <f>SUM(L28:L28)</f>
        <v>0</v>
      </c>
      <c r="M29" s="377">
        <f>SUM(M28:M28)</f>
        <v>0</v>
      </c>
      <c r="N29" s="642">
        <f>SUM(B29:M29)</f>
        <v>0</v>
      </c>
      <c r="O29" s="376"/>
    </row>
    <row r="30" spans="1:19" ht="10.5" customHeight="1">
      <c r="A30" s="381"/>
      <c r="B30" s="380"/>
      <c r="C30" s="380"/>
      <c r="D30" s="380"/>
      <c r="E30" s="380"/>
      <c r="F30" s="380"/>
      <c r="G30" s="380"/>
      <c r="H30" s="380"/>
      <c r="I30" s="380"/>
      <c r="J30" s="380"/>
      <c r="K30" s="380"/>
      <c r="L30" s="380"/>
      <c r="M30" s="380"/>
      <c r="N30" s="382"/>
    </row>
    <row r="31" spans="1:19" ht="15" customHeight="1">
      <c r="A31" s="639" t="s">
        <v>349</v>
      </c>
      <c r="B31" s="552">
        <v>0</v>
      </c>
      <c r="C31" s="552">
        <v>0</v>
      </c>
      <c r="D31" s="552">
        <v>0</v>
      </c>
      <c r="E31" s="552">
        <v>0</v>
      </c>
      <c r="F31" s="552">
        <v>0</v>
      </c>
      <c r="G31" s="552">
        <v>0</v>
      </c>
      <c r="H31" s="552">
        <v>0</v>
      </c>
      <c r="I31" s="552">
        <v>0</v>
      </c>
      <c r="J31" s="553">
        <v>0</v>
      </c>
      <c r="K31" s="553">
        <v>0</v>
      </c>
      <c r="L31" s="552">
        <v>0</v>
      </c>
      <c r="M31" s="552">
        <v>0</v>
      </c>
      <c r="N31" s="643">
        <f>SUM(B31:M31)</f>
        <v>0</v>
      </c>
      <c r="O31" s="383"/>
      <c r="P31" s="383"/>
      <c r="Q31" s="383"/>
      <c r="R31" s="383"/>
      <c r="S31" s="384"/>
    </row>
    <row r="32" spans="1:19" ht="15" customHeight="1" thickBot="1">
      <c r="A32" s="631" t="s">
        <v>379</v>
      </c>
      <c r="B32" s="632">
        <f t="shared" ref="B32:M32" si="4">B14+B21+B25+B29+B31</f>
        <v>264.05085000000003</v>
      </c>
      <c r="C32" s="338">
        <f t="shared" si="4"/>
        <v>0</v>
      </c>
      <c r="D32" s="338">
        <f t="shared" si="4"/>
        <v>0</v>
      </c>
      <c r="E32" s="338">
        <f t="shared" si="4"/>
        <v>266.16406000000001</v>
      </c>
      <c r="F32" s="338">
        <f t="shared" si="4"/>
        <v>0</v>
      </c>
      <c r="G32" s="338">
        <f t="shared" si="4"/>
        <v>614.11599000000001</v>
      </c>
      <c r="H32" s="338">
        <f t="shared" si="4"/>
        <v>-6.0750000000000002</v>
      </c>
      <c r="I32" s="338">
        <f t="shared" si="4"/>
        <v>6.2249999999999996</v>
      </c>
      <c r="J32" s="338">
        <f t="shared" si="4"/>
        <v>0</v>
      </c>
      <c r="K32" s="338">
        <f t="shared" si="4"/>
        <v>0</v>
      </c>
      <c r="L32" s="338">
        <f t="shared" si="4"/>
        <v>0</v>
      </c>
      <c r="M32" s="338">
        <f t="shared" si="4"/>
        <v>0</v>
      </c>
      <c r="N32" s="339">
        <f>SUM(B32:M32)</f>
        <v>1144.4808999999998</v>
      </c>
      <c r="O32" s="383"/>
      <c r="P32" s="383"/>
      <c r="Q32" s="383"/>
      <c r="R32" s="383"/>
      <c r="S32" s="384"/>
    </row>
    <row r="33" spans="1:15" s="370" customFormat="1" ht="26.25" customHeight="1" thickBot="1">
      <c r="A33" s="503" t="s">
        <v>380</v>
      </c>
      <c r="B33" s="629">
        <f>B32+0.079</f>
        <v>264.12985000000003</v>
      </c>
      <c r="C33" s="633">
        <f>C32+0.092</f>
        <v>9.1999999999999998E-2</v>
      </c>
      <c r="D33" s="633">
        <f>D32+0.098</f>
        <v>9.8000000000000004E-2</v>
      </c>
      <c r="E33" s="633">
        <f>E32+0.268</f>
        <v>266.43205999999998</v>
      </c>
      <c r="F33" s="633">
        <f>F32+0.348</f>
        <v>0.34799999999999998</v>
      </c>
      <c r="G33" s="633">
        <f>G32+0.545</f>
        <v>614.66098999999997</v>
      </c>
      <c r="H33" s="633">
        <f>H32+0.633</f>
        <v>-5.4420000000000002</v>
      </c>
      <c r="I33" s="633">
        <f t="shared" ref="I33:M33" si="5">I32</f>
        <v>6.2249999999999996</v>
      </c>
      <c r="J33" s="633">
        <f t="shared" si="5"/>
        <v>0</v>
      </c>
      <c r="K33" s="633">
        <f t="shared" si="5"/>
        <v>0</v>
      </c>
      <c r="L33" s="633">
        <f t="shared" si="5"/>
        <v>0</v>
      </c>
      <c r="M33" s="634">
        <f t="shared" si="5"/>
        <v>0</v>
      </c>
      <c r="N33" s="630">
        <f>SUM(B33:M33)</f>
        <v>1146.5438999999997</v>
      </c>
      <c r="O33" s="385"/>
    </row>
    <row r="34" spans="1:15">
      <c r="A34" s="31"/>
      <c r="B34" s="264"/>
      <c r="C34" s="264"/>
      <c r="D34" s="264"/>
      <c r="E34" s="264"/>
      <c r="F34" s="264"/>
      <c r="G34" s="264"/>
      <c r="H34" s="264"/>
      <c r="I34" s="264"/>
      <c r="J34" s="264"/>
      <c r="K34" s="264"/>
      <c r="L34" s="264"/>
      <c r="M34" s="264"/>
      <c r="N34" s="264"/>
    </row>
    <row r="35" spans="1:15">
      <c r="A35" s="663" t="s">
        <v>68</v>
      </c>
      <c r="B35" s="264"/>
      <c r="C35" s="264"/>
      <c r="D35" s="264"/>
      <c r="E35" s="264"/>
      <c r="F35" s="264"/>
      <c r="G35" s="264"/>
      <c r="H35" s="264"/>
      <c r="I35" s="264"/>
      <c r="J35" s="264"/>
      <c r="K35" s="264"/>
      <c r="L35" s="264"/>
      <c r="M35" s="264"/>
      <c r="N35" s="264"/>
    </row>
    <row r="36" spans="1:15" ht="15">
      <c r="A36" s="664" t="s">
        <v>386</v>
      </c>
      <c r="B36" s="314"/>
      <c r="C36" s="314"/>
      <c r="D36" s="314"/>
      <c r="E36" s="314"/>
      <c r="F36" s="314"/>
      <c r="G36" s="314"/>
      <c r="H36" s="314"/>
      <c r="I36" s="314"/>
      <c r="J36" s="314"/>
      <c r="K36" s="314"/>
      <c r="L36" s="314"/>
      <c r="M36" s="314"/>
      <c r="N36" s="314"/>
    </row>
    <row r="37" spans="1:15" ht="14.25">
      <c r="A37" s="66" t="s">
        <v>382</v>
      </c>
      <c r="B37" s="302"/>
      <c r="C37" s="302"/>
      <c r="D37" s="302"/>
      <c r="E37" s="302"/>
      <c r="F37" s="302"/>
      <c r="G37" s="302"/>
      <c r="H37" s="302"/>
      <c r="I37" s="302"/>
      <c r="J37" s="302"/>
      <c r="K37" s="302"/>
      <c r="L37" s="302"/>
      <c r="M37" s="302"/>
      <c r="N37" s="302"/>
    </row>
    <row r="38" spans="1:15" ht="14.25">
      <c r="A38" s="66"/>
      <c r="B38" s="302"/>
      <c r="C38" s="302"/>
      <c r="D38" s="302"/>
      <c r="E38" s="302"/>
      <c r="F38" s="302"/>
      <c r="G38" s="302"/>
      <c r="H38" s="302"/>
      <c r="I38" s="302"/>
      <c r="J38" s="302"/>
      <c r="K38" s="302"/>
      <c r="L38" s="302"/>
      <c r="M38" s="302"/>
      <c r="N38" s="302"/>
    </row>
    <row r="39" spans="1:15" s="66" customFormat="1" ht="13.5" customHeight="1">
      <c r="A39" s="650" t="s">
        <v>206</v>
      </c>
    </row>
    <row r="40" spans="1:15" ht="15">
      <c r="A40" s="655" t="s">
        <v>84</v>
      </c>
      <c r="E40" s="62"/>
    </row>
    <row r="41" spans="1:15">
      <c r="H41" s="376"/>
    </row>
  </sheetData>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E65"/>
  <sheetViews>
    <sheetView showGridLines="0" showRuler="0" topLeftCell="A17" zoomScale="90" zoomScaleNormal="90" zoomScaleSheetLayoutView="80" workbookViewId="0">
      <selection activeCell="A45" sqref="A45"/>
    </sheetView>
  </sheetViews>
  <sheetFormatPr defaultColWidth="9.28515625" defaultRowHeight="12.75"/>
  <cols>
    <col min="1" max="1" width="41.7109375" style="9" customWidth="1"/>
    <col min="2" max="2" width="11.28515625" style="9" customWidth="1"/>
    <col min="3" max="3" width="12.28515625" style="9" customWidth="1"/>
    <col min="4" max="4" width="12.7109375" style="9" customWidth="1"/>
    <col min="5" max="5" width="17.28515625" style="9" bestFit="1" customWidth="1"/>
    <col min="6" max="6" width="10.28515625" style="9" customWidth="1"/>
    <col min="7" max="7" width="10.85546875" style="9" customWidth="1"/>
    <col min="8" max="8" width="11.28515625" style="9" customWidth="1"/>
    <col min="9" max="9" width="25.28515625" style="9" bestFit="1" customWidth="1"/>
    <col min="10" max="10" width="10.7109375" style="9" customWidth="1"/>
    <col min="11" max="14" width="12.5703125" style="9" customWidth="1"/>
    <col min="15" max="15" width="12.28515625" style="9" customWidth="1"/>
    <col min="16" max="16" width="12.5703125" style="9" customWidth="1"/>
    <col min="17" max="17" width="10.7109375" style="9" customWidth="1"/>
    <col min="18" max="18" width="11" style="9" customWidth="1"/>
    <col min="19" max="19" width="11.28515625" style="9" customWidth="1"/>
    <col min="20" max="20" width="14.28515625" style="9" hidden="1" customWidth="1"/>
    <col min="21" max="21" width="9.7109375" style="9" customWidth="1"/>
    <col min="22" max="22" width="25" style="9" bestFit="1" customWidth="1"/>
    <col min="23" max="23" width="11" style="9" customWidth="1"/>
    <col min="24" max="25" width="9.7109375" style="9" customWidth="1"/>
    <col min="26" max="26" width="12.7109375" style="9" customWidth="1"/>
    <col min="27" max="27" width="8.7109375" style="9" bestFit="1" customWidth="1"/>
    <col min="28" max="28" width="10.5703125" style="9" customWidth="1"/>
    <col min="29" max="29" width="9.7109375" style="9" bestFit="1" customWidth="1"/>
    <col min="30" max="30" width="11.28515625" style="9" customWidth="1"/>
    <col min="31" max="31" width="9.7109375" style="9" bestFit="1" customWidth="1"/>
    <col min="32" max="32" width="10.7109375" style="9" customWidth="1"/>
    <col min="33" max="33" width="12.28515625" style="9" bestFit="1" customWidth="1"/>
    <col min="34" max="34" width="12.28515625" style="9" customWidth="1"/>
    <col min="35" max="35" width="9.5703125" style="9" bestFit="1" customWidth="1"/>
    <col min="36" max="36" width="11.28515625" style="9" customWidth="1"/>
    <col min="37" max="37" width="11.7109375" style="9" bestFit="1" customWidth="1"/>
    <col min="38" max="38" width="11.7109375" style="9" customWidth="1"/>
    <col min="39" max="16384" width="9.28515625" style="9"/>
  </cols>
  <sheetData>
    <row r="1" spans="1:31">
      <c r="H1" s="79" t="s">
        <v>39</v>
      </c>
    </row>
    <row r="2" spans="1:31">
      <c r="H2" s="79" t="s">
        <v>40</v>
      </c>
      <c r="Q2" s="11"/>
      <c r="R2" s="52"/>
    </row>
    <row r="3" spans="1:31">
      <c r="C3" s="83"/>
      <c r="E3" s="83"/>
      <c r="G3" s="83"/>
      <c r="H3" s="107">
        <v>44774</v>
      </c>
      <c r="I3" s="83"/>
    </row>
    <row r="4" spans="1:31" hidden="1">
      <c r="C4" s="9">
        <v>2</v>
      </c>
      <c r="D4" s="9">
        <f>C4</f>
        <v>2</v>
      </c>
      <c r="F4" s="9">
        <f>C4+1</f>
        <v>3</v>
      </c>
      <c r="G4" s="9">
        <f>F4</f>
        <v>3</v>
      </c>
      <c r="I4" s="9">
        <f>F4+1</f>
        <v>4</v>
      </c>
      <c r="J4" s="9">
        <f>I4</f>
        <v>4</v>
      </c>
      <c r="L4" s="9">
        <f>I4+1</f>
        <v>5</v>
      </c>
      <c r="M4" s="9">
        <f>L4</f>
        <v>5</v>
      </c>
      <c r="O4" s="9">
        <f>L4+1</f>
        <v>6</v>
      </c>
      <c r="P4" s="9">
        <f>O4</f>
        <v>6</v>
      </c>
      <c r="R4" s="9">
        <f>O4+1</f>
        <v>7</v>
      </c>
      <c r="S4" s="9">
        <f>R4</f>
        <v>7</v>
      </c>
    </row>
    <row r="5" spans="1:31">
      <c r="C5" s="53"/>
    </row>
    <row r="6" spans="1:31">
      <c r="A6" s="54"/>
      <c r="B6" s="395"/>
      <c r="C6" s="396" t="s">
        <v>41</v>
      </c>
      <c r="D6" s="521">
        <f>DATE(YEAR($H$3),1,1)</f>
        <v>44562</v>
      </c>
      <c r="E6" s="395"/>
      <c r="F6" s="395" t="s">
        <v>42</v>
      </c>
      <c r="G6" s="521">
        <f>DATE(YEAR($H$3),1,1)</f>
        <v>44562</v>
      </c>
      <c r="H6" s="395"/>
      <c r="I6" s="395" t="s">
        <v>43</v>
      </c>
      <c r="J6" s="521">
        <f>DATE(YEAR($H$3),1,1)</f>
        <v>44562</v>
      </c>
      <c r="K6" s="395"/>
      <c r="L6" s="395" t="s">
        <v>44</v>
      </c>
      <c r="M6" s="521">
        <f>DATE(YEAR($H$3),1,1)</f>
        <v>44562</v>
      </c>
      <c r="N6" s="395"/>
      <c r="O6" s="395" t="s">
        <v>31</v>
      </c>
      <c r="P6" s="521">
        <f>DATE(YEAR($H$3),1,1)</f>
        <v>44562</v>
      </c>
      <c r="Q6" s="395"/>
      <c r="R6" s="395" t="s">
        <v>45</v>
      </c>
      <c r="S6" s="521">
        <f>DATE(YEAR($H$3),1,1)</f>
        <v>44562</v>
      </c>
      <c r="T6" s="98"/>
    </row>
    <row r="7" spans="1:31" ht="42">
      <c r="A7" s="397" t="s">
        <v>46</v>
      </c>
      <c r="B7" s="398" t="s">
        <v>47</v>
      </c>
      <c r="C7" s="399" t="s">
        <v>48</v>
      </c>
      <c r="D7" s="400" t="s">
        <v>49</v>
      </c>
      <c r="E7" s="401" t="s">
        <v>47</v>
      </c>
      <c r="F7" s="399" t="s">
        <v>48</v>
      </c>
      <c r="G7" s="400" t="s">
        <v>49</v>
      </c>
      <c r="H7" s="401" t="s">
        <v>47</v>
      </c>
      <c r="I7" s="399" t="s">
        <v>48</v>
      </c>
      <c r="J7" s="400" t="s">
        <v>49</v>
      </c>
      <c r="K7" s="401" t="s">
        <v>47</v>
      </c>
      <c r="L7" s="399" t="s">
        <v>48</v>
      </c>
      <c r="M7" s="400" t="s">
        <v>49</v>
      </c>
      <c r="N7" s="401" t="s">
        <v>47</v>
      </c>
      <c r="O7" s="399" t="s">
        <v>48</v>
      </c>
      <c r="P7" s="400" t="s">
        <v>49</v>
      </c>
      <c r="Q7" s="401" t="s">
        <v>47</v>
      </c>
      <c r="R7" s="399" t="s">
        <v>48</v>
      </c>
      <c r="S7" s="400" t="s">
        <v>49</v>
      </c>
      <c r="T7" s="400" t="s">
        <v>50</v>
      </c>
    </row>
    <row r="8" spans="1:31">
      <c r="A8" s="402" t="s">
        <v>51</v>
      </c>
      <c r="B8" s="403"/>
      <c r="C8" s="403"/>
      <c r="D8" s="404"/>
      <c r="E8" s="405"/>
      <c r="F8" s="403"/>
      <c r="G8" s="404"/>
      <c r="H8" s="405"/>
      <c r="I8" s="403"/>
      <c r="J8" s="403"/>
      <c r="K8" s="405"/>
      <c r="L8" s="403"/>
      <c r="M8" s="406"/>
      <c r="N8" s="405"/>
      <c r="O8" s="403"/>
      <c r="P8" s="406"/>
      <c r="Q8" s="405"/>
      <c r="R8" s="403"/>
      <c r="S8" s="406"/>
      <c r="T8" s="407"/>
    </row>
    <row r="9" spans="1:31">
      <c r="A9" s="51" t="s">
        <v>8</v>
      </c>
      <c r="B9" s="61">
        <v>0</v>
      </c>
      <c r="C9" s="214">
        <f>B9*(INDEX('Ex ante LI &amp; Eligibility Stats'!$A:$M,MATCH('Program MW '!$A9,'Ex ante LI &amp; Eligibility Stats'!$A:$A,0),MATCH('Program MW '!C$6,'Ex ante LI &amp; Eligibility Stats'!$A$8:$M$8,0))/1000)</f>
        <v>0</v>
      </c>
      <c r="D9" s="210">
        <f>B9*(INDEX('Ex post LI &amp; Eligibility Stats'!$A:$N,MATCH($A9,'Ex post LI &amp; Eligibility Stats'!$A:$A,0),MATCH('Program MW '!C$6,'Ex post LI &amp; Eligibility Stats'!$A$8:$N$8,0))/1000)</f>
        <v>0</v>
      </c>
      <c r="E9" s="13">
        <v>0</v>
      </c>
      <c r="F9" s="210">
        <f>E9*(INDEX('Ex ante LI &amp; Eligibility Stats'!$A:$M,MATCH('Program MW '!$A9,'Ex ante LI &amp; Eligibility Stats'!$A:$A,0),MATCH('Program MW '!F$6,'Ex ante LI &amp; Eligibility Stats'!$A$8:$M$8,0))/1000)</f>
        <v>0</v>
      </c>
      <c r="G9" s="210">
        <f>E9*(INDEX('Ex post LI &amp; Eligibility Stats'!$A:$N,MATCH($A9,'Ex post LI &amp; Eligibility Stats'!$A:$A,0),MATCH('Program MW '!F$6,'Ex post LI &amp; Eligibility Stats'!$A$8:$N$8,0))/1000)</f>
        <v>0</v>
      </c>
      <c r="H9" s="13">
        <v>0</v>
      </c>
      <c r="I9" s="210">
        <f>H9*(INDEX('Ex ante LI &amp; Eligibility Stats'!$A:$M,MATCH('Program MW '!$A9,'Ex ante LI &amp; Eligibility Stats'!$A:$A,0),MATCH('Program MW '!I$6,'Ex ante LI &amp; Eligibility Stats'!$A$8:$M$8,0))/1000)</f>
        <v>0</v>
      </c>
      <c r="J9" s="210">
        <f>H9*(INDEX('Ex post LI &amp; Eligibility Stats'!$A:$N,MATCH($A9,'Ex post LI &amp; Eligibility Stats'!$A:$A,0),MATCH('Program MW '!I$6,'Ex post LI &amp; Eligibility Stats'!$A$8:$N$8,0))/1000)</f>
        <v>0</v>
      </c>
      <c r="K9" s="13"/>
      <c r="L9" s="210">
        <f>K9*(INDEX('Ex ante LI &amp; Eligibility Stats'!$A:$M,MATCH('Program MW '!$A9,'Ex ante LI &amp; Eligibility Stats'!$A:$A,0),MATCH('Program MW '!L$6,'Ex ante LI &amp; Eligibility Stats'!$A$8:$M$8,0))/1000)</f>
        <v>0</v>
      </c>
      <c r="M9" s="210">
        <f>K9*(INDEX('Ex post LI &amp; Eligibility Stats'!$A:$N,MATCH($A9,'Ex post LI &amp; Eligibility Stats'!$A:$A,0),MATCH('Program MW '!L$6,'Ex post LI &amp; Eligibility Stats'!$A$8:$N$8,0))/1000)</f>
        <v>0</v>
      </c>
      <c r="N9" s="13"/>
      <c r="O9" s="210">
        <f>N9*(INDEX('Ex ante LI &amp; Eligibility Stats'!$A:$M,MATCH('Program MW '!$A9,'Ex ante LI &amp; Eligibility Stats'!$A:$A,0),MATCH('Program MW '!O$6,'Ex ante LI &amp; Eligibility Stats'!$A$8:$M$8,0))/1000)</f>
        <v>0</v>
      </c>
      <c r="P9" s="210">
        <f>N9*(INDEX('Ex post LI &amp; Eligibility Stats'!$A:$N,MATCH($A9,'Ex post LI &amp; Eligibility Stats'!$A:$A,0),MATCH('Program MW '!O$6,'Ex post LI &amp; Eligibility Stats'!$A$8:$N$8,0))/1000)</f>
        <v>0</v>
      </c>
      <c r="Q9" s="63"/>
      <c r="R9" s="210">
        <f>Q9*(INDEX('Ex ante LI &amp; Eligibility Stats'!$A:$M,MATCH('Program MW '!$A9,'Ex ante LI &amp; Eligibility Stats'!$A:$A,0),MATCH('Program MW '!R$6,'Ex ante LI &amp; Eligibility Stats'!$A$8:$M$8,0))/1000)</f>
        <v>0</v>
      </c>
      <c r="S9" s="210">
        <f>Q9*(INDEX('Ex post LI &amp; Eligibility Stats'!$A:$N,MATCH($A9,'Ex post LI &amp; Eligibility Stats'!$A:$A,0),MATCH('Program MW '!R$6,'Ex post LI &amp; Eligibility Stats'!$A$8:$N$8,0))/1000)</f>
        <v>0</v>
      </c>
      <c r="T9" s="4">
        <v>5276</v>
      </c>
    </row>
    <row r="10" spans="1:31" ht="13.5" thickBot="1">
      <c r="A10" s="99" t="s">
        <v>52</v>
      </c>
      <c r="B10" s="85">
        <f t="shared" ref="B10:Q10" si="0">SUM(B9:B9)</f>
        <v>0</v>
      </c>
      <c r="C10" s="94">
        <f t="shared" si="0"/>
        <v>0</v>
      </c>
      <c r="D10" s="94">
        <f t="shared" si="0"/>
        <v>0</v>
      </c>
      <c r="E10" s="1">
        <f t="shared" si="0"/>
        <v>0</v>
      </c>
      <c r="F10" s="131">
        <f t="shared" si="0"/>
        <v>0</v>
      </c>
      <c r="G10" s="131">
        <f t="shared" si="0"/>
        <v>0</v>
      </c>
      <c r="H10" s="1">
        <f t="shared" si="0"/>
        <v>0</v>
      </c>
      <c r="I10" s="131">
        <f t="shared" si="0"/>
        <v>0</v>
      </c>
      <c r="J10" s="131">
        <f t="shared" si="0"/>
        <v>0</v>
      </c>
      <c r="K10" s="1">
        <f>SUM(K9)</f>
        <v>0</v>
      </c>
      <c r="L10" s="131">
        <f t="shared" ref="L10:M10" si="1">SUM(L9:L9)</f>
        <v>0</v>
      </c>
      <c r="M10" s="131">
        <f t="shared" si="1"/>
        <v>0</v>
      </c>
      <c r="N10" s="1">
        <f t="shared" si="0"/>
        <v>0</v>
      </c>
      <c r="O10" s="131">
        <f t="shared" si="0"/>
        <v>0</v>
      </c>
      <c r="P10" s="131">
        <f t="shared" si="0"/>
        <v>0</v>
      </c>
      <c r="Q10" s="64">
        <f t="shared" si="0"/>
        <v>0</v>
      </c>
      <c r="R10" s="131">
        <f t="shared" ref="R10:S10" si="2">SUM(R9:R9)</f>
        <v>0</v>
      </c>
      <c r="S10" s="131">
        <f t="shared" si="2"/>
        <v>0</v>
      </c>
      <c r="T10" s="5"/>
    </row>
    <row r="11" spans="1:31" ht="13.5" thickTop="1">
      <c r="A11" s="402" t="s">
        <v>53</v>
      </c>
      <c r="B11" s="408"/>
      <c r="C11" s="93"/>
      <c r="D11" s="95"/>
      <c r="E11" s="409"/>
      <c r="F11" s="410"/>
      <c r="G11" s="100"/>
      <c r="H11" s="409"/>
      <c r="I11" s="411"/>
      <c r="J11" s="100"/>
      <c r="K11" s="409"/>
      <c r="L11" s="411"/>
      <c r="M11" s="100"/>
      <c r="N11" s="409"/>
      <c r="O11" s="412"/>
      <c r="P11" s="215"/>
      <c r="Q11" s="413"/>
      <c r="R11" s="411"/>
      <c r="S11" s="101"/>
      <c r="T11" s="407"/>
      <c r="Y11" s="6"/>
      <c r="Z11" s="6"/>
      <c r="AA11" s="6"/>
      <c r="AB11" s="6"/>
      <c r="AC11" s="6"/>
      <c r="AD11" s="6"/>
      <c r="AE11" s="6"/>
    </row>
    <row r="12" spans="1:31">
      <c r="A12" s="36" t="s">
        <v>11</v>
      </c>
      <c r="B12" s="414">
        <v>5372</v>
      </c>
      <c r="C12" s="210">
        <f>B12*(INDEX('Ex ante LI &amp; Eligibility Stats'!$A:$M,MATCH($A12,'Ex ante LI &amp; Eligibility Stats'!$A:$A,0),MATCH('Program MW '!C$6,'Ex ante LI &amp; Eligibility Stats'!$A$8:$M$8,0))/1000)</f>
        <v>0.75208000000000008</v>
      </c>
      <c r="D12" s="415">
        <f>B12*(INDEX('Ex post LI &amp; Eligibility Stats'!$A:$N,MATCH($A12,'Ex post LI &amp; Eligibility Stats'!$A:$A,0),MATCH('Program MW '!C$6,'Ex post LI &amp; Eligibility Stats'!$A$8:$N$8,0))/1000)</f>
        <v>2.5850449123358743</v>
      </c>
      <c r="E12" s="414">
        <v>5319</v>
      </c>
      <c r="F12" s="416">
        <f>E12*(INDEX('Ex ante LI &amp; Eligibility Stats'!$A:$M,MATCH($A12,'Ex ante LI &amp; Eligibility Stats'!$A:$A,0),MATCH('Program MW '!F$6,'Ex ante LI &amp; Eligibility Stats'!$A$8:$M$8,0))/1000)</f>
        <v>0.7446600000000001</v>
      </c>
      <c r="G12" s="415">
        <f>E12*(INDEX('Ex post LI &amp; Eligibility Stats'!$A:$N,MATCH($A12,'Ex post LI &amp; Eligibility Stats'!$A:$A,0),MATCH('Program MW '!F$6,'Ex post LI &amp; Eligibility Stats'!$A$8:$N$8,0))/1000)</f>
        <v>2.5595409323742584</v>
      </c>
      <c r="H12" s="414">
        <v>5172</v>
      </c>
      <c r="I12" s="210">
        <f>H12*(INDEX('Ex ante LI &amp; Eligibility Stats'!$A:$M,MATCH('Program MW '!$A12,'Ex ante LI &amp; Eligibility Stats'!$A:$A,0),MATCH('Program MW '!I$6,'Ex ante LI &amp; Eligibility Stats'!$A$8:$M$8,0))/1000)</f>
        <v>0</v>
      </c>
      <c r="J12" s="415">
        <f>H12*(INDEX('Ex post LI &amp; Eligibility Stats'!$A:$N,MATCH($A12,'Ex post LI &amp; Eligibility Stats'!$A:$A,0),MATCH('Program MW '!I$6,'Ex post LI &amp; Eligibility Stats'!$A$8:$N$8,0))/1000)</f>
        <v>2.4888034785184554</v>
      </c>
      <c r="K12" s="414">
        <v>5323</v>
      </c>
      <c r="L12" s="210">
        <f>K12*(INDEX('Ex ante LI &amp; Eligibility Stats'!$A:$M,MATCH('Program MW '!$A12,'Ex ante LI &amp; Eligibility Stats'!$A:$A,0),MATCH('Program MW '!L$6,'Ex ante LI &amp; Eligibility Stats'!$A$8:$M$8,0))/1000)</f>
        <v>2.0755195977881966</v>
      </c>
      <c r="M12" s="415">
        <f>K12*(INDEX('Ex post LI &amp; Eligibility Stats'!$A:$N,MATCH($A12,'Ex post LI &amp; Eligibility Stats'!$A:$A,0),MATCH('Program MW '!L$6,'Ex post LI &amp; Eligibility Stats'!$A$8:$N$8,0))/1000)</f>
        <v>0.16921312271075153</v>
      </c>
      <c r="N12" s="414">
        <v>5256</v>
      </c>
      <c r="O12" s="210">
        <f>N12*(INDEX('Ex ante LI &amp; Eligibility Stats'!$A:$M,MATCH('Program MW '!$A12,'Ex ante LI &amp; Eligibility Stats'!$A:$A,0),MATCH('Program MW '!O$6,'Ex ante LI &amp; Eligibility Stats'!$A$8:$M$8,0))/1000)</f>
        <v>2.1975888066818539</v>
      </c>
      <c r="P12" s="415">
        <f>N12*(INDEX('Ex post LI &amp; Eligibility Stats'!$A:$N,MATCH($A12,'Ex post LI &amp; Eligibility Stats'!$A:$A,0),MATCH('Program MW '!O$6,'Ex post LI &amp; Eligibility Stats'!$A$8:$N$8,0))/1000)</f>
        <v>0.16708325624041143</v>
      </c>
      <c r="Q12" s="414">
        <v>5267</v>
      </c>
      <c r="R12" s="210">
        <f>Q12*(INDEX('Ex ante LI &amp; Eligibility Stats'!$A:$M,MATCH('Program MW '!$A12,'Ex ante LI &amp; Eligibility Stats'!$A:$A,0),MATCH('Program MW '!R$6,'Ex ante LI &amp; Eligibility Stats'!$A$8:$M$8,0))/1000)</f>
        <v>2.2395922830296446</v>
      </c>
      <c r="S12" s="415">
        <f>Q12*(INDEX('Ex post LI &amp; Eligibility Stats'!$A:$N,MATCH($A12,'Ex post LI &amp; Eligibility Stats'!$A:$A,0),MATCH('Program MW '!R$6,'Ex post LI &amp; Eligibility Stats'!$A$8:$N$8,0))/1000)</f>
        <v>0.16743293581016877</v>
      </c>
      <c r="T12" s="417">
        <v>138123</v>
      </c>
      <c r="U12" s="6"/>
      <c r="V12" s="6"/>
      <c r="W12" s="6"/>
      <c r="X12" s="6"/>
      <c r="Y12" s="6"/>
      <c r="Z12" s="6"/>
      <c r="AA12" s="6"/>
      <c r="AB12" s="6"/>
      <c r="AC12" s="6"/>
      <c r="AD12" s="6"/>
      <c r="AE12" s="6"/>
    </row>
    <row r="13" spans="1:31" ht="13.5">
      <c r="A13" s="114" t="s">
        <v>54</v>
      </c>
      <c r="B13" s="115">
        <v>0</v>
      </c>
      <c r="C13" s="210">
        <v>0</v>
      </c>
      <c r="D13" s="211">
        <v>0</v>
      </c>
      <c r="E13" s="115">
        <v>0</v>
      </c>
      <c r="F13" s="210">
        <v>0</v>
      </c>
      <c r="G13" s="211">
        <v>0</v>
      </c>
      <c r="H13" s="115">
        <v>0</v>
      </c>
      <c r="I13" s="210">
        <v>0</v>
      </c>
      <c r="J13" s="211">
        <v>0</v>
      </c>
      <c r="K13" s="115">
        <v>0</v>
      </c>
      <c r="L13" s="210">
        <v>0</v>
      </c>
      <c r="M13" s="211">
        <v>0</v>
      </c>
      <c r="N13" s="115">
        <v>0</v>
      </c>
      <c r="O13" s="210">
        <v>0</v>
      </c>
      <c r="P13" s="211">
        <v>0</v>
      </c>
      <c r="Q13" s="115">
        <v>0</v>
      </c>
      <c r="R13" s="210">
        <v>0</v>
      </c>
      <c r="S13" s="211">
        <v>0</v>
      </c>
      <c r="T13" s="4"/>
      <c r="U13" s="6"/>
      <c r="V13" s="6"/>
      <c r="W13" s="6"/>
      <c r="X13" s="6"/>
      <c r="Y13" s="6"/>
      <c r="Z13" s="6"/>
      <c r="AA13" s="6"/>
      <c r="AB13" s="6"/>
      <c r="AC13" s="6"/>
      <c r="AD13" s="6"/>
      <c r="AE13" s="6"/>
    </row>
    <row r="14" spans="1:31">
      <c r="A14" s="171" t="s">
        <v>17</v>
      </c>
      <c r="B14" s="89">
        <v>15879</v>
      </c>
      <c r="C14" s="210">
        <f>B14*(INDEX('Ex ante LI &amp; Eligibility Stats'!$A:$M,MATCH($A14,'Ex ante LI &amp; Eligibility Stats'!$A:$A,0),MATCH('Program MW '!C$6,'Ex ante LI &amp; Eligibility Stats'!$A$8:$M$8,0))/1000)</f>
        <v>1.7863801617295393E-4</v>
      </c>
      <c r="D14" s="211">
        <f>B14*(INDEX('Ex post LI &amp; Eligibility Stats'!$A:$N,MATCH($A14,'Ex post LI &amp; Eligibility Stats'!$A:$A,0),MATCH('Program MW '!C$6,'Ex post LI &amp; Eligibility Stats'!$A$8:$N$8,0))/1000)</f>
        <v>4.7682275910079479</v>
      </c>
      <c r="E14" s="89">
        <v>16220</v>
      </c>
      <c r="F14" s="210">
        <f>E14*(INDEX('Ex ante LI &amp; Eligibility Stats'!$A:$M,MATCH($A14,'Ex ante LI &amp; Eligibility Stats'!$A:$A,0),MATCH('Program MW '!F$6,'Ex ante LI &amp; Eligibility Stats'!$A$8:$M$8,0))/1000)</f>
        <v>4.2258834246240442E-5</v>
      </c>
      <c r="G14" s="211">
        <f>E14*(INDEX('Ex post LI &amp; Eligibility Stats'!$A:$N,MATCH($A14,'Ex post LI &amp; Eligibility Stats'!$A:$A,0),MATCH('Program MW '!F$6,'Ex post LI &amp; Eligibility Stats'!$A$8:$N$8,0))/1000)</f>
        <v>4.8706248205900193</v>
      </c>
      <c r="H14" s="89">
        <v>16662</v>
      </c>
      <c r="I14" s="210">
        <f>H14*(INDEX('Ex ante LI &amp; Eligibility Stats'!$A:$M,MATCH('Program MW '!$A14,'Ex ante LI &amp; Eligibility Stats'!$A:$A,0),MATCH('Program MW '!I$6,'Ex ante LI &amp; Eligibility Stats'!$A$8:$M$8,0))/1000)</f>
        <v>0</v>
      </c>
      <c r="J14" s="211">
        <f>H14*(INDEX('Ex post LI &amp; Eligibility Stats'!$A:$N,MATCH($A14,'Ex post LI &amp; Eligibility Stats'!$A:$A,0),MATCH('Program MW '!I$6,'Ex post LI &amp; Eligibility Stats'!$A$8:$N$8,0))/1000)</f>
        <v>5.0033508483767513</v>
      </c>
      <c r="K14" s="89">
        <v>16958</v>
      </c>
      <c r="L14" s="210">
        <f>K14*(INDEX('Ex ante LI &amp; Eligibility Stats'!$A:$M,MATCH('Program MW '!$A14,'Ex ante LI &amp; Eligibility Stats'!$A:$A,0),MATCH('Program MW '!L$6,'Ex ante LI &amp; Eligibility Stats'!$A$8:$M$8,0))/1000)</f>
        <v>0.71205822024494414</v>
      </c>
      <c r="M14" s="211">
        <f>K14*(INDEX('Ex post LI &amp; Eligibility Stats'!$A:$N,MATCH($A14,'Ex post LI &amp; Eligibility Stats'!$A:$A,0),MATCH('Program MW '!L$6,'Ex post LI &amp; Eligibility Stats'!$A$8:$N$8,0))/1000)</f>
        <v>6.8814338406324387</v>
      </c>
      <c r="N14" s="89">
        <v>17137</v>
      </c>
      <c r="O14" s="210">
        <f>N14*(INDEX('Ex ante LI &amp; Eligibility Stats'!$A:$M,MATCH('Program MW '!$A14,'Ex ante LI &amp; Eligibility Stats'!$A:$A,0),MATCH('Program MW '!O$6,'Ex ante LI &amp; Eligibility Stats'!$A$8:$M$8,0))/1000)</f>
        <v>1.3195377569571136</v>
      </c>
      <c r="P14" s="211">
        <f>N14*(INDEX('Ex post LI &amp; Eligibility Stats'!$A:$N,MATCH($A14,'Ex post LI &amp; Eligibility Stats'!$A:$A,0),MATCH('Program MW '!O$6,'Ex post LI &amp; Eligibility Stats'!$A$8:$N$8,0))/1000)</f>
        <v>6.9540707469582559</v>
      </c>
      <c r="Q14" s="89">
        <v>17219</v>
      </c>
      <c r="R14" s="210">
        <f>Q14*(INDEX('Ex ante LI &amp; Eligibility Stats'!$A:$M,MATCH('Program MW '!$A14,'Ex ante LI &amp; Eligibility Stats'!$A:$A,0),MATCH('Program MW '!R$6,'Ex ante LI &amp; Eligibility Stats'!$A$8:$M$8,0))/1000)</f>
        <v>0.88752894243225455</v>
      </c>
      <c r="S14" s="211">
        <f>Q14*(INDEX('Ex post LI &amp; Eligibility Stats'!$A:$N,MATCH($A14,'Ex post LI &amp; Eligibility Stats'!$A:$A,0),MATCH('Program MW '!R$6,'Ex post LI &amp; Eligibility Stats'!$A$8:$N$8,0))/1000)</f>
        <v>6.9873457543253901</v>
      </c>
      <c r="T14" s="4">
        <v>663393.5</v>
      </c>
      <c r="U14" s="6"/>
      <c r="V14" s="6"/>
      <c r="W14" s="6"/>
      <c r="X14" s="6"/>
      <c r="Y14" s="6"/>
      <c r="Z14" s="6"/>
      <c r="AA14" s="6"/>
      <c r="AB14" s="6"/>
      <c r="AC14" s="6"/>
      <c r="AD14" s="6"/>
      <c r="AE14" s="6"/>
    </row>
    <row r="15" spans="1:31">
      <c r="A15" s="87" t="s">
        <v>20</v>
      </c>
      <c r="B15" s="89">
        <v>296</v>
      </c>
      <c r="C15" s="210">
        <f>B15*(INDEX('Ex ante LI &amp; Eligibility Stats'!$A:$M,MATCH($A15,'Ex ante LI &amp; Eligibility Stats'!$A:$A,0),MATCH('Program MW '!C$6,'Ex ante LI &amp; Eligibility Stats'!$A$8:$M$8,0))/1000)</f>
        <v>1.0762042365968228E-4</v>
      </c>
      <c r="D15" s="211">
        <f>B15*(INDEX('Ex post LI &amp; Eligibility Stats'!$A:$N,MATCH($A15,'Ex post LI &amp; Eligibility Stats'!$A:$A,0),MATCH('Program MW '!C$6,'Ex post LI &amp; Eligibility Stats'!$A$8:$N$8,0))/1000)</f>
        <v>0.13729801845550538</v>
      </c>
      <c r="E15" s="89">
        <v>295</v>
      </c>
      <c r="F15" s="210">
        <f>E15*(INDEX('Ex ante LI &amp; Eligibility Stats'!$A:$M,MATCH($A15,'Ex ante LI &amp; Eligibility Stats'!$A:$A,0),MATCH('Program MW '!F$6,'Ex ante LI &amp; Eligibility Stats'!$A$8:$M$8,0))/1000)</f>
        <v>2.4839281431923156E-5</v>
      </c>
      <c r="G15" s="211">
        <f>E15*(INDEX('Ex post LI &amp; Eligibility Stats'!$A:$N,MATCH($A15,'Ex post LI &amp; Eligibility Stats'!$A:$A,0),MATCH('Program MW '!F$6,'Ex post LI &amp; Eligibility Stats'!$A$8:$N$8,0))/1000)</f>
        <v>0.13683417379856108</v>
      </c>
      <c r="H15" s="89">
        <v>295</v>
      </c>
      <c r="I15" s="210">
        <f>H15*(INDEX('Ex ante LI &amp; Eligibility Stats'!$A:$M,MATCH('Program MW '!$A15,'Ex ante LI &amp; Eligibility Stats'!$A:$A,0),MATCH('Program MW '!I$6,'Ex ante LI &amp; Eligibility Stats'!$A$8:$M$8,0))/1000)</f>
        <v>0</v>
      </c>
      <c r="J15" s="211">
        <f>H15*(INDEX('Ex post LI &amp; Eligibility Stats'!$A:$N,MATCH($A15,'Ex post LI &amp; Eligibility Stats'!$A:$A,0),MATCH('Program MW '!I$6,'Ex post LI &amp; Eligibility Stats'!$A$8:$N$8,0))/1000)</f>
        <v>0.13683417379856108</v>
      </c>
      <c r="K15" s="89">
        <v>293</v>
      </c>
      <c r="L15" s="210">
        <f>K15*(INDEX('Ex ante LI &amp; Eligibility Stats'!$A:$M,MATCH('Program MW '!$A15,'Ex ante LI &amp; Eligibility Stats'!$A:$A,0),MATCH('Program MW '!L$6,'Ex ante LI &amp; Eligibility Stats'!$A$8:$M$8,0))/1000)</f>
        <v>8.8960863947868341E-2</v>
      </c>
      <c r="M15" s="211">
        <f>K15*(INDEX('Ex post LI &amp; Eligibility Stats'!$A:$N,MATCH($A15,'Ex post LI &amp; Eligibility Stats'!$A:$A,0),MATCH('Program MW '!L$6,'Ex post LI &amp; Eligibility Stats'!$A$8:$N$8,0))/1000)</f>
        <v>0.27325568330287936</v>
      </c>
      <c r="N15" s="89">
        <v>291</v>
      </c>
      <c r="O15" s="210">
        <f>N15*(INDEX('Ex ante LI &amp; Eligibility Stats'!$A:$M,MATCH('Program MW '!$A15,'Ex ante LI &amp; Eligibility Stats'!$A:$A,0),MATCH('Program MW '!O$6,'Ex ante LI &amp; Eligibility Stats'!$A$8:$M$8,0))/1000)</f>
        <v>0.12720945364236833</v>
      </c>
      <c r="P15" s="211">
        <f>N15*(INDEX('Ex post LI &amp; Eligibility Stats'!$A:$N,MATCH($A15,'Ex post LI &amp; Eligibility Stats'!$A:$A,0),MATCH('Program MW '!O$6,'Ex post LI &amp; Eligibility Stats'!$A$8:$N$8,0))/1000)</f>
        <v>0.27139045679569246</v>
      </c>
      <c r="Q15" s="89">
        <v>272</v>
      </c>
      <c r="R15" s="210">
        <f>Q15*(INDEX('Ex ante LI &amp; Eligibility Stats'!$A:$M,MATCH('Program MW '!$A15,'Ex ante LI &amp; Eligibility Stats'!$A:$A,0),MATCH('Program MW '!R$6,'Ex ante LI &amp; Eligibility Stats'!$A$8:$M$8,0))/1000)</f>
        <v>8.4633955001831046E-2</v>
      </c>
      <c r="S15" s="211">
        <f>Q15*(INDEX('Ex post LI &amp; Eligibility Stats'!$A:$N,MATCH($A15,'Ex post LI &amp; Eligibility Stats'!$A:$A,0),MATCH('Program MW '!R$6,'Ex post LI &amp; Eligibility Stats'!$A$8:$N$8,0))/1000)</f>
        <v>0.25367080497741701</v>
      </c>
      <c r="T15" s="4"/>
      <c r="U15" s="6"/>
      <c r="V15" s="6"/>
      <c r="W15" s="6"/>
      <c r="X15" s="6"/>
      <c r="Y15" s="6"/>
      <c r="Z15" s="6"/>
      <c r="AA15" s="6"/>
      <c r="AB15" s="6"/>
      <c r="AC15" s="6"/>
      <c r="AD15" s="6"/>
      <c r="AE15" s="6"/>
    </row>
    <row r="16" spans="1:31">
      <c r="A16" s="171" t="s">
        <v>21</v>
      </c>
      <c r="B16" s="63">
        <v>8805</v>
      </c>
      <c r="C16" s="210">
        <f>B16*(INDEX('Ex ante LI &amp; Eligibility Stats'!$A:$M,MATCH($A16,'Ex ante LI &amp; Eligibility Stats'!$A:$A,0),MATCH('Program MW '!C$6,'Ex ante LI &amp; Eligibility Stats'!$A$8:$M$8,0))/1000)</f>
        <v>0</v>
      </c>
      <c r="D16" s="211">
        <f>B16*(INDEX('Ex post LI &amp; Eligibility Stats'!$A:$N,MATCH($A16,'Ex post LI &amp; Eligibility Stats'!$A:$A,0),MATCH('Program MW '!C$6,'Ex post LI &amp; Eligibility Stats'!$A$8:$N$8,0))/1000)</f>
        <v>1.1810930145000003</v>
      </c>
      <c r="E16" s="63">
        <v>8757</v>
      </c>
      <c r="F16" s="210">
        <f>E16*(INDEX('Ex ante LI &amp; Eligibility Stats'!$A:$M,MATCH($A16,'Ex ante LI &amp; Eligibility Stats'!$A:$A,0),MATCH('Program MW '!F$6,'Ex ante LI &amp; Eligibility Stats'!$A$8:$M$8,0))/1000)</f>
        <v>0</v>
      </c>
      <c r="G16" s="211">
        <f>E16*(INDEX('Ex post LI &amp; Eligibility Stats'!$A:$N,MATCH($A16,'Ex post LI &amp; Eligibility Stats'!$A:$A,0),MATCH('Program MW '!F$6,'Ex post LI &amp; Eligibility Stats'!$A$8:$N$8,0))/1000)</f>
        <v>1.1746543473000002</v>
      </c>
      <c r="H16" s="63">
        <v>8660</v>
      </c>
      <c r="I16" s="210">
        <f>H16*(INDEX('Ex ante LI &amp; Eligibility Stats'!$A:$M,MATCH('Program MW '!$A16,'Ex ante LI &amp; Eligibility Stats'!$A:$A,0),MATCH('Program MW '!I$6,'Ex ante LI &amp; Eligibility Stats'!$A$8:$M$8,0))/1000)</f>
        <v>0</v>
      </c>
      <c r="J16" s="211">
        <f>H16*(INDEX('Ex post LI &amp; Eligibility Stats'!$A:$N,MATCH($A16,'Ex post LI &amp; Eligibility Stats'!$A:$A,0),MATCH('Program MW '!I$6,'Ex post LI &amp; Eligibility Stats'!$A$8:$N$8,0))/1000)</f>
        <v>1.1616428740000002</v>
      </c>
      <c r="K16" s="353">
        <v>8613</v>
      </c>
      <c r="L16" s="210">
        <f>K16*(INDEX('Ex ante LI &amp; Eligibility Stats'!$A:$M,MATCH('Program MW '!$A16,'Ex ante LI &amp; Eligibility Stats'!$A:$A,0),MATCH('Program MW '!L$6,'Ex ante LI &amp; Eligibility Stats'!$A$8:$M$8,0))/1000)</f>
        <v>0</v>
      </c>
      <c r="M16" s="211">
        <f>K16*(INDEX('Ex post LI &amp; Eligibility Stats'!$A:$N,MATCH($A16,'Ex post LI &amp; Eligibility Stats'!$A:$A,0),MATCH('Program MW '!L$6,'Ex post LI &amp; Eligibility Stats'!$A$8:$N$8,0))/1000)</f>
        <v>0.48108772799999999</v>
      </c>
      <c r="N16" s="63">
        <v>8491</v>
      </c>
      <c r="O16" s="210">
        <f>N16*(INDEX('Ex ante LI &amp; Eligibility Stats'!$A:$M,MATCH('Program MW '!$A16,'Ex ante LI &amp; Eligibility Stats'!$A:$A,0),MATCH('Program MW '!O$6,'Ex ante LI &amp; Eligibility Stats'!$A$8:$M$8,0))/1000)</f>
        <v>0.2001473047</v>
      </c>
      <c r="P16" s="211">
        <f>N16*(INDEX('Ex post LI &amp; Eligibility Stats'!$A:$N,MATCH($A16,'Ex post LI &amp; Eligibility Stats'!$A:$A,0),MATCH('Program MW '!O$6,'Ex post LI &amp; Eligibility Stats'!$A$8:$N$8,0))/1000)</f>
        <v>0.47427329600000001</v>
      </c>
      <c r="Q16" s="63">
        <v>8414</v>
      </c>
      <c r="R16" s="210">
        <f>Q16*(INDEX('Ex ante LI &amp; Eligibility Stats'!$A:$M,MATCH('Program MW '!$A16,'Ex ante LI &amp; Eligibility Stats'!$A:$A,0),MATCH('Program MW '!R$6,'Ex ante LI &amp; Eligibility Stats'!$A$8:$M$8,0))/1000)</f>
        <v>0</v>
      </c>
      <c r="S16" s="211">
        <f>Q16*(INDEX('Ex post LI &amp; Eligibility Stats'!$A:$N,MATCH($A16,'Ex post LI &amp; Eligibility Stats'!$A:$A,0),MATCH('Program MW '!R$6,'Ex post LI &amp; Eligibility Stats'!$A$8:$N$8,0))/1000)</f>
        <v>0.46997238400000002</v>
      </c>
      <c r="T16" s="4">
        <v>157189</v>
      </c>
      <c r="U16" s="6"/>
      <c r="V16" s="6"/>
      <c r="W16" s="6"/>
      <c r="X16" s="6"/>
      <c r="Y16" s="6"/>
      <c r="Z16" s="6"/>
      <c r="AA16" s="6"/>
      <c r="AB16" s="6"/>
      <c r="AC16" s="6"/>
      <c r="AD16" s="6"/>
      <c r="AE16" s="6"/>
    </row>
    <row r="17" spans="1:31">
      <c r="A17" s="171" t="s">
        <v>23</v>
      </c>
      <c r="B17" s="63">
        <v>2552</v>
      </c>
      <c r="C17" s="210">
        <f>B17*(INDEX('Ex ante LI &amp; Eligibility Stats'!$A:$M,MATCH($A17,'Ex ante LI &amp; Eligibility Stats'!$A:$A,0),MATCH('Program MW '!C$6,'Ex ante LI &amp; Eligibility Stats'!$A$8:$M$8,0))/1000)</f>
        <v>0</v>
      </c>
      <c r="D17" s="211">
        <f>B17*(INDEX('Ex post LI &amp; Eligibility Stats'!$A:$N,MATCH($A17,'Ex post LI &amp; Eligibility Stats'!$A:$A,0),MATCH('Program MW '!C$6,'Ex post LI &amp; Eligibility Stats'!$A$8:$N$8,0))/1000)</f>
        <v>0.12592665359999999</v>
      </c>
      <c r="E17" s="63">
        <v>2542</v>
      </c>
      <c r="F17" s="210">
        <f>E17*(INDEX('Ex ante LI &amp; Eligibility Stats'!$A:$M,MATCH($A17,'Ex ante LI &amp; Eligibility Stats'!$A:$A,0),MATCH('Program MW '!F$6,'Ex ante LI &amp; Eligibility Stats'!$A$8:$M$8,0))/1000)</f>
        <v>0</v>
      </c>
      <c r="G17" s="211">
        <f>E17*(INDEX('Ex post LI &amp; Eligibility Stats'!$A:$N,MATCH($A17,'Ex post LI &amp; Eligibility Stats'!$A:$A,0),MATCH('Program MW '!F$6,'Ex post LI &amp; Eligibility Stats'!$A$8:$N$8,0))/1000)</f>
        <v>0.12543321060000001</v>
      </c>
      <c r="H17" s="63">
        <v>2508</v>
      </c>
      <c r="I17" s="210">
        <f>H17*(INDEX('Ex ante LI &amp; Eligibility Stats'!$A:$M,MATCH('Program MW '!$A17,'Ex ante LI &amp; Eligibility Stats'!$A:$A,0),MATCH('Program MW '!I$6,'Ex ante LI &amp; Eligibility Stats'!$A$8:$M$8,0))/1000)</f>
        <v>0</v>
      </c>
      <c r="J17" s="211">
        <f>H17*(INDEX('Ex post LI &amp; Eligibility Stats'!$A:$N,MATCH($A17,'Ex post LI &amp; Eligibility Stats'!$A:$A,0),MATCH('Program MW '!I$6,'Ex post LI &amp; Eligibility Stats'!$A$8:$N$8,0))/1000)</f>
        <v>0.12375550440000001</v>
      </c>
      <c r="K17" s="353">
        <v>2499</v>
      </c>
      <c r="L17" s="210">
        <f>K17*(INDEX('Ex ante LI &amp; Eligibility Stats'!$A:$M,MATCH('Program MW '!$A17,'Ex ante LI &amp; Eligibility Stats'!$A:$A,0),MATCH('Program MW '!L$6,'Ex ante LI &amp; Eligibility Stats'!$A$8:$M$8,0))/1000)</f>
        <v>0.13921704090000001</v>
      </c>
      <c r="M17" s="211">
        <f>K17*(INDEX('Ex post LI &amp; Eligibility Stats'!$A:$N,MATCH($A17,'Ex post LI &amp; Eligibility Stats'!$A:$A,0),MATCH('Program MW '!L$6,'Ex post LI &amp; Eligibility Stats'!$A$8:$N$8,0))/1000)</f>
        <v>0.23396962469999999</v>
      </c>
      <c r="N17" s="63">
        <v>2473</v>
      </c>
      <c r="O17" s="210">
        <f>N17*(INDEX('Ex ante LI &amp; Eligibility Stats'!$A:$M,MATCH('Program MW '!$A17,'Ex ante LI &amp; Eligibility Stats'!$A:$A,0),MATCH('Program MW '!O$6,'Ex ante LI &amp; Eligibility Stats'!$A$8:$M$8,0))/1000)</f>
        <v>0.19790751289999997</v>
      </c>
      <c r="P17" s="211">
        <f>N17*(INDEX('Ex post LI &amp; Eligibility Stats'!$A:$N,MATCH($A17,'Ex post LI &amp; Eligibility Stats'!$A:$A,0),MATCH('Program MW '!O$6,'Ex post LI &amp; Eligibility Stats'!$A$8:$N$8,0))/1000)</f>
        <v>0.23153536689999998</v>
      </c>
      <c r="Q17" s="63">
        <v>2443</v>
      </c>
      <c r="R17" s="210">
        <f>Q17*(INDEX('Ex ante LI &amp; Eligibility Stats'!$A:$M,MATCH('Program MW '!$A17,'Ex ante LI &amp; Eligibility Stats'!$A:$A,0),MATCH('Program MW '!R$6,'Ex ante LI &amp; Eligibility Stats'!$A$8:$M$8,0))/1000)</f>
        <v>0.1495638802</v>
      </c>
      <c r="S17" s="211">
        <f>Q17*(INDEX('Ex post LI &amp; Eligibility Stats'!$A:$N,MATCH($A17,'Ex post LI &amp; Eligibility Stats'!$A:$A,0),MATCH('Program MW '!R$6,'Ex post LI &amp; Eligibility Stats'!$A$8:$N$8,0))/1000)</f>
        <v>0.22872660789999999</v>
      </c>
      <c r="T17" s="4">
        <v>157189</v>
      </c>
      <c r="U17" s="6"/>
      <c r="V17" s="6"/>
      <c r="W17" s="6"/>
      <c r="X17" s="6"/>
      <c r="Y17" s="6"/>
      <c r="Z17" s="6"/>
      <c r="AA17" s="6"/>
      <c r="AB17" s="6"/>
      <c r="AC17" s="6"/>
      <c r="AD17" s="6"/>
      <c r="AE17" s="6"/>
    </row>
    <row r="18" spans="1:31">
      <c r="A18" s="87" t="s">
        <v>24</v>
      </c>
      <c r="B18" s="89"/>
      <c r="C18" s="210">
        <f>B18*(INDEX('Ex ante LI &amp; Eligibility Stats'!$A:$M,MATCH($A18,'Ex ante LI &amp; Eligibility Stats'!$A:$A,0),MATCH('Program MW '!C$6,'Ex ante LI &amp; Eligibility Stats'!$A$8:$M$8,0))/1000)</f>
        <v>0</v>
      </c>
      <c r="D18" s="211">
        <f>B18*(INDEX('Ex post LI &amp; Eligibility Stats'!$A:$N,MATCH($A18,'Ex post LI &amp; Eligibility Stats'!$A:$A,0),MATCH('Program MW '!C$6,'Ex post LI &amp; Eligibility Stats'!$A$8:$N$8,0))/1000)</f>
        <v>0</v>
      </c>
      <c r="E18" s="89"/>
      <c r="F18" s="210">
        <f>E18*(INDEX('Ex ante LI &amp; Eligibility Stats'!$A:$M,MATCH($A18,'Ex ante LI &amp; Eligibility Stats'!$A:$A,0),MATCH('Program MW '!F$6,'Ex ante LI &amp; Eligibility Stats'!$A$8:$M$8,0))/1000)</f>
        <v>0</v>
      </c>
      <c r="G18" s="211">
        <f>E18*(INDEX('Ex post LI &amp; Eligibility Stats'!$A:$N,MATCH($A18,'Ex post LI &amp; Eligibility Stats'!$A:$A,0),MATCH('Program MW '!F$6,'Ex post LI &amp; Eligibility Stats'!$A$8:$N$8,0))/1000)</f>
        <v>0</v>
      </c>
      <c r="H18" s="89"/>
      <c r="I18" s="210">
        <f>H18*(INDEX('Ex ante LI &amp; Eligibility Stats'!$A:$M,MATCH('Program MW '!$A18,'Ex ante LI &amp; Eligibility Stats'!$A:$A,0),MATCH('Program MW '!I$6,'Ex ante LI &amp; Eligibility Stats'!$A$8:$M$8,0))/1000)</f>
        <v>0</v>
      </c>
      <c r="J18" s="211">
        <f>H18*(INDEX('Ex post LI &amp; Eligibility Stats'!$A:$N,MATCH($A18,'Ex post LI &amp; Eligibility Stats'!$A:$A,0),MATCH('Program MW '!I$6,'Ex post LI &amp; Eligibility Stats'!$A$8:$N$8,0))/1000)</f>
        <v>0</v>
      </c>
      <c r="K18" s="623">
        <v>0</v>
      </c>
      <c r="L18" s="210">
        <f>K18*(INDEX('Ex ante LI &amp; Eligibility Stats'!$A:$M,MATCH('Program MW '!$A18,'Ex ante LI &amp; Eligibility Stats'!$A:$A,0),MATCH('Program MW '!L$6,'Ex ante LI &amp; Eligibility Stats'!$A$8:$M$8,0))/1000)</f>
        <v>0</v>
      </c>
      <c r="M18" s="211">
        <f>K18*(INDEX('Ex post LI &amp; Eligibility Stats'!$A:$N,MATCH($A18,'Ex post LI &amp; Eligibility Stats'!$A:$A,0),MATCH('Program MW '!L$6,'Ex post LI &amp; Eligibility Stats'!$A$8:$N$8,0))/1000)</f>
        <v>0</v>
      </c>
      <c r="N18" s="89"/>
      <c r="O18" s="210">
        <f>N18*(INDEX('Ex ante LI &amp; Eligibility Stats'!$A:$M,MATCH('Program MW '!$A18,'Ex ante LI &amp; Eligibility Stats'!$A:$A,0),MATCH('Program MW '!O$6,'Ex ante LI &amp; Eligibility Stats'!$A$8:$M$8,0))/1000)</f>
        <v>0</v>
      </c>
      <c r="P18" s="211">
        <f>N18*(INDEX('Ex post LI &amp; Eligibility Stats'!$A:$N,MATCH($A18,'Ex post LI &amp; Eligibility Stats'!$A:$A,0),MATCH('Program MW '!O$6,'Ex post LI &amp; Eligibility Stats'!$A$8:$N$8,0))/1000)</f>
        <v>0</v>
      </c>
      <c r="Q18" s="89"/>
      <c r="R18" s="210">
        <f>Q18*(INDEX('Ex ante LI &amp; Eligibility Stats'!$A:$M,MATCH('Program MW '!$A18,'Ex ante LI &amp; Eligibility Stats'!$A:$A,0),MATCH('Program MW '!R$6,'Ex ante LI &amp; Eligibility Stats'!$A$8:$M$8,0))/1000)</f>
        <v>0</v>
      </c>
      <c r="S18" s="211">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87" t="s">
        <v>25</v>
      </c>
      <c r="B19" s="89"/>
      <c r="C19" s="210">
        <f>B19*(INDEX('Ex ante LI &amp; Eligibility Stats'!$A:$M,MATCH($A19,'Ex ante LI &amp; Eligibility Stats'!$A:$A,0),MATCH('Program MW '!C$6,'Ex ante LI &amp; Eligibility Stats'!$A$8:$M$8,0))/1000)</f>
        <v>0</v>
      </c>
      <c r="D19" s="211">
        <f>B19*(INDEX('Ex post LI &amp; Eligibility Stats'!$A:$N,MATCH($A19,'Ex post LI &amp; Eligibility Stats'!$A:$A,0),MATCH('Program MW '!C$6,'Ex post LI &amp; Eligibility Stats'!$A$8:$N$8,0))/1000)</f>
        <v>0</v>
      </c>
      <c r="E19" s="89"/>
      <c r="F19" s="210">
        <f>E19*(INDEX('Ex ante LI &amp; Eligibility Stats'!$A:$M,MATCH($A19,'Ex ante LI &amp; Eligibility Stats'!$A:$A,0),MATCH('Program MW '!F$6,'Ex ante LI &amp; Eligibility Stats'!$A$8:$M$8,0))/1000)</f>
        <v>0</v>
      </c>
      <c r="G19" s="211">
        <f>E19*(INDEX('Ex post LI &amp; Eligibility Stats'!$A:$N,MATCH($A19,'Ex post LI &amp; Eligibility Stats'!$A:$A,0),MATCH('Program MW '!F$6,'Ex post LI &amp; Eligibility Stats'!$A$8:$N$8,0))/1000)</f>
        <v>0</v>
      </c>
      <c r="H19" s="89"/>
      <c r="I19" s="210">
        <f>H19*(INDEX('Ex ante LI &amp; Eligibility Stats'!$A:$M,MATCH('Program MW '!$A19,'Ex ante LI &amp; Eligibility Stats'!$A:$A,0),MATCH('Program MW '!I$6,'Ex ante LI &amp; Eligibility Stats'!$A$8:$M$8,0))/1000)</f>
        <v>0</v>
      </c>
      <c r="J19" s="211">
        <f>H19*(INDEX('Ex post LI &amp; Eligibility Stats'!$A:$N,MATCH($A19,'Ex post LI &amp; Eligibility Stats'!$A:$A,0),MATCH('Program MW '!I$6,'Ex post LI &amp; Eligibility Stats'!$A$8:$N$8,0))/1000)</f>
        <v>0</v>
      </c>
      <c r="K19" s="89">
        <v>0</v>
      </c>
      <c r="L19" s="210">
        <f>K19*(INDEX('Ex ante LI &amp; Eligibility Stats'!$A:$M,MATCH('Program MW '!$A19,'Ex ante LI &amp; Eligibility Stats'!$A:$A,0),MATCH('Program MW '!L$6,'Ex ante LI &amp; Eligibility Stats'!$A$8:$M$8,0))/1000)</f>
        <v>0</v>
      </c>
      <c r="M19" s="211">
        <f>K19*(INDEX('Ex post LI &amp; Eligibility Stats'!$A:$N,MATCH($A19,'Ex post LI &amp; Eligibility Stats'!$A:$A,0),MATCH('Program MW '!L$6,'Ex post LI &amp; Eligibility Stats'!$A$8:$N$8,0))/1000)</f>
        <v>0</v>
      </c>
      <c r="N19" s="89"/>
      <c r="O19" s="210">
        <f>N19*(INDEX('Ex ante LI &amp; Eligibility Stats'!$A:$M,MATCH('Program MW '!$A19,'Ex ante LI &amp; Eligibility Stats'!$A:$A,0),MATCH('Program MW '!O$6,'Ex ante LI &amp; Eligibility Stats'!$A$8:$M$8,0))/1000)</f>
        <v>0</v>
      </c>
      <c r="P19" s="211">
        <f>N19*(INDEX('Ex post LI &amp; Eligibility Stats'!$A:$N,MATCH($A19,'Ex post LI &amp; Eligibility Stats'!$A:$A,0),MATCH('Program MW '!O$6,'Ex post LI &amp; Eligibility Stats'!$A$8:$N$8,0))/1000)</f>
        <v>0</v>
      </c>
      <c r="Q19" s="89"/>
      <c r="R19" s="210">
        <f>Q19*(INDEX('Ex ante LI &amp; Eligibility Stats'!$A:$M,MATCH('Program MW '!$A19,'Ex ante LI &amp; Eligibility Stats'!$A:$A,0),MATCH('Program MW '!R$6,'Ex ante LI &amp; Eligibility Stats'!$A$8:$M$8,0))/1000)</f>
        <v>0</v>
      </c>
      <c r="S19" s="211">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83" customFormat="1">
      <c r="A20" s="171" t="s">
        <v>55</v>
      </c>
      <c r="B20" s="115">
        <v>110</v>
      </c>
      <c r="C20" s="210">
        <v>0</v>
      </c>
      <c r="D20" s="211">
        <v>0</v>
      </c>
      <c r="E20" s="115">
        <v>112</v>
      </c>
      <c r="F20" s="210">
        <f>E20*(INDEX('Ex ante LI &amp; Eligibility Stats'!$A:$M,MATCH($A20,'Ex ante LI &amp; Eligibility Stats'!$A:$A,0),MATCH('Program MW '!F$6,'Ex ante LI &amp; Eligibility Stats'!$A$8:$M$8,0))/1000)</f>
        <v>7.861483544111252E-4</v>
      </c>
      <c r="G20" s="211">
        <f>E20*(INDEX('Ex post LI &amp; Eligibility Stats'!$A:$N,MATCH($A20,'Ex post LI &amp; Eligibility Stats'!$A:$A,0),MATCH('Program MW '!F$6,'Ex post LI &amp; Eligibility Stats'!$A$8:$N$8,0))/1000)</f>
        <v>5.3145108222961424E-2</v>
      </c>
      <c r="H20" s="115">
        <v>110</v>
      </c>
      <c r="I20" s="354">
        <f>H20*(INDEX('Ex ante LI &amp; Eligibility Stats'!$A:$M,MATCH('Program MW '!$A20,'Ex ante LI &amp; Eligibility Stats'!$A:$A,0),MATCH('Program MW '!I$6,'Ex ante LI &amp; Eligibility Stats'!$A$8:$M$8,0))/1000)</f>
        <v>9.4112239778041838E-4</v>
      </c>
      <c r="J20" s="211">
        <f>H20*(INDEX('Ex post LI &amp; Eligibility Stats'!$A:$N,MATCH($A20,'Ex post LI &amp; Eligibility Stats'!$A:$A,0),MATCH('Program MW '!I$6,'Ex post LI &amp; Eligibility Stats'!$A$8:$N$8,0))/1000)</f>
        <v>5.2196088433265689E-2</v>
      </c>
      <c r="K20" s="353">
        <v>102</v>
      </c>
      <c r="L20" s="210">
        <f>K20*(INDEX('Ex ante LI &amp; Eligibility Stats'!$A:$M,MATCH('Program MW '!$A20,'Ex ante LI &amp; Eligibility Stats'!$A:$A,0),MATCH('Program MW '!L$6,'Ex ante LI &amp; Eligibility Stats'!$A$8:$M$8,0))/1000)</f>
        <v>1.374367555975914E-2</v>
      </c>
      <c r="M20" s="625">
        <f>K20*(INDEX('Ex post LI &amp; Eligibility Stats'!$A:$N,MATCH($A20,'Ex post LI &amp; Eligibility Stats'!$A:$A,0),MATCH('Program MW '!L$6,'Ex post LI &amp; Eligibility Stats'!$A$8:$N$8,0))/1000)</f>
        <v>1.7298986703157423E-2</v>
      </c>
      <c r="N20" s="115">
        <v>108</v>
      </c>
      <c r="O20" s="210">
        <f>N20*(INDEX('Ex ante LI &amp; Eligibility Stats'!$A:$M,MATCH('Program MW '!$A20,'Ex ante LI &amp; Eligibility Stats'!$A:$A,0),MATCH('Program MW '!O$6,'Ex ante LI &amp; Eligibility Stats'!$A$8:$M$8,0))/1000)</f>
        <v>1.9586660206317903E-2</v>
      </c>
      <c r="P20" s="211">
        <f>N20*(INDEX('Ex post LI &amp; Eligibility Stats'!$A:$N,MATCH($A20,'Ex post LI &amp; Eligibility Stats'!$A:$A,0),MATCH('Program MW '!O$6,'Ex post LI &amp; Eligibility Stats'!$A$8:$N$8,0))/1000)</f>
        <v>1.8316574156284331E-2</v>
      </c>
      <c r="Q20" s="115">
        <v>108</v>
      </c>
      <c r="R20" s="210">
        <f>Q20*(INDEX('Ex ante LI &amp; Eligibility Stats'!$A:$M,MATCH('Program MW '!$A20,'Ex ante LI &amp; Eligibility Stats'!$A:$A,0),MATCH('Program MW '!R$6,'Ex ante LI &amp; Eligibility Stats'!$A$8:$M$8,0))/1000)</f>
        <v>1.8896005332469941E-2</v>
      </c>
      <c r="S20" s="211">
        <f>Q20*(INDEX('Ex post LI &amp; Eligibility Stats'!$A:$N,MATCH($A20,'Ex post LI &amp; Eligibility Stats'!$A:$A,0),MATCH('Program MW '!R$6,'Ex post LI &amp; Eligibility Stats'!$A$8:$N$8,0))/1000)</f>
        <v>1.8316574156284331E-2</v>
      </c>
      <c r="T20" s="262"/>
      <c r="U20" s="263"/>
      <c r="V20" s="263"/>
      <c r="W20" s="263"/>
      <c r="X20" s="263"/>
      <c r="Y20" s="263"/>
      <c r="Z20" s="263"/>
      <c r="AA20" s="263"/>
      <c r="AB20" s="263"/>
      <c r="AC20" s="263"/>
      <c r="AD20" s="263"/>
      <c r="AE20" s="263"/>
    </row>
    <row r="21" spans="1:31">
      <c r="A21" s="87" t="s">
        <v>26</v>
      </c>
      <c r="B21" s="89">
        <v>50976</v>
      </c>
      <c r="C21" s="210">
        <f>B21*(INDEX('Ex ante LI &amp; Eligibility Stats'!$A:$M,MATCH($A21,'Ex ante LI &amp; Eligibility Stats'!$A:$A,0),MATCH('Program MW '!C$6,'Ex ante LI &amp; Eligibility Stats'!$A$8:$M$8,0))/1000)</f>
        <v>0.50975999999999999</v>
      </c>
      <c r="D21" s="211">
        <f>B21*(INDEX('Ex post LI &amp; Eligibility Stats'!$A:$N,MATCH($A21,'Ex post LI &amp; Eligibility Stats'!$A:$A,0),MATCH('Program MW '!C$6,'Ex post LI &amp; Eligibility Stats'!$A$8:$N$8,0))/1000)</f>
        <v>2.5469749924489515</v>
      </c>
      <c r="E21" s="89">
        <v>50086</v>
      </c>
      <c r="F21" s="325">
        <f>E21*(INDEX('Ex ante LI &amp; Eligibility Stats'!$A:$M,MATCH($A21,'Ex ante LI &amp; Eligibility Stats'!$A:$A,0),MATCH('Program MW '!F$6,'Ex ante LI &amp; Eligibility Stats'!$A$8:$M$8,0))/1000)</f>
        <v>0.50086000000000008</v>
      </c>
      <c r="G21" s="211">
        <f>E21*(INDEX('Ex post LI &amp; Eligibility Stats'!$A:$N,MATCH($A21,'Ex post LI &amp; Eligibility Stats'!$A:$A,0),MATCH('Program MW '!F$6,'Ex post LI &amp; Eligibility Stats'!$A$8:$N$8,0))/1000)</f>
        <v>2.5025068556143713</v>
      </c>
      <c r="H21" s="89">
        <v>49464</v>
      </c>
      <c r="I21" s="624">
        <f>H21*(INDEX('Ex ante LI &amp; Eligibility Stats'!$A:$M,MATCH('Program MW '!$A21,'Ex ante LI &amp; Eligibility Stats'!$A:$A,0),MATCH('Program MW '!I$6,'Ex ante LI &amp; Eligibility Stats'!$A$8:$M$8,0))/1000)</f>
        <v>5.1495372178509162E-3</v>
      </c>
      <c r="J21" s="211">
        <f>H21*(INDEX('Ex post LI &amp; Eligibility Stats'!$A:$N,MATCH($A21,'Ex post LI &amp; Eligibility Stats'!$A:$A,0),MATCH('Program MW '!I$6,'Ex post LI &amp; Eligibility Stats'!$A$8:$N$8,0))/1000)</f>
        <v>2.4714291240288557</v>
      </c>
      <c r="K21" s="353">
        <v>47869</v>
      </c>
      <c r="L21" s="210">
        <f>K21*(INDEX('Ex ante LI &amp; Eligibility Stats'!$A:$M,MATCH('Program MW '!$A21,'Ex ante LI &amp; Eligibility Stats'!$A:$A,0),MATCH('Program MW '!L$6,'Ex ante LI &amp; Eligibility Stats'!$A$8:$M$8,0))/1000)</f>
        <v>2.5417313660126003E-2</v>
      </c>
      <c r="M21" s="211">
        <f>K21*(INDEX('Ex post LI &amp; Eligibility Stats'!$A:$N,MATCH($A21,'Ex post LI &amp; Eligibility Stats'!$A:$A,0),MATCH('Program MW '!L$6,'Ex post LI &amp; Eligibility Stats'!$A$8:$N$8,0))/1000)</f>
        <v>0.2206802573959083</v>
      </c>
      <c r="N21" s="89">
        <v>48945</v>
      </c>
      <c r="O21" s="210">
        <f>N21*(INDEX('Ex ante LI &amp; Eligibility Stats'!$A:$M,MATCH('Program MW '!$A21,'Ex ante LI &amp; Eligibility Stats'!$A:$A,0),MATCH('Program MW '!O$6,'Ex ante LI &amp; Eligibility Stats'!$A$8:$M$8,0))/1000)</f>
        <v>9.2590099199680975E-2</v>
      </c>
      <c r="P21" s="211">
        <f>N21*(INDEX('Ex post LI &amp; Eligibility Stats'!$A:$N,MATCH($A21,'Ex post LI &amp; Eligibility Stats'!$A:$A,0),MATCH('Program MW '!O$6,'Ex post LI &amp; Eligibility Stats'!$A$8:$N$8,0))/1000)</f>
        <v>0.22564071107068734</v>
      </c>
      <c r="Q21" s="89">
        <v>48945</v>
      </c>
      <c r="R21" s="210">
        <f>Q21*(INDEX('Ex ante LI &amp; Eligibility Stats'!$A:$M,MATCH('Program MW '!$A21,'Ex ante LI &amp; Eligibility Stats'!$A:$A,0),MATCH('Program MW '!R$6,'Ex ante LI &amp; Eligibility Stats'!$A$8:$M$8,0))/1000)</f>
        <v>3.9979258320310504E-2</v>
      </c>
      <c r="S21" s="211">
        <f>Q21*(INDEX('Ex post LI &amp; Eligibility Stats'!$A:$N,MATCH($A21,'Ex post LI &amp; Eligibility Stats'!$A:$A,0),MATCH('Program MW '!R$6,'Ex post LI &amp; Eligibility Stats'!$A$8:$N$8,0))/1000)</f>
        <v>0.22564071107068734</v>
      </c>
      <c r="T21" s="4"/>
      <c r="U21" s="6"/>
      <c r="V21" s="6"/>
      <c r="W21" s="6"/>
      <c r="X21" s="6"/>
      <c r="Y21" s="6"/>
      <c r="Z21" s="6"/>
      <c r="AA21" s="6"/>
      <c r="AB21" s="6"/>
      <c r="AC21" s="6"/>
      <c r="AD21" s="6"/>
      <c r="AE21" s="6"/>
    </row>
    <row r="22" spans="1:31">
      <c r="A22" s="132" t="s">
        <v>27</v>
      </c>
      <c r="B22" s="170">
        <v>22881</v>
      </c>
      <c r="C22" s="212">
        <f>B22*(INDEX('Ex ante LI &amp; Eligibility Stats'!$A:$M,MATCH($A22,'Ex ante LI &amp; Eligibility Stats'!$A:$A,0),MATCH('Program MW '!C$6,'Ex ante LI &amp; Eligibility Stats'!$A$8:$M$8,0))/1000)</f>
        <v>0.88547235500067478</v>
      </c>
      <c r="D22" s="213">
        <f>B22*(INDEX('Ex post LI &amp; Eligibility Stats'!$A:$N,MATCH($A22,'Ex post LI &amp; Eligibility Stats'!$A:$A,0),MATCH('Program MW '!C$6,'Ex post LI &amp; Eligibility Stats'!$A$8:$N$8,0))/1000)</f>
        <v>3.8236534905213531</v>
      </c>
      <c r="E22" s="170">
        <v>23402</v>
      </c>
      <c r="F22" s="325">
        <f>E22*(INDEX('Ex ante LI &amp; Eligibility Stats'!$A:$M,MATCH($A22,'Ex ante LI &amp; Eligibility Stats'!$A:$A,0),MATCH('Program MW '!F$6,'Ex ante LI &amp; Eligibility Stats'!$A$8:$M$8,0))/1000)</f>
        <v>0.80414936313033114</v>
      </c>
      <c r="G22" s="211">
        <f>E22*(INDEX('Ex post LI &amp; Eligibility Stats'!$A:$N,MATCH($A22,'Ex post LI &amp; Eligibility Stats'!$A:$A,0),MATCH('Program MW '!F$6,'Ex post LI &amp; Eligibility Stats'!$A$8:$N$8,0))/1000)</f>
        <v>3.9107180186696695</v>
      </c>
      <c r="H22" s="170">
        <v>23233</v>
      </c>
      <c r="I22" s="210">
        <f>H22*(INDEX('Ex ante LI &amp; Eligibility Stats'!$A:$M,MATCH('Program MW '!$A22,'Ex ante LI &amp; Eligibility Stats'!$A:$A,0),MATCH('Program MW '!I$6,'Ex ante LI &amp; Eligibility Stats'!$A$8:$M$8,0))/1000)</f>
        <v>0.9825671277207032</v>
      </c>
      <c r="J22" s="211">
        <f>H22*(INDEX('Ex post LI &amp; Eligibility Stats'!$A:$N,MATCH($A22,'Ex post LI &amp; Eligibility Stats'!$A:$A,0),MATCH('Program MW '!I$6,'Ex post LI &amp; Eligibility Stats'!$A$8:$N$8,0))/1000)</f>
        <v>3.8824763579075476</v>
      </c>
      <c r="K22" s="353">
        <v>22088</v>
      </c>
      <c r="L22" s="210">
        <f>K22*(INDEX('Ex ante LI &amp; Eligibility Stats'!$A:$M,MATCH('Program MW '!$A22,'Ex ante LI &amp; Eligibility Stats'!$A:$A,0),MATCH('Program MW '!L$6,'Ex ante LI &amp; Eligibility Stats'!$A$8:$M$8,0))/1000)</f>
        <v>0.69595816707281388</v>
      </c>
      <c r="M22" s="211">
        <f>K22*(INDEX('Ex post LI &amp; Eligibility Stats'!$A:$N,MATCH($A22,'Ex post LI &amp; Eligibility Stats'!$A:$A,0),MATCH('Program MW '!L$6,'Ex post LI &amp; Eligibility Stats'!$A$8:$N$8,0))/1000)</f>
        <v>1.3208415912067555</v>
      </c>
      <c r="N22" s="170">
        <v>12623</v>
      </c>
      <c r="O22" s="210">
        <f>N22*(INDEX('Ex ante LI &amp; Eligibility Stats'!$A:$M,MATCH('Program MW '!$A22,'Ex ante LI &amp; Eligibility Stats'!$A:$A,0),MATCH('Program MW '!O$6,'Ex ante LI &amp; Eligibility Stats'!$A$8:$M$8,0))/1000)</f>
        <v>0.40837835693995023</v>
      </c>
      <c r="P22" s="211">
        <f>N22*(INDEX('Ex post LI &amp; Eligibility Stats'!$A:$N,MATCH($A22,'Ex post LI &amp; Eligibility Stats'!$A:$A,0),MATCH('Program MW '!O$6,'Ex post LI &amp; Eligibility Stats'!$A$8:$N$8,0))/1000)</f>
        <v>0.75484350804974987</v>
      </c>
      <c r="Q22" s="170">
        <v>13061</v>
      </c>
      <c r="R22" s="210">
        <f>Q22*(INDEX('Ex ante LI &amp; Eligibility Stats'!$A:$M,MATCH('Program MW '!$A22,'Ex ante LI &amp; Eligibility Stats'!$A:$A,0),MATCH('Program MW '!R$6,'Ex ante LI &amp; Eligibility Stats'!$A$8:$M$8,0))/1000)</f>
        <v>1.4023655597744806</v>
      </c>
      <c r="S22" s="211">
        <f>Q22*(INDEX('Ex post LI &amp; Eligibility Stats'!$A:$N,MATCH($A22,'Ex post LI &amp; Eligibility Stats'!$A:$A,0),MATCH('Program MW '!R$6,'Ex post LI &amp; Eligibility Stats'!$A$8:$N$8,0))/1000)</f>
        <v>0.78103549541612793</v>
      </c>
      <c r="T22" s="4"/>
      <c r="U22" s="6"/>
      <c r="V22" s="6"/>
      <c r="W22" s="6"/>
      <c r="X22" s="6"/>
      <c r="Y22" s="6"/>
      <c r="Z22" s="6"/>
      <c r="AA22" s="6"/>
      <c r="AB22" s="6"/>
      <c r="AC22" s="6"/>
      <c r="AD22" s="6"/>
      <c r="AE22" s="6"/>
    </row>
    <row r="23" spans="1:31" ht="13.5" thickBot="1">
      <c r="A23" s="99" t="s">
        <v>56</v>
      </c>
      <c r="B23" s="88">
        <f t="shared" ref="B23:S23" si="3">SUM(B12:B22)</f>
        <v>106871</v>
      </c>
      <c r="C23" s="97">
        <f t="shared" si="3"/>
        <v>2.1475986134405072</v>
      </c>
      <c r="D23" s="96">
        <f t="shared" si="3"/>
        <v>15.168218672869633</v>
      </c>
      <c r="E23" s="1">
        <f t="shared" si="3"/>
        <v>106733</v>
      </c>
      <c r="F23" s="133">
        <f t="shared" si="3"/>
        <v>2.0505226096004208</v>
      </c>
      <c r="G23" s="134">
        <f t="shared" si="3"/>
        <v>15.333457467169842</v>
      </c>
      <c r="H23" s="1">
        <f t="shared" si="3"/>
        <v>106104</v>
      </c>
      <c r="I23" s="133">
        <f t="shared" si="3"/>
        <v>0.98865778733633458</v>
      </c>
      <c r="J23" s="134">
        <f t="shared" si="3"/>
        <v>15.320488449463438</v>
      </c>
      <c r="K23" s="1">
        <f t="shared" si="3"/>
        <v>103745</v>
      </c>
      <c r="L23" s="133">
        <f t="shared" si="3"/>
        <v>3.7508748791737081</v>
      </c>
      <c r="M23" s="134">
        <f t="shared" si="3"/>
        <v>9.5977808346518909</v>
      </c>
      <c r="N23" s="1">
        <f t="shared" si="3"/>
        <v>95324</v>
      </c>
      <c r="O23" s="135">
        <f t="shared" si="3"/>
        <v>4.5629459512272845</v>
      </c>
      <c r="P23" s="138">
        <f t="shared" si="3"/>
        <v>9.097153916171079</v>
      </c>
      <c r="Q23" s="1">
        <f t="shared" si="3"/>
        <v>95729</v>
      </c>
      <c r="R23" s="142">
        <f t="shared" si="3"/>
        <v>4.8225598840909916</v>
      </c>
      <c r="S23" s="143">
        <f t="shared" si="3"/>
        <v>9.1321412676560758</v>
      </c>
      <c r="T23" s="5"/>
      <c r="U23" s="6"/>
      <c r="V23" s="6"/>
      <c r="W23" s="6"/>
      <c r="X23" s="6"/>
      <c r="Y23" s="6"/>
      <c r="Z23" s="6"/>
      <c r="AA23" s="6"/>
      <c r="AB23" s="6"/>
      <c r="AC23" s="6"/>
      <c r="AD23" s="6"/>
      <c r="AE23" s="6"/>
    </row>
    <row r="24" spans="1:31" ht="14.25" thickTop="1" thickBot="1">
      <c r="A24" s="102" t="s">
        <v>57</v>
      </c>
      <c r="B24" s="2">
        <f t="shared" ref="B24:S24" si="4">+B10+B23</f>
        <v>106871</v>
      </c>
      <c r="C24" s="97">
        <f t="shared" si="4"/>
        <v>2.1475986134405072</v>
      </c>
      <c r="D24" s="168">
        <f t="shared" si="4"/>
        <v>15.168218672869633</v>
      </c>
      <c r="E24" s="2">
        <f t="shared" si="4"/>
        <v>106733</v>
      </c>
      <c r="F24" s="97">
        <f t="shared" si="4"/>
        <v>2.0505226096004208</v>
      </c>
      <c r="G24" s="97">
        <f t="shared" si="4"/>
        <v>15.333457467169842</v>
      </c>
      <c r="H24" s="2">
        <f t="shared" si="4"/>
        <v>106104</v>
      </c>
      <c r="I24" s="97">
        <f t="shared" si="4"/>
        <v>0.98865778733633458</v>
      </c>
      <c r="J24" s="96">
        <f t="shared" si="4"/>
        <v>15.320488449463438</v>
      </c>
      <c r="K24" s="2">
        <f t="shared" si="4"/>
        <v>103745</v>
      </c>
      <c r="L24" s="97">
        <f t="shared" si="4"/>
        <v>3.7508748791737081</v>
      </c>
      <c r="M24" s="96">
        <f t="shared" si="4"/>
        <v>9.5977808346518909</v>
      </c>
      <c r="N24" s="2">
        <f t="shared" si="4"/>
        <v>95324</v>
      </c>
      <c r="O24" s="136">
        <f t="shared" si="4"/>
        <v>4.5629459512272845</v>
      </c>
      <c r="P24" s="96">
        <f t="shared" si="4"/>
        <v>9.097153916171079</v>
      </c>
      <c r="Q24" s="2">
        <f t="shared" si="4"/>
        <v>95729</v>
      </c>
      <c r="R24" s="145">
        <f t="shared" si="4"/>
        <v>4.8225598840909916</v>
      </c>
      <c r="S24" s="144">
        <f t="shared" si="4"/>
        <v>9.1321412676560758</v>
      </c>
      <c r="T24" s="7"/>
      <c r="U24" s="6"/>
      <c r="V24" s="6"/>
      <c r="W24" s="6"/>
      <c r="X24" s="6"/>
      <c r="Y24" s="6"/>
      <c r="Z24" s="6"/>
      <c r="AA24" s="6"/>
      <c r="AB24" s="6"/>
      <c r="AC24" s="6"/>
      <c r="AD24" s="6"/>
      <c r="AE24" s="6"/>
    </row>
    <row r="25" spans="1:31" ht="13.5" thickTop="1">
      <c r="A25" s="89"/>
      <c r="B25" s="57"/>
      <c r="C25" s="55"/>
      <c r="D25" s="56"/>
      <c r="E25" s="89"/>
      <c r="F25" s="55"/>
      <c r="G25" s="58"/>
      <c r="H25" s="89"/>
      <c r="I25" s="55"/>
      <c r="J25" s="58"/>
      <c r="K25" s="353"/>
      <c r="L25" s="55"/>
      <c r="M25" s="58"/>
      <c r="N25" s="89"/>
      <c r="O25" s="55"/>
      <c r="P25" s="58"/>
      <c r="Q25" s="89"/>
      <c r="R25" s="55"/>
      <c r="S25" s="58"/>
      <c r="T25" s="8"/>
      <c r="U25" s="6"/>
      <c r="V25" s="6"/>
      <c r="W25" s="6"/>
      <c r="X25" s="6"/>
      <c r="Y25" s="6"/>
      <c r="Z25" s="6"/>
      <c r="AA25" s="6"/>
      <c r="AB25" s="6"/>
      <c r="AC25" s="6"/>
      <c r="AD25" s="6"/>
      <c r="AE25" s="6"/>
    </row>
    <row r="26" spans="1:31">
      <c r="A26" s="170"/>
      <c r="B26" s="35"/>
      <c r="C26" s="35"/>
      <c r="D26" s="35"/>
      <c r="E26" s="170"/>
      <c r="F26" s="35"/>
      <c r="G26" s="35"/>
      <c r="H26" s="170"/>
      <c r="I26" s="35"/>
      <c r="J26" s="35"/>
      <c r="K26" s="353"/>
      <c r="L26" s="35"/>
      <c r="M26" s="35"/>
      <c r="N26" s="170"/>
      <c r="O26" s="35"/>
      <c r="P26" s="35"/>
      <c r="Q26" s="170"/>
      <c r="R26" s="35"/>
      <c r="S26" s="35"/>
    </row>
    <row r="27" spans="1:31" hidden="1">
      <c r="B27" s="35"/>
      <c r="C27" s="35">
        <f>C4+6</f>
        <v>8</v>
      </c>
      <c r="D27" s="35">
        <f>D4+6</f>
        <v>8</v>
      </c>
      <c r="E27" s="35"/>
      <c r="F27" s="35">
        <f>F4+6</f>
        <v>9</v>
      </c>
      <c r="G27" s="35">
        <f>G4+6</f>
        <v>9</v>
      </c>
      <c r="H27" s="35"/>
      <c r="I27" s="35">
        <f>I4+6</f>
        <v>10</v>
      </c>
      <c r="J27" s="35">
        <f>J4+6</f>
        <v>10</v>
      </c>
      <c r="K27" s="35"/>
      <c r="L27" s="35">
        <f>L4+6</f>
        <v>11</v>
      </c>
      <c r="M27" s="35">
        <f>M4+6</f>
        <v>11</v>
      </c>
      <c r="N27" s="35"/>
      <c r="O27" s="35">
        <f>O4+6</f>
        <v>12</v>
      </c>
      <c r="P27" s="35">
        <f>P4+6</f>
        <v>12</v>
      </c>
      <c r="Q27" s="35"/>
      <c r="R27" s="35">
        <f>R4+6</f>
        <v>13</v>
      </c>
      <c r="S27" s="35">
        <f>S4+6</f>
        <v>13</v>
      </c>
    </row>
    <row r="28" spans="1:31">
      <c r="A28" s="54"/>
      <c r="B28" s="554"/>
      <c r="C28" s="554" t="s">
        <v>58</v>
      </c>
      <c r="D28" s="521">
        <f>DATE(YEAR($H$3),1,1)</f>
        <v>44562</v>
      </c>
      <c r="E28" s="554"/>
      <c r="F28" s="554" t="s">
        <v>59</v>
      </c>
      <c r="G28" s="521">
        <f>DATE(YEAR($H$3),1,1)</f>
        <v>44562</v>
      </c>
      <c r="H28" s="554"/>
      <c r="I28" s="554" t="s">
        <v>60</v>
      </c>
      <c r="J28" s="521">
        <f>DATE(YEAR($H$3),1,1)</f>
        <v>44562</v>
      </c>
      <c r="K28" s="554"/>
      <c r="L28" s="554" t="s">
        <v>61</v>
      </c>
      <c r="M28" s="521">
        <f>DATE(YEAR($H$3),1,1)</f>
        <v>44562</v>
      </c>
      <c r="N28" s="554"/>
      <c r="O28" s="554" t="s">
        <v>62</v>
      </c>
      <c r="P28" s="521">
        <f>DATE(YEAR($H$3),1,1)</f>
        <v>44562</v>
      </c>
      <c r="Q28" s="554"/>
      <c r="R28" s="554" t="s">
        <v>63</v>
      </c>
      <c r="S28" s="521">
        <f>DATE(YEAR($H$3),1,1)</f>
        <v>44562</v>
      </c>
      <c r="T28" s="77"/>
      <c r="U28" s="77"/>
    </row>
    <row r="29" spans="1:31" ht="42">
      <c r="A29" s="402" t="s">
        <v>46</v>
      </c>
      <c r="B29" s="405" t="s">
        <v>6</v>
      </c>
      <c r="C29" s="399" t="s">
        <v>48</v>
      </c>
      <c r="D29" s="400" t="s">
        <v>49</v>
      </c>
      <c r="E29" s="405" t="s">
        <v>6</v>
      </c>
      <c r="F29" s="399" t="s">
        <v>48</v>
      </c>
      <c r="G29" s="400" t="s">
        <v>49</v>
      </c>
      <c r="H29" s="405" t="s">
        <v>6</v>
      </c>
      <c r="I29" s="399" t="s">
        <v>48</v>
      </c>
      <c r="J29" s="400" t="s">
        <v>49</v>
      </c>
      <c r="K29" s="405" t="s">
        <v>6</v>
      </c>
      <c r="L29" s="399" t="s">
        <v>48</v>
      </c>
      <c r="M29" s="400" t="s">
        <v>49</v>
      </c>
      <c r="N29" s="405" t="s">
        <v>6</v>
      </c>
      <c r="O29" s="399" t="s">
        <v>48</v>
      </c>
      <c r="P29" s="400" t="s">
        <v>49</v>
      </c>
      <c r="Q29" s="405" t="s">
        <v>6</v>
      </c>
      <c r="R29" s="399" t="s">
        <v>64</v>
      </c>
      <c r="S29" s="400" t="s">
        <v>65</v>
      </c>
      <c r="T29" s="400" t="s">
        <v>50</v>
      </c>
      <c r="V29" s="10"/>
    </row>
    <row r="30" spans="1:31">
      <c r="A30" s="402" t="s">
        <v>51</v>
      </c>
      <c r="B30" s="405"/>
      <c r="C30" s="403"/>
      <c r="D30" s="406"/>
      <c r="E30" s="405"/>
      <c r="F30" s="403"/>
      <c r="G30" s="406"/>
      <c r="H30" s="405"/>
      <c r="I30" s="403"/>
      <c r="J30" s="403"/>
      <c r="K30" s="405"/>
      <c r="L30" s="403"/>
      <c r="M30" s="406"/>
      <c r="N30" s="405"/>
      <c r="O30" s="403"/>
      <c r="P30" s="406"/>
      <c r="Q30" s="405"/>
      <c r="R30" s="403"/>
      <c r="S30" s="406"/>
      <c r="T30" s="407"/>
    </row>
    <row r="31" spans="1:31">
      <c r="A31" s="51" t="s">
        <v>8</v>
      </c>
      <c r="B31" s="555"/>
      <c r="C31" s="210">
        <f>B31*(INDEX('Ex ante LI &amp; Eligibility Stats'!$A:$M,MATCH('Program MW '!$A31,'Ex ante LI &amp; Eligibility Stats'!$A:$A,0),MATCH('Program MW '!C$28,'Ex ante LI &amp; Eligibility Stats'!$A$8:$M$8,0))/1000)</f>
        <v>0</v>
      </c>
      <c r="D31" s="210">
        <f>B31*(INDEX('Ex post LI &amp; Eligibility Stats'!$A:$N,MATCH($A31,'Ex post LI &amp; Eligibility Stats'!$A:$A,0),MATCH('Program MW '!C$28,'Ex post LI &amp; Eligibility Stats'!$A$8:$N$8,0))/1000)</f>
        <v>0</v>
      </c>
      <c r="E31" s="63"/>
      <c r="F31" s="210">
        <f>E31*(INDEX('Ex ante LI &amp; Eligibility Stats'!$A:$M,MATCH('Program MW '!$A31,'Ex ante LI &amp; Eligibility Stats'!$A:$A,0),MATCH('Program MW '!F$28,'Ex ante LI &amp; Eligibility Stats'!$A$8:$M$8,0))/1000)</f>
        <v>0</v>
      </c>
      <c r="G31" s="210">
        <f>E31*(INDEX('Ex post LI &amp; Eligibility Stats'!$A:$N,MATCH($A31,'Ex post LI &amp; Eligibility Stats'!$A:$A,0),MATCH('Program MW '!F$28,'Ex post LI &amp; Eligibility Stats'!$A$8:$N$8,0))/1000)</f>
        <v>0</v>
      </c>
      <c r="H31" s="353"/>
      <c r="I31" s="210">
        <f>H31*(INDEX('Ex ante LI &amp; Eligibility Stats'!$A:$M,MATCH('Program MW '!$A31,'Ex ante LI &amp; Eligibility Stats'!$A:$A,0),MATCH('Program MW '!I$28,'Ex ante LI &amp; Eligibility Stats'!$A$8:$M$8,0))/1000)</f>
        <v>0</v>
      </c>
      <c r="J31" s="210">
        <f>H31*(INDEX('Ex post LI &amp; Eligibility Stats'!$A:$N,MATCH($A31,'Ex post LI &amp; Eligibility Stats'!$A:$A,0),MATCH('Program MW '!I$28,'Ex post LI &amp; Eligibility Stats'!$A$8:$N$8,0))/1000)</f>
        <v>0</v>
      </c>
      <c r="K31" s="418"/>
      <c r="L31" s="210">
        <f>K31*(INDEX('Ex ante LI &amp; Eligibility Stats'!$A:$M,MATCH('Program MW '!$A31,'Ex ante LI &amp; Eligibility Stats'!$A:$A,0),MATCH('Program MW '!L$28,'Ex ante LI &amp; Eligibility Stats'!$A$8:$M$8,0))/1000)</f>
        <v>0</v>
      </c>
      <c r="M31" s="210">
        <f>K31*(INDEX('Ex post LI &amp; Eligibility Stats'!$A:$N,MATCH($A31,'Ex post LI &amp; Eligibility Stats'!$A:$A,0),MATCH('Program MW '!L$28,'Ex post LI &amp; Eligibility Stats'!$A$8:$N$8,0))/1000)</f>
        <v>0</v>
      </c>
      <c r="N31" s="63"/>
      <c r="O31" s="210">
        <f>N31*(INDEX('Ex ante LI &amp; Eligibility Stats'!$A:$M,MATCH('Program MW '!$A31,'Ex ante LI &amp; Eligibility Stats'!$A:$A,0),MATCH('Program MW '!O$28,'Ex ante LI &amp; Eligibility Stats'!$A$8:$M$8,0))/1000)</f>
        <v>0</v>
      </c>
      <c r="P31" s="210">
        <f>N31*(INDEX('Ex post LI &amp; Eligibility Stats'!$A:$N,MATCH($A31,'Ex post LI &amp; Eligibility Stats'!$A:$A,0),MATCH('Program MW '!O$28,'Ex post LI &amp; Eligibility Stats'!$A$8:$N$8,0))/1000)</f>
        <v>0</v>
      </c>
      <c r="Q31" s="63"/>
      <c r="R31" s="210">
        <f>Q31*(INDEX('Ex ante LI &amp; Eligibility Stats'!$A:$M,MATCH('Program MW '!$A31,'Ex ante LI &amp; Eligibility Stats'!$A:$A,0),MATCH('Program MW '!R$28,'Ex ante LI &amp; Eligibility Stats'!$A$8:$M$8,0))/1000)</f>
        <v>0</v>
      </c>
      <c r="S31" s="210">
        <f>Q31*(INDEX('Ex post LI &amp; Eligibility Stats'!$A:$N,MATCH($A31,'Ex post LI &amp; Eligibility Stats'!$A:$A,0),MATCH('Program MW '!R$28,'Ex post LI &amp; Eligibility Stats'!$A$8:$N$8,0))/1000)</f>
        <v>0</v>
      </c>
      <c r="T31" s="4">
        <v>5276</v>
      </c>
    </row>
    <row r="32" spans="1:31" ht="13.5" thickBot="1">
      <c r="A32" s="99" t="s">
        <v>52</v>
      </c>
      <c r="B32" s="86">
        <f t="shared" ref="B32:K32" si="5">SUM(B31:B31)</f>
        <v>0</v>
      </c>
      <c r="C32" s="160">
        <f t="shared" si="5"/>
        <v>0</v>
      </c>
      <c r="D32" s="161">
        <f t="shared" si="5"/>
        <v>0</v>
      </c>
      <c r="E32" s="64">
        <f t="shared" si="5"/>
        <v>0</v>
      </c>
      <c r="F32" s="160">
        <f t="shared" ref="F32:G32" si="6">SUM(F31:F31)</f>
        <v>0</v>
      </c>
      <c r="G32" s="161">
        <f t="shared" si="6"/>
        <v>0</v>
      </c>
      <c r="H32" s="64">
        <f t="shared" si="5"/>
        <v>0</v>
      </c>
      <c r="I32" s="160">
        <f t="shared" si="5"/>
        <v>0</v>
      </c>
      <c r="J32" s="161">
        <f t="shared" si="5"/>
        <v>0</v>
      </c>
      <c r="K32" s="64">
        <f t="shared" si="5"/>
        <v>0</v>
      </c>
      <c r="L32" s="160">
        <f t="shared" ref="L32:M32" si="7">SUM(L31:L31)</f>
        <v>0</v>
      </c>
      <c r="M32" s="161">
        <f t="shared" si="7"/>
        <v>0</v>
      </c>
      <c r="N32" s="64">
        <f t="shared" ref="N32:Q32" si="8">SUM(N31:N31)</f>
        <v>0</v>
      </c>
      <c r="O32" s="160">
        <f t="shared" ref="O32:P32" si="9">SUM(O31:O31)</f>
        <v>0</v>
      </c>
      <c r="P32" s="161">
        <f t="shared" si="9"/>
        <v>0</v>
      </c>
      <c r="Q32" s="64">
        <f t="shared" si="8"/>
        <v>0</v>
      </c>
      <c r="R32" s="160">
        <f t="shared" ref="R32:S32" si="10">SUM(R31:R31)</f>
        <v>0</v>
      </c>
      <c r="S32" s="161">
        <f t="shared" si="10"/>
        <v>0</v>
      </c>
      <c r="T32" s="5"/>
    </row>
    <row r="33" spans="1:26" ht="13.5" thickTop="1">
      <c r="A33" s="402" t="s">
        <v>53</v>
      </c>
      <c r="B33" s="413"/>
      <c r="C33" s="411"/>
      <c r="D33" s="100"/>
      <c r="E33" s="413"/>
      <c r="F33" s="411"/>
      <c r="G33" s="100"/>
      <c r="H33" s="413"/>
      <c r="I33" s="411"/>
      <c r="J33" s="100"/>
      <c r="K33" s="413"/>
      <c r="L33" s="411"/>
      <c r="M33" s="100"/>
      <c r="N33" s="413"/>
      <c r="O33" s="411"/>
      <c r="P33" s="100"/>
      <c r="Q33" s="413"/>
      <c r="R33" s="411"/>
      <c r="S33" s="100"/>
      <c r="T33" s="407"/>
    </row>
    <row r="34" spans="1:26">
      <c r="A34" s="36" t="s">
        <v>11</v>
      </c>
      <c r="B34" s="414">
        <v>5198</v>
      </c>
      <c r="C34" s="210">
        <f>B34*(INDEX('Ex ante LI &amp; Eligibility Stats'!$A:$M,MATCH('Program MW '!$A34,'Ex ante LI &amp; Eligibility Stats'!$A:$A,0),MATCH('Program MW '!C$28,'Ex ante LI &amp; Eligibility Stats'!$A$8:$M$8,0))/1000)</f>
        <v>2.7025158580675708</v>
      </c>
      <c r="D34" s="415">
        <f>B34*(INDEX('Ex post LI &amp; Eligibility Stats'!$A:$N,MATCH($A34,'Ex post LI &amp; Eligibility Stats'!$A:$A,0),MATCH('Program MW '!C$28,'Ex post LI &amp; Eligibility Stats'!$A$8:$N$8,0))/1000)</f>
        <v>0.16523949123623641</v>
      </c>
      <c r="E34" s="414">
        <v>5227</v>
      </c>
      <c r="F34" s="210">
        <f>E34*(INDEX('Ex ante LI &amp; Eligibility Stats'!$A:$M,MATCH('Program MW '!$A34,'Ex ante LI &amp; Eligibility Stats'!$A:$A,0),MATCH('Program MW '!F$28,'Ex ante LI &amp; Eligibility Stats'!$A$8:$M$8,0))/1000)</f>
        <v>3.0162557216475916</v>
      </c>
      <c r="G34" s="415">
        <f>E34*(INDEX('Ex post LI &amp; Eligibility Stats'!$A:$N,MATCH($A34,'Ex post LI &amp; Eligibility Stats'!$A:$A,0),MATCH('Program MW '!F$28,'Ex post LI &amp; Eligibility Stats'!$A$8:$N$8,0))/1000)</f>
        <v>0.16616137373832393</v>
      </c>
      <c r="H34" s="414"/>
      <c r="I34" s="210">
        <f>H34*(INDEX('Ex ante LI &amp; Eligibility Stats'!$A:$M,MATCH('Program MW '!$A34,'Ex ante LI &amp; Eligibility Stats'!$A:$A,0),MATCH('Program MW '!I$28,'Ex ante LI &amp; Eligibility Stats'!$A$8:$M$8,0))/1000)</f>
        <v>0</v>
      </c>
      <c r="J34" s="415">
        <f>H34*(INDEX('Ex post LI &amp; Eligibility Stats'!$A:$N,MATCH($A34,'Ex post LI &amp; Eligibility Stats'!$A:$A,0),MATCH('Program MW '!I$28,'Ex post LI &amp; Eligibility Stats'!$A$8:$N$8,0))/1000)</f>
        <v>0</v>
      </c>
      <c r="K34" s="414"/>
      <c r="L34" s="210">
        <f>K34*(INDEX('Ex ante LI &amp; Eligibility Stats'!$A:$M,MATCH('Program MW '!$A34,'Ex ante LI &amp; Eligibility Stats'!$A:$A,0),MATCH('Program MW '!L$28,'Ex ante LI &amp; Eligibility Stats'!$A$8:$M$8,0))/1000)</f>
        <v>0</v>
      </c>
      <c r="M34" s="415">
        <f>K34*(INDEX('Ex post LI &amp; Eligibility Stats'!$A:$N,MATCH($A34,'Ex post LI &amp; Eligibility Stats'!$A:$A,0),MATCH('Program MW '!L$28,'Ex post LI &amp; Eligibility Stats'!$A$8:$N$8,0))/1000)</f>
        <v>0</v>
      </c>
      <c r="N34" s="414"/>
      <c r="O34" s="210">
        <f>N34*(INDEX('Ex ante LI &amp; Eligibility Stats'!$A:$M,MATCH('Program MW '!$A34,'Ex ante LI &amp; Eligibility Stats'!$A:$A,0),MATCH('Program MW '!O$28,'Ex ante LI &amp; Eligibility Stats'!$A$8:$M$8,0))/1000)</f>
        <v>0</v>
      </c>
      <c r="P34" s="415">
        <f>N34*(INDEX('Ex post LI &amp; Eligibility Stats'!$A:$N,MATCH($A34,'Ex post LI &amp; Eligibility Stats'!$A:$A,0),MATCH('Program MW '!O$28,'Ex post LI &amp; Eligibility Stats'!$A$8:$N$8,0))/1000)</f>
        <v>0</v>
      </c>
      <c r="Q34" s="414"/>
      <c r="R34" s="210">
        <f>Q34*(INDEX('Ex ante LI &amp; Eligibility Stats'!$A:$M,MATCH('Program MW '!$A34,'Ex ante LI &amp; Eligibility Stats'!$A:$A,0),MATCH('Program MW '!R$28,'Ex ante LI &amp; Eligibility Stats'!$A$8:$M$8,0))/1000)</f>
        <v>0</v>
      </c>
      <c r="S34" s="415">
        <f>Q34*(INDEX('Ex post LI &amp; Eligibility Stats'!$A:$N,MATCH($A34,'Ex post LI &amp; Eligibility Stats'!$A:$A,0),MATCH('Program MW '!R$28,'Ex post LI &amp; Eligibility Stats'!$A$8:$N$8,0))/1000)</f>
        <v>0</v>
      </c>
      <c r="T34" s="417">
        <v>138123</v>
      </c>
    </row>
    <row r="35" spans="1:26" ht="13.5">
      <c r="A35" s="114" t="s">
        <v>54</v>
      </c>
      <c r="B35" s="115">
        <v>0</v>
      </c>
      <c r="C35" s="210">
        <v>0</v>
      </c>
      <c r="D35" s="211">
        <v>0</v>
      </c>
      <c r="E35" s="115">
        <v>0</v>
      </c>
      <c r="F35" s="210">
        <v>0</v>
      </c>
      <c r="G35" s="211">
        <v>0</v>
      </c>
      <c r="H35" s="115"/>
      <c r="I35" s="210">
        <v>0</v>
      </c>
      <c r="J35" s="211">
        <v>0</v>
      </c>
      <c r="K35" s="115"/>
      <c r="L35" s="210">
        <v>0</v>
      </c>
      <c r="M35" s="211">
        <v>0</v>
      </c>
      <c r="N35" s="115"/>
      <c r="O35" s="210">
        <v>0</v>
      </c>
      <c r="P35" s="211">
        <v>0</v>
      </c>
      <c r="Q35" s="115"/>
      <c r="R35" s="210">
        <v>0</v>
      </c>
      <c r="S35" s="211">
        <v>0</v>
      </c>
      <c r="T35" s="4"/>
    </row>
    <row r="36" spans="1:26">
      <c r="A36" s="114" t="s">
        <v>66</v>
      </c>
      <c r="B36" s="115">
        <v>0</v>
      </c>
      <c r="C36" s="325">
        <v>0</v>
      </c>
      <c r="D36" s="301">
        <v>0</v>
      </c>
      <c r="E36" s="115">
        <v>0</v>
      </c>
      <c r="F36" s="325">
        <v>0</v>
      </c>
      <c r="G36" s="625">
        <v>0</v>
      </c>
      <c r="H36" s="115"/>
      <c r="I36" s="325">
        <v>0</v>
      </c>
      <c r="J36" s="625">
        <v>0</v>
      </c>
      <c r="K36" s="115"/>
      <c r="L36" s="325">
        <v>0</v>
      </c>
      <c r="M36" s="625">
        <v>0</v>
      </c>
      <c r="N36" s="115"/>
      <c r="O36" s="325">
        <v>0</v>
      </c>
      <c r="P36" s="625">
        <v>0</v>
      </c>
      <c r="Q36" s="115"/>
      <c r="R36" s="325">
        <v>0</v>
      </c>
      <c r="S36" s="625">
        <v>0</v>
      </c>
      <c r="T36" s="4"/>
    </row>
    <row r="37" spans="1:26">
      <c r="A37" s="172" t="s">
        <v>17</v>
      </c>
      <c r="B37" s="89">
        <v>17808</v>
      </c>
      <c r="C37" s="210">
        <f>B37*(INDEX('Ex ante LI &amp; Eligibility Stats'!$A:$M,MATCH('Program MW '!$A37,'Ex ante LI &amp; Eligibility Stats'!$A:$A,0),MATCH('Program MW '!C$28,'Ex ante LI &amp; Eligibility Stats'!$A$8:$M$8,0))/1000)</f>
        <v>2.5532816061973573</v>
      </c>
      <c r="D37" s="211">
        <f>B37*(INDEX('Ex post LI &amp; Eligibility Stats'!$A:$N,MATCH($A37,'Ex post LI &amp; Eligibility Stats'!$A:$A,0),MATCH('Program MW '!C$28,'Ex post LI &amp; Eligibility Stats'!$A$8:$N$8,0))/1000)</f>
        <v>7.2263576974868782</v>
      </c>
      <c r="E37" s="89">
        <v>18625</v>
      </c>
      <c r="F37" s="210">
        <f>E37*(INDEX('Ex ante LI &amp; Eligibility Stats'!$A:$M,MATCH('Program MW '!$A37,'Ex ante LI &amp; Eligibility Stats'!$A:$A,0),MATCH('Program MW '!F$28,'Ex ante LI &amp; Eligibility Stats'!$A$8:$M$8,0))/1000)</f>
        <v>3.3838093131780624</v>
      </c>
      <c r="G37" s="211">
        <f>E37*(INDEX('Ex post LI &amp; Eligibility Stats'!$A:$N,MATCH($A37,'Ex post LI &amp; Eligibility Stats'!$A:$A,0),MATCH('Program MW '!F$28,'Ex post LI &amp; Eligibility Stats'!$A$8:$N$8,0))/1000)</f>
        <v>7.5578903928399086</v>
      </c>
      <c r="H37" s="89"/>
      <c r="I37" s="210">
        <f>H37*(INDEX('Ex ante LI &amp; Eligibility Stats'!$A:$M,MATCH('Program MW '!$A37,'Ex ante LI &amp; Eligibility Stats'!$A:$A,0),MATCH('Program MW '!I$28,'Ex ante LI &amp; Eligibility Stats'!$A$8:$M$8,0))/1000)</f>
        <v>0</v>
      </c>
      <c r="J37" s="211">
        <f>H37*(INDEX('Ex post LI &amp; Eligibility Stats'!$A:$N,MATCH($A37,'Ex post LI &amp; Eligibility Stats'!$A:$A,0),MATCH('Program MW '!I$28,'Ex post LI &amp; Eligibility Stats'!$A$8:$N$8,0))/1000)</f>
        <v>0</v>
      </c>
      <c r="K37" s="89"/>
      <c r="L37" s="210">
        <f>K37*(INDEX('Ex ante LI &amp; Eligibility Stats'!$A:$M,MATCH('Program MW '!$A37,'Ex ante LI &amp; Eligibility Stats'!$A:$A,0),MATCH('Program MW '!L$28,'Ex ante LI &amp; Eligibility Stats'!$A$8:$M$8,0))/1000)</f>
        <v>0</v>
      </c>
      <c r="M37" s="211">
        <f>K37*(INDEX('Ex post LI &amp; Eligibility Stats'!$A:$N,MATCH($A37,'Ex post LI &amp; Eligibility Stats'!$A:$A,0),MATCH('Program MW '!L$28,'Ex post LI &amp; Eligibility Stats'!$A$8:$N$8,0))/1000)</f>
        <v>0</v>
      </c>
      <c r="N37" s="89"/>
      <c r="O37" s="301">
        <f>N37*(INDEX('Ex ante LI &amp; Eligibility Stats'!$A:$M,MATCH('Program MW '!$A37,'Ex ante LI &amp; Eligibility Stats'!$A:$A,0),MATCH('Program MW '!O$28,'Ex ante LI &amp; Eligibility Stats'!$A$8:$M$8,0))/1000)</f>
        <v>0</v>
      </c>
      <c r="P37" s="211">
        <f>N37*(INDEX('Ex post LI &amp; Eligibility Stats'!$A:$N,MATCH($A37,'Ex post LI &amp; Eligibility Stats'!$A:$A,0),MATCH('Program MW '!O$28,'Ex post LI &amp; Eligibility Stats'!$A$8:$N$8,0))/1000)</f>
        <v>0</v>
      </c>
      <c r="Q37" s="89"/>
      <c r="R37" s="210">
        <f>Q37*(INDEX('Ex ante LI &amp; Eligibility Stats'!$A:$M,MATCH('Program MW '!$A37,'Ex ante LI &amp; Eligibility Stats'!$A:$A,0),MATCH('Program MW '!R$28,'Ex ante LI &amp; Eligibility Stats'!$A$8:$M$8,0))/1000)</f>
        <v>0</v>
      </c>
      <c r="S37" s="211">
        <f>Q37*(INDEX('Ex post LI &amp; Eligibility Stats'!$A:$N,MATCH($A37,'Ex post LI &amp; Eligibility Stats'!$A:$A,0),MATCH('Program MW '!R$28,'Ex post LI &amp; Eligibility Stats'!$A$8:$N$8,0))/1000)</f>
        <v>0</v>
      </c>
      <c r="T37" s="4">
        <v>663393.5</v>
      </c>
    </row>
    <row r="38" spans="1:26">
      <c r="A38" s="172" t="s">
        <v>20</v>
      </c>
      <c r="B38" s="89">
        <v>164</v>
      </c>
      <c r="C38" s="210">
        <f>B38*(INDEX('Ex ante LI &amp; Eligibility Stats'!$A:$M,MATCH('Program MW '!$A38,'Ex ante LI &amp; Eligibility Stats'!$A:$A,0),MATCH('Program MW '!C$28,'Ex ante LI &amp; Eligibility Stats'!$A$8:$M$8,0))/1000)</f>
        <v>0.12479035019874574</v>
      </c>
      <c r="D38" s="211">
        <f>B38*(INDEX('Ex post LI &amp; Eligibility Stats'!$A:$N,MATCH($A38,'Ex post LI &amp; Eligibility Stats'!$A:$A,0),MATCH('Program MW '!C$28,'Ex post LI &amp; Eligibility Stats'!$A$8:$N$8,0))/1000)</f>
        <v>0.15294857358932495</v>
      </c>
      <c r="E38" s="89">
        <v>164</v>
      </c>
      <c r="F38" s="210">
        <f>E38*(INDEX('Ex ante LI &amp; Eligibility Stats'!$A:$M,MATCH('Program MW '!$A38,'Ex ante LI &amp; Eligibility Stats'!$A:$A,0),MATCH('Program MW '!F$28,'Ex ante LI &amp; Eligibility Stats'!$A$8:$M$8,0))/1000)</f>
        <v>0.15125869250297547</v>
      </c>
      <c r="G38" s="211">
        <f>E38*(INDEX('Ex post LI &amp; Eligibility Stats'!$A:$N,MATCH($A38,'Ex post LI &amp; Eligibility Stats'!$A:$A,0),MATCH('Program MW '!F$28,'Ex post LI &amp; Eligibility Stats'!$A$8:$N$8,0))/1000)</f>
        <v>0.15294857358932495</v>
      </c>
      <c r="H38" s="89"/>
      <c r="I38" s="210">
        <f>H38*(INDEX('Ex ante LI &amp; Eligibility Stats'!$A:$M,MATCH('Program MW '!$A38,'Ex ante LI &amp; Eligibility Stats'!$A:$A,0),MATCH('Program MW '!I$28,'Ex ante LI &amp; Eligibility Stats'!$A$8:$M$8,0))/1000)</f>
        <v>0</v>
      </c>
      <c r="J38" s="211">
        <f>H38*(INDEX('Ex post LI &amp; Eligibility Stats'!$A:$N,MATCH($A38,'Ex post LI &amp; Eligibility Stats'!$A:$A,0),MATCH('Program MW '!I$28,'Ex post LI &amp; Eligibility Stats'!$A$8:$N$8,0))/1000)</f>
        <v>0</v>
      </c>
      <c r="K38" s="89"/>
      <c r="L38" s="210">
        <f>K38*(INDEX('Ex ante LI &amp; Eligibility Stats'!$A:$M,MATCH('Program MW '!$A38,'Ex ante LI &amp; Eligibility Stats'!$A:$A,0),MATCH('Program MW '!L$28,'Ex ante LI &amp; Eligibility Stats'!$A$8:$M$8,0))/1000)</f>
        <v>0</v>
      </c>
      <c r="M38" s="211">
        <f>K38*(INDEX('Ex post LI &amp; Eligibility Stats'!$A:$N,MATCH($A38,'Ex post LI &amp; Eligibility Stats'!$A:$A,0),MATCH('Program MW '!L$28,'Ex post LI &amp; Eligibility Stats'!$A$8:$N$8,0))/1000)</f>
        <v>0</v>
      </c>
      <c r="N38" s="89"/>
      <c r="O38" s="210">
        <f>N38*(INDEX('Ex ante LI &amp; Eligibility Stats'!$A:$M,MATCH('Program MW '!$A38,'Ex ante LI &amp; Eligibility Stats'!$A:$A,0),MATCH('Program MW '!O$28,'Ex ante LI &amp; Eligibility Stats'!$A$8:$M$8,0))/1000)</f>
        <v>0</v>
      </c>
      <c r="P38" s="211">
        <f>N38*(INDEX('Ex post LI &amp; Eligibility Stats'!$A:$N,MATCH($A38,'Ex post LI &amp; Eligibility Stats'!$A:$A,0),MATCH('Program MW '!O$28,'Ex post LI &amp; Eligibility Stats'!$A$8:$N$8,0))/1000)</f>
        <v>0</v>
      </c>
      <c r="Q38" s="89"/>
      <c r="R38" s="210">
        <f>Q38*(INDEX('Ex ante LI &amp; Eligibility Stats'!$A:$M,MATCH('Program MW '!$A38,'Ex ante LI &amp; Eligibility Stats'!$A:$A,0),MATCH('Program MW '!R$28,'Ex ante LI &amp; Eligibility Stats'!$A$8:$M$8,0))/1000)</f>
        <v>0</v>
      </c>
      <c r="S38" s="211">
        <f>Q38*(INDEX('Ex post LI &amp; Eligibility Stats'!$A:$N,MATCH($A38,'Ex post LI &amp; Eligibility Stats'!$A:$A,0),MATCH('Program MW '!R$28,'Ex post LI &amp; Eligibility Stats'!$A$8:$N$8,0))/1000)</f>
        <v>0</v>
      </c>
      <c r="T38" s="4"/>
    </row>
    <row r="39" spans="1:26">
      <c r="A39" s="172" t="s">
        <v>21</v>
      </c>
      <c r="B39" s="63">
        <v>8337</v>
      </c>
      <c r="C39" s="210">
        <f>B39*(INDEX('Ex ante LI &amp; Eligibility Stats'!$A:$M,MATCH('Program MW '!$A39,'Ex ante LI &amp; Eligibility Stats'!$A:$A,0),MATCH('Program MW '!C$28,'Ex ante LI &amp; Eligibility Stats'!$A$8:$M$8,0))/1000)</f>
        <v>1.2175654932</v>
      </c>
      <c r="D39" s="211">
        <f>B39*(INDEX('Ex post LI &amp; Eligibility Stats'!$A:$N,MATCH($A39,'Ex post LI &amp; Eligibility Stats'!$A:$A,0),MATCH('Program MW '!C$28,'Ex post LI &amp; Eligibility Stats'!$A$8:$N$8,0))/1000)</f>
        <v>0.46567147200000003</v>
      </c>
      <c r="E39" s="63">
        <v>8223</v>
      </c>
      <c r="F39" s="210">
        <f>E39*(INDEX('Ex ante LI &amp; Eligibility Stats'!$A:$M,MATCH('Program MW '!$A39,'Ex ante LI &amp; Eligibility Stats'!$A:$A,0),MATCH('Program MW '!F$28,'Ex ante LI &amp; Eligibility Stats'!$A$8:$M$8,0))/1000)</f>
        <v>1.8634049847</v>
      </c>
      <c r="G39" s="211">
        <f>E39*(INDEX('Ex post LI &amp; Eligibility Stats'!$A:$N,MATCH($A39,'Ex post LI &amp; Eligibility Stats'!$A:$A,0),MATCH('Program MW '!F$28,'Ex post LI &amp; Eligibility Stats'!$A$8:$N$8,0))/1000)</f>
        <v>0.45930388799999999</v>
      </c>
      <c r="H39" s="63"/>
      <c r="I39" s="210">
        <f>H39*(INDEX('Ex ante LI &amp; Eligibility Stats'!$A:$M,MATCH('Program MW '!$A39,'Ex ante LI &amp; Eligibility Stats'!$A:$A,0),MATCH('Program MW '!I$28,'Ex ante LI &amp; Eligibility Stats'!$A$8:$M$8,0))/1000)</f>
        <v>0</v>
      </c>
      <c r="J39" s="211">
        <f>H39*(INDEX('Ex post LI &amp; Eligibility Stats'!$A:$N,MATCH($A39,'Ex post LI &amp; Eligibility Stats'!$A:$A,0),MATCH('Program MW '!I$28,'Ex post LI &amp; Eligibility Stats'!$A$8:$N$8,0))/1000)</f>
        <v>0</v>
      </c>
      <c r="K39" s="63"/>
      <c r="L39" s="210">
        <f>K39*(INDEX('Ex ante LI &amp; Eligibility Stats'!$A:$M,MATCH('Program MW '!$A39,'Ex ante LI &amp; Eligibility Stats'!$A:$A,0),MATCH('Program MW '!L$28,'Ex ante LI &amp; Eligibility Stats'!$A$8:$M$8,0))/1000)</f>
        <v>0</v>
      </c>
      <c r="M39" s="211">
        <f>K39*(INDEX('Ex post LI &amp; Eligibility Stats'!$A:$N,MATCH($A39,'Ex post LI &amp; Eligibility Stats'!$A:$A,0),MATCH('Program MW '!L$28,'Ex post LI &amp; Eligibility Stats'!$A$8:$N$8,0))/1000)</f>
        <v>0</v>
      </c>
      <c r="N39" s="63"/>
      <c r="O39" s="210">
        <f>N39*(INDEX('Ex ante LI &amp; Eligibility Stats'!$A:$M,MATCH('Program MW '!$A39,'Ex ante LI &amp; Eligibility Stats'!$A:$A,0),MATCH('Program MW '!O$28,'Ex ante LI &amp; Eligibility Stats'!$A$8:$M$8,0))/1000)</f>
        <v>0</v>
      </c>
      <c r="P39" s="211">
        <f>N39*(INDEX('Ex post LI &amp; Eligibility Stats'!$A:$N,MATCH($A39,'Ex post LI &amp; Eligibility Stats'!$A:$A,0),MATCH('Program MW '!O$28,'Ex post LI &amp; Eligibility Stats'!$A$8:$N$8,0))/1000)</f>
        <v>0</v>
      </c>
      <c r="Q39" s="63"/>
      <c r="R39" s="210">
        <f>Q39*(INDEX('Ex ante LI &amp; Eligibility Stats'!$A:$M,MATCH('Program MW '!$A39,'Ex ante LI &amp; Eligibility Stats'!$A:$A,0),MATCH('Program MW '!R$28,'Ex ante LI &amp; Eligibility Stats'!$A$8:$M$8,0))/1000)</f>
        <v>0</v>
      </c>
      <c r="S39" s="211">
        <f>Q39*(INDEX('Ex post LI &amp; Eligibility Stats'!$A:$N,MATCH($A39,'Ex post LI &amp; Eligibility Stats'!$A:$A,0),MATCH('Program MW '!R$28,'Ex post LI &amp; Eligibility Stats'!$A$8:$N$8,0))/1000)</f>
        <v>0</v>
      </c>
      <c r="T39" s="4">
        <v>157189</v>
      </c>
    </row>
    <row r="40" spans="1:26">
      <c r="A40" s="172" t="s">
        <v>23</v>
      </c>
      <c r="B40" s="63">
        <v>2413</v>
      </c>
      <c r="C40" s="210">
        <f>B40*(INDEX('Ex ante LI &amp; Eligibility Stats'!$A:$M,MATCH('Program MW '!$A40,'Ex ante LI &amp; Eligibility Stats'!$A:$A,0),MATCH('Program MW '!C$28,'Ex ante LI &amp; Eligibility Stats'!$A$8:$M$8,0))/1000)</f>
        <v>0.30651880530000003</v>
      </c>
      <c r="D40" s="211">
        <f>B40*(INDEX('Ex post LI &amp; Eligibility Stats'!$A:$N,MATCH($A40,'Ex post LI &amp; Eligibility Stats'!$A:$A,0),MATCH('Program MW '!C$28,'Ex post LI &amp; Eligibility Stats'!$A$8:$N$8,0))/1000)</f>
        <v>0.2259178489</v>
      </c>
      <c r="E40" s="63">
        <v>2380</v>
      </c>
      <c r="F40" s="210">
        <f>E40*(INDEX('Ex ante LI &amp; Eligibility Stats'!$A:$M,MATCH('Program MW '!$A40,'Ex ante LI &amp; Eligibility Stats'!$A:$A,0),MATCH('Program MW '!F$28,'Ex ante LI &amp; Eligibility Stats'!$A$8:$M$8,0))/1000)</f>
        <v>0.36989293600000001</v>
      </c>
      <c r="G40" s="211">
        <f>E40*(INDEX('Ex post LI &amp; Eligibility Stats'!$A:$N,MATCH($A40,'Ex post LI &amp; Eligibility Stats'!$A:$A,0),MATCH('Program MW '!F$28,'Ex post LI &amp; Eligibility Stats'!$A$8:$N$8,0))/1000)</f>
        <v>0.222828214</v>
      </c>
      <c r="H40" s="63"/>
      <c r="I40" s="210">
        <f>H40*(INDEX('Ex ante LI &amp; Eligibility Stats'!$A:$M,MATCH('Program MW '!$A40,'Ex ante LI &amp; Eligibility Stats'!$A:$A,0),MATCH('Program MW '!I$28,'Ex ante LI &amp; Eligibility Stats'!$A$8:$M$8,0))/1000)</f>
        <v>0</v>
      </c>
      <c r="J40" s="211">
        <f>H40*(INDEX('Ex post LI &amp; Eligibility Stats'!$A:$N,MATCH($A40,'Ex post LI &amp; Eligibility Stats'!$A:$A,0),MATCH('Program MW '!I$28,'Ex post LI &amp; Eligibility Stats'!$A$8:$N$8,0))/1000)</f>
        <v>0</v>
      </c>
      <c r="K40" s="63"/>
      <c r="L40" s="210">
        <f>K40*(INDEX('Ex ante LI &amp; Eligibility Stats'!$A:$M,MATCH('Program MW '!$A40,'Ex ante LI &amp; Eligibility Stats'!$A:$A,0),MATCH('Program MW '!L$28,'Ex ante LI &amp; Eligibility Stats'!$A$8:$M$8,0))/1000)</f>
        <v>0</v>
      </c>
      <c r="M40" s="211">
        <f>K40*(INDEX('Ex post LI &amp; Eligibility Stats'!$A:$N,MATCH($A40,'Ex post LI &amp; Eligibility Stats'!$A:$A,0),MATCH('Program MW '!L$28,'Ex post LI &amp; Eligibility Stats'!$A$8:$N$8,0))/1000)</f>
        <v>0</v>
      </c>
      <c r="N40" s="63"/>
      <c r="O40" s="210">
        <f>N40*(INDEX('Ex ante LI &amp; Eligibility Stats'!$A:$M,MATCH('Program MW '!$A40,'Ex ante LI &amp; Eligibility Stats'!$A:$A,0),MATCH('Program MW '!O$28,'Ex ante LI &amp; Eligibility Stats'!$A$8:$M$8,0))/1000)</f>
        <v>0</v>
      </c>
      <c r="P40" s="211">
        <f>N40*(INDEX('Ex post LI &amp; Eligibility Stats'!$A:$N,MATCH($A40,'Ex post LI &amp; Eligibility Stats'!$A:$A,0),MATCH('Program MW '!O$28,'Ex post LI &amp; Eligibility Stats'!$A$8:$N$8,0))/1000)</f>
        <v>0</v>
      </c>
      <c r="Q40" s="63"/>
      <c r="R40" s="210">
        <f>Q40*(INDEX('Ex ante LI &amp; Eligibility Stats'!$A:$M,MATCH('Program MW '!$A40,'Ex ante LI &amp; Eligibility Stats'!$A:$A,0),MATCH('Program MW '!R$28,'Ex ante LI &amp; Eligibility Stats'!$A$8:$M$8,0))/1000)</f>
        <v>0</v>
      </c>
      <c r="S40" s="211">
        <f>Q40*(INDEX('Ex post LI &amp; Eligibility Stats'!$A:$N,MATCH($A40,'Ex post LI &amp; Eligibility Stats'!$A:$A,0),MATCH('Program MW '!R$28,'Ex post LI &amp; Eligibility Stats'!$A$8:$N$8,0))/1000)</f>
        <v>0</v>
      </c>
      <c r="T40" s="4">
        <v>157189</v>
      </c>
    </row>
    <row r="41" spans="1:26">
      <c r="A41" s="51" t="s">
        <v>24</v>
      </c>
      <c r="B41" s="89"/>
      <c r="C41" s="210">
        <f>B41*(INDEX('Ex ante LI &amp; Eligibility Stats'!$A:$M,MATCH('Program MW '!$A41,'Ex ante LI &amp; Eligibility Stats'!$A:$A,0),MATCH('Program MW '!C$28,'Ex ante LI &amp; Eligibility Stats'!$A$8:$M$8,0))/1000)</f>
        <v>0</v>
      </c>
      <c r="D41" s="211">
        <f>B41*(INDEX('Ex post LI &amp; Eligibility Stats'!$A:$N,MATCH($A41,'Ex post LI &amp; Eligibility Stats'!$A:$A,0),MATCH('Program MW '!C$28,'Ex post LI &amp; Eligibility Stats'!$A$8:$N$8,0))/1000)</f>
        <v>0</v>
      </c>
      <c r="E41" s="89"/>
      <c r="F41" s="210">
        <f>E41*(INDEX('Ex ante LI &amp; Eligibility Stats'!$A:$M,MATCH('Program MW '!$A41,'Ex ante LI &amp; Eligibility Stats'!$A:$A,0),MATCH('Program MW '!F$28,'Ex ante LI &amp; Eligibility Stats'!$A$8:$M$8,0))/1000)</f>
        <v>0</v>
      </c>
      <c r="G41" s="211">
        <f>E41*(INDEX('Ex post LI &amp; Eligibility Stats'!$A:$N,MATCH($A41,'Ex post LI &amp; Eligibility Stats'!$A:$A,0),MATCH('Program MW '!F$28,'Ex post LI &amp; Eligibility Stats'!$A$8:$N$8,0))/1000)</f>
        <v>0</v>
      </c>
      <c r="H41" s="115"/>
      <c r="I41" s="210">
        <f>H41*(INDEX('Ex ante LI &amp; Eligibility Stats'!$A:$M,MATCH('Program MW '!$A41,'Ex ante LI &amp; Eligibility Stats'!$A:$A,0),MATCH('Program MW '!I$28,'Ex ante LI &amp; Eligibility Stats'!$A$8:$M$8,0))/1000)</f>
        <v>0</v>
      </c>
      <c r="J41" s="211">
        <f>H41*(INDEX('Ex post LI &amp; Eligibility Stats'!$A:$N,MATCH($A41,'Ex post LI &amp; Eligibility Stats'!$A:$A,0),MATCH('Program MW '!I$28,'Ex post LI &amp; Eligibility Stats'!$A$8:$N$8,0))/1000)</f>
        <v>0</v>
      </c>
      <c r="K41" s="89"/>
      <c r="L41" s="210">
        <f>K41*(INDEX('Ex ante LI &amp; Eligibility Stats'!$A:$M,MATCH('Program MW '!$A41,'Ex ante LI &amp; Eligibility Stats'!$A:$A,0),MATCH('Program MW '!L$28,'Ex ante LI &amp; Eligibility Stats'!$A$8:$M$8,0))/1000)</f>
        <v>0</v>
      </c>
      <c r="M41" s="211">
        <f>K41*(INDEX('Ex post LI &amp; Eligibility Stats'!$A:$N,MATCH($A41,'Ex post LI &amp; Eligibility Stats'!$A:$A,0),MATCH('Program MW '!L$28,'Ex post LI &amp; Eligibility Stats'!$A$8:$N$8,0))/1000)</f>
        <v>0</v>
      </c>
      <c r="N41" s="89"/>
      <c r="O41" s="210">
        <f>N41*(INDEX('Ex ante LI &amp; Eligibility Stats'!$A:$M,MATCH('Program MW '!$A41,'Ex ante LI &amp; Eligibility Stats'!$A:$A,0),MATCH('Program MW '!O$28,'Ex ante LI &amp; Eligibility Stats'!$A$8:$M$8,0))/1000)</f>
        <v>0</v>
      </c>
      <c r="P41" s="211">
        <f>N41*(INDEX('Ex post LI &amp; Eligibility Stats'!$A:$N,MATCH($A41,'Ex post LI &amp; Eligibility Stats'!$A:$A,0),MATCH('Program MW '!O$28,'Ex post LI &amp; Eligibility Stats'!$A$8:$N$8,0))/1000)</f>
        <v>0</v>
      </c>
      <c r="Q41" s="89"/>
      <c r="R41" s="210">
        <f>Q41*(INDEX('Ex ante LI &amp; Eligibility Stats'!$A:$M,MATCH('Program MW '!$A41,'Ex ante LI &amp; Eligibility Stats'!$A:$A,0),MATCH('Program MW '!R$28,'Ex ante LI &amp; Eligibility Stats'!$A$8:$M$8,0))/1000)</f>
        <v>0</v>
      </c>
      <c r="S41" s="211">
        <f>Q41*(INDEX('Ex post LI &amp; Eligibility Stats'!$A:$N,MATCH($A41,'Ex post LI &amp; Eligibility Stats'!$A:$A,0),MATCH('Program MW '!R$28,'Ex post LI &amp; Eligibility Stats'!$A$8:$N$8,0))/1000)</f>
        <v>0</v>
      </c>
      <c r="T41" s="4">
        <v>18875</v>
      </c>
      <c r="V41" s="247" t="s">
        <v>67</v>
      </c>
    </row>
    <row r="42" spans="1:26">
      <c r="A42" s="51" t="s">
        <v>25</v>
      </c>
      <c r="B42" s="89"/>
      <c r="C42" s="210">
        <f>B42*(INDEX('Ex ante LI &amp; Eligibility Stats'!$A:$M,MATCH('Program MW '!$A42,'Ex ante LI &amp; Eligibility Stats'!$A:$A,0),MATCH('Program MW '!C$28,'Ex ante LI &amp; Eligibility Stats'!$A$8:$M$8,0))/1000)</f>
        <v>0</v>
      </c>
      <c r="D42" s="211">
        <f>B42*(INDEX('Ex post LI &amp; Eligibility Stats'!$A:$N,MATCH($A42,'Ex post LI &amp; Eligibility Stats'!$A:$A,0),MATCH('Program MW '!C$28,'Ex post LI &amp; Eligibility Stats'!$A$8:$N$8,0))/1000)</f>
        <v>0</v>
      </c>
      <c r="E42" s="89"/>
      <c r="F42" s="210">
        <f>E42*(INDEX('Ex ante LI &amp; Eligibility Stats'!$A:$M,MATCH('Program MW '!$A42,'Ex ante LI &amp; Eligibility Stats'!$A:$A,0),MATCH('Program MW '!F$28,'Ex ante LI &amp; Eligibility Stats'!$A$8:$M$8,0))/1000)</f>
        <v>0</v>
      </c>
      <c r="G42" s="211">
        <f>E42*(INDEX('Ex post LI &amp; Eligibility Stats'!$A:$N,MATCH($A42,'Ex post LI &amp; Eligibility Stats'!$A:$A,0),MATCH('Program MW '!F$28,'Ex post LI &amp; Eligibility Stats'!$A$8:$N$8,0))/1000)</f>
        <v>0</v>
      </c>
      <c r="H42" s="115"/>
      <c r="I42" s="210">
        <f>H42*(INDEX('Ex ante LI &amp; Eligibility Stats'!$A:$M,MATCH('Program MW '!$A42,'Ex ante LI &amp; Eligibility Stats'!$A:$A,0),MATCH('Program MW '!I$28,'Ex ante LI &amp; Eligibility Stats'!$A$8:$M$8,0))/1000)</f>
        <v>0</v>
      </c>
      <c r="J42" s="211">
        <f>H42*(INDEX('Ex post LI &amp; Eligibility Stats'!$A:$N,MATCH($A42,'Ex post LI &amp; Eligibility Stats'!$A:$A,0),MATCH('Program MW '!I$28,'Ex post LI &amp; Eligibility Stats'!$A$8:$N$8,0))/1000)</f>
        <v>0</v>
      </c>
      <c r="K42" s="89"/>
      <c r="L42" s="210">
        <f>K42*(INDEX('Ex ante LI &amp; Eligibility Stats'!$A:$M,MATCH('Program MW '!$A42,'Ex ante LI &amp; Eligibility Stats'!$A:$A,0),MATCH('Program MW '!L$28,'Ex ante LI &amp; Eligibility Stats'!$A$8:$M$8,0))/1000)</f>
        <v>0</v>
      </c>
      <c r="M42" s="211">
        <f>K42*(INDEX('Ex post LI &amp; Eligibility Stats'!$A:$N,MATCH($A42,'Ex post LI &amp; Eligibility Stats'!$A:$A,0),MATCH('Program MW '!L$28,'Ex post LI &amp; Eligibility Stats'!$A$8:$N$8,0))/1000)</f>
        <v>0</v>
      </c>
      <c r="N42" s="89"/>
      <c r="O42" s="210">
        <f>N42*(INDEX('Ex ante LI &amp; Eligibility Stats'!$A:$M,MATCH('Program MW '!$A42,'Ex ante LI &amp; Eligibility Stats'!$A:$A,0),MATCH('Program MW '!O$28,'Ex ante LI &amp; Eligibility Stats'!$A$8:$M$8,0))/1000)</f>
        <v>0</v>
      </c>
      <c r="P42" s="211">
        <f>N42*(INDEX('Ex post LI &amp; Eligibility Stats'!$A:$N,MATCH($A42,'Ex post LI &amp; Eligibility Stats'!$A:$A,0),MATCH('Program MW '!O$28,'Ex post LI &amp; Eligibility Stats'!$A$8:$N$8,0))/1000)</f>
        <v>0</v>
      </c>
      <c r="Q42" s="89"/>
      <c r="R42" s="210">
        <f>Q42*(INDEX('Ex ante LI &amp; Eligibility Stats'!$A:$M,MATCH('Program MW '!$A42,'Ex ante LI &amp; Eligibility Stats'!$A:$A,0),MATCH('Program MW '!R$28,'Ex ante LI &amp; Eligibility Stats'!$A$8:$M$8,0))/1000)</f>
        <v>0</v>
      </c>
      <c r="S42" s="211">
        <f>Q42*(INDEX('Ex post LI &amp; Eligibility Stats'!$A:$N,MATCH($A42,'Ex post LI &amp; Eligibility Stats'!$A:$A,0),MATCH('Program MW '!R$28,'Ex post LI &amp; Eligibility Stats'!$A$8:$N$8,0))/1000)</f>
        <v>0</v>
      </c>
      <c r="T42" s="4">
        <v>18875</v>
      </c>
    </row>
    <row r="43" spans="1:26" s="83" customFormat="1">
      <c r="A43" s="172" t="s">
        <v>55</v>
      </c>
      <c r="B43" s="115">
        <v>105</v>
      </c>
      <c r="C43" s="210">
        <f>B43*(INDEX('Ex ante LI &amp; Eligibility Stats'!$A:$M,MATCH('Program MW '!$A43,'Ex ante LI &amp; Eligibility Stats'!$A:$A,0),MATCH('Program MW '!C$28,'Ex ante LI &amp; Eligibility Stats'!$A$8:$M$8,0))/1000)</f>
        <v>3.0047052651643754E-2</v>
      </c>
      <c r="D43" s="211">
        <f>B43*(INDEX('Ex post LI &amp; Eligibility Stats'!$A:$N,MATCH($A43,'Ex post LI &amp; Eligibility Stats'!$A:$A,0),MATCH('Program MW '!C$28,'Ex post LI &amp; Eligibility Stats'!$A$8:$N$8,0))/1000)</f>
        <v>1.7807780429720876E-2</v>
      </c>
      <c r="E43" s="115">
        <v>107</v>
      </c>
      <c r="F43" s="210">
        <f>E43*(INDEX('Ex ante LI &amp; Eligibility Stats'!$A:$M,MATCH('Program MW '!$A43,'Ex ante LI &amp; Eligibility Stats'!$A:$A,0),MATCH('Program MW '!F$28,'Ex ante LI &amp; Eligibility Stats'!$A$8:$M$8,0))/1000)</f>
        <v>1.81467976719141E-2</v>
      </c>
      <c r="G43" s="211">
        <f>E43*(INDEX('Ex post LI &amp; Eligibility Stats'!$A:$N,MATCH($A43,'Ex post LI &amp; Eligibility Stats'!$A:$A,0),MATCH('Program MW '!F$28,'Ex post LI &amp; Eligibility Stats'!$A$8:$N$8,0))/1000)</f>
        <v>1.8146976247429846E-2</v>
      </c>
      <c r="H43" s="115"/>
      <c r="I43" s="210">
        <f>H43*(INDEX('Ex ante LI &amp; Eligibility Stats'!$A:$M,MATCH('Program MW '!$A43,'Ex ante LI &amp; Eligibility Stats'!$A:$A,0),MATCH('Program MW '!I$28,'Ex ante LI &amp; Eligibility Stats'!$A$8:$M$8,0))/1000)</f>
        <v>0</v>
      </c>
      <c r="J43" s="211">
        <f>H43*(INDEX('Ex post LI &amp; Eligibility Stats'!$A:$N,MATCH($A43,'Ex post LI &amp; Eligibility Stats'!$A:$A,0),MATCH('Program MW '!I$28,'Ex post LI &amp; Eligibility Stats'!$A$8:$N$8,0))/1000)</f>
        <v>0</v>
      </c>
      <c r="K43" s="115"/>
      <c r="L43" s="210">
        <f>K43*(INDEX('Ex ante LI &amp; Eligibility Stats'!$A:$M,MATCH('Program MW '!$A43,'Ex ante LI &amp; Eligibility Stats'!$A:$A,0),MATCH('Program MW '!L$28,'Ex ante LI &amp; Eligibility Stats'!$A$8:$M$8,0))/1000)</f>
        <v>0</v>
      </c>
      <c r="M43" s="211">
        <f>K43*(INDEX('Ex post LI &amp; Eligibility Stats'!$A:$N,MATCH($A43,'Ex post LI &amp; Eligibility Stats'!$A:$A,0),MATCH('Program MW '!L$28,'Ex post LI &amp; Eligibility Stats'!$A$8:$N$8,0))/1000)</f>
        <v>0</v>
      </c>
      <c r="N43" s="115"/>
      <c r="O43" s="210">
        <f>N43*(INDEX('Ex ante LI &amp; Eligibility Stats'!$A:$M,MATCH('Program MW '!$A43,'Ex ante LI &amp; Eligibility Stats'!$A:$A,0),MATCH('Program MW '!O$28,'Ex ante LI &amp; Eligibility Stats'!$A$8:$M$8,0))/1000)</f>
        <v>0</v>
      </c>
      <c r="P43" s="211">
        <f>N43*(INDEX('Ex post LI &amp; Eligibility Stats'!$A:$N,MATCH($A43,'Ex post LI &amp; Eligibility Stats'!$A:$A,0),MATCH('Program MW '!O$28,'Ex post LI &amp; Eligibility Stats'!$A$8:$N$8,0))/1000)</f>
        <v>0</v>
      </c>
      <c r="Q43" s="115"/>
      <c r="R43" s="210">
        <f>Q43*(INDEX('Ex ante LI &amp; Eligibility Stats'!$A:$M,MATCH('Program MW '!$A43,'Ex ante LI &amp; Eligibility Stats'!$A:$A,0),MATCH('Program MW '!R$28,'Ex ante LI &amp; Eligibility Stats'!$A$8:$M$8,0))/1000)</f>
        <v>0</v>
      </c>
      <c r="S43" s="211">
        <f>Q43*(INDEX('Ex post LI &amp; Eligibility Stats'!$A:$N,MATCH($A43,'Ex post LI &amp; Eligibility Stats'!$A:$A,0),MATCH('Program MW '!R$28,'Ex post LI &amp; Eligibility Stats'!$A$8:$N$8,0))/1000)</f>
        <v>0</v>
      </c>
      <c r="T43" s="262"/>
    </row>
    <row r="44" spans="1:26">
      <c r="A44" s="51" t="s">
        <v>26</v>
      </c>
      <c r="B44" s="89">
        <v>47441</v>
      </c>
      <c r="C44" s="210">
        <f>B44*(INDEX('Ex ante LI &amp; Eligibility Stats'!$A:$M,MATCH('Program MW '!$A44,'Ex ante LI &amp; Eligibility Stats'!$A:$A,0),MATCH('Program MW '!C$28,'Ex ante LI &amp; Eligibility Stats'!$A$8:$M$8,0))/1000)</f>
        <v>0.14042934024990605</v>
      </c>
      <c r="D44" s="211">
        <f>B44*(INDEX('Ex post LI &amp; Eligibility Stats'!$A:$N,MATCH($A44,'Ex post LI &amp; Eligibility Stats'!$A:$A,0),MATCH('Program MW '!C$28,'Ex post LI &amp; Eligibility Stats'!$A$8:$N$8,0))/1000)</f>
        <v>0.21870714013493672</v>
      </c>
      <c r="E44" s="89">
        <v>47083</v>
      </c>
      <c r="F44" s="210">
        <f>E44*(INDEX('Ex ante LI &amp; Eligibility Stats'!$A:$M,MATCH('Program MW '!$A44,'Ex ante LI &amp; Eligibility Stats'!$A:$A,0),MATCH('Program MW '!F$28,'Ex ante LI &amp; Eligibility Stats'!$A$8:$M$8,0))/1000)</f>
        <v>0.22306741659152104</v>
      </c>
      <c r="G44" s="211">
        <f>E44*(INDEX('Ex post LI &amp; Eligibility Stats'!$A:$N,MATCH($A44,'Ex post LI &amp; Eligibility Stats'!$A:$A,0),MATCH('Program MW '!F$28,'Ex post LI &amp; Eligibility Stats'!$A$8:$N$8,0))/1000)</f>
        <v>0.21705672896804928</v>
      </c>
      <c r="H44" s="89"/>
      <c r="I44" s="210">
        <f>H44*(INDEX('Ex ante LI &amp; Eligibility Stats'!$A:$M,MATCH('Program MW '!$A44,'Ex ante LI &amp; Eligibility Stats'!$A:$A,0),MATCH('Program MW '!I$28,'Ex ante LI &amp; Eligibility Stats'!$A$8:$M$8,0))/1000)</f>
        <v>0</v>
      </c>
      <c r="J44" s="211">
        <f>H44*(INDEX('Ex post LI &amp; Eligibility Stats'!$A:$N,MATCH($A44,'Ex post LI &amp; Eligibility Stats'!$A:$A,0),MATCH('Program MW '!I$28,'Ex post LI &amp; Eligibility Stats'!$A$8:$N$8,0))/1000)</f>
        <v>0</v>
      </c>
      <c r="K44" s="89"/>
      <c r="L44" s="210">
        <f>K44*(INDEX('Ex ante LI &amp; Eligibility Stats'!$A:$M,MATCH('Program MW '!$A44,'Ex ante LI &amp; Eligibility Stats'!$A:$A,0),MATCH('Program MW '!L$28,'Ex ante LI &amp; Eligibility Stats'!$A$8:$M$8,0))/1000)</f>
        <v>0</v>
      </c>
      <c r="M44" s="211">
        <f>K44*(INDEX('Ex post LI &amp; Eligibility Stats'!$A:$N,MATCH($A44,'Ex post LI &amp; Eligibility Stats'!$A:$A,0),MATCH('Program MW '!L$28,'Ex post LI &amp; Eligibility Stats'!$A$8:$N$8,0))/1000)</f>
        <v>0</v>
      </c>
      <c r="N44" s="89"/>
      <c r="O44" s="210">
        <f>N44*(INDEX('Ex ante LI &amp; Eligibility Stats'!$A:$M,MATCH('Program MW '!$A44,'Ex ante LI &amp; Eligibility Stats'!$A:$A,0),MATCH('Program MW '!O$28,'Ex ante LI &amp; Eligibility Stats'!$A$8:$M$8,0))/1000)</f>
        <v>0</v>
      </c>
      <c r="P44" s="211">
        <f>N44*(INDEX('Ex post LI &amp; Eligibility Stats'!$A:$N,MATCH($A44,'Ex post LI &amp; Eligibility Stats'!$A:$A,0),MATCH('Program MW '!O$28,'Ex post LI &amp; Eligibility Stats'!$A$8:$N$8,0))/1000)</f>
        <v>0</v>
      </c>
      <c r="Q44" s="89"/>
      <c r="R44" s="210">
        <f>Q44*(INDEX('Ex ante LI &amp; Eligibility Stats'!$A:$M,MATCH('Program MW '!$A44,'Ex ante LI &amp; Eligibility Stats'!$A:$A,0),MATCH('Program MW '!R$28,'Ex ante LI &amp; Eligibility Stats'!$A$8:$M$8,0))/1000)</f>
        <v>0</v>
      </c>
      <c r="S44" s="211">
        <f>Q44*(INDEX('Ex post LI &amp; Eligibility Stats'!$A:$N,MATCH($A44,'Ex post LI &amp; Eligibility Stats'!$A:$A,0),MATCH('Program MW '!R$28,'Ex post LI &amp; Eligibility Stats'!$A$8:$N$8,0))/1000)</f>
        <v>0</v>
      </c>
      <c r="T44" s="4"/>
    </row>
    <row r="45" spans="1:26">
      <c r="A45" s="36" t="s">
        <v>27</v>
      </c>
      <c r="B45" s="170">
        <v>12318</v>
      </c>
      <c r="C45" s="210">
        <f>B45*(INDEX('Ex ante LI &amp; Eligibility Stats'!$A:$M,MATCH('Program MW '!$A45,'Ex ante LI &amp; Eligibility Stats'!$A:$A,0),MATCH('Program MW '!C$28,'Ex ante LI &amp; Eligibility Stats'!$A$8:$M$8,0))/1000)</f>
        <v>1.6515534122775035</v>
      </c>
      <c r="D45" s="211">
        <f>B45*(INDEX('Ex post LI &amp; Eligibility Stats'!$A:$N,MATCH($A45,'Ex post LI &amp; Eligibility Stats'!$A:$A,0),MATCH('Program MW '!C$28,'Ex post LI &amp; Eligibility Stats'!$A$8:$N$8,0))/1000)</f>
        <v>0.73660479538594781</v>
      </c>
      <c r="E45" s="170">
        <v>12353</v>
      </c>
      <c r="F45" s="210">
        <f>E45*(INDEX('Ex ante LI &amp; Eligibility Stats'!$A:$M,MATCH('Program MW '!$A45,'Ex ante LI &amp; Eligibility Stats'!$A:$A,0),MATCH('Program MW '!F$28,'Ex ante LI &amp; Eligibility Stats'!$A$8:$M$8,0))/1000)</f>
        <v>1.8718426782000002</v>
      </c>
      <c r="G45" s="211">
        <f>E45*(INDEX('Ex post LI &amp; Eligibility Stats'!$A:$N,MATCH($A45,'Ex post LI &amp; Eligibility Stats'!$A:$A,0),MATCH('Program MW '!F$28,'Ex post LI &amp; Eligibility Stats'!$A$8:$N$8,0))/1000)</f>
        <v>0.73869776241294149</v>
      </c>
      <c r="H45" s="170"/>
      <c r="I45" s="210">
        <f>H45*(INDEX('Ex ante LI &amp; Eligibility Stats'!$A:$M,MATCH('Program MW '!$A45,'Ex ante LI &amp; Eligibility Stats'!$A:$A,0),MATCH('Program MW '!I$28,'Ex ante LI &amp; Eligibility Stats'!$A$8:$M$8,0))/1000)</f>
        <v>0</v>
      </c>
      <c r="J45" s="211">
        <f>H45*(INDEX('Ex post LI &amp; Eligibility Stats'!$A:$N,MATCH($A45,'Ex post LI &amp; Eligibility Stats'!$A:$A,0),MATCH('Program MW '!I$28,'Ex post LI &amp; Eligibility Stats'!$A$8:$N$8,0))/1000)</f>
        <v>0</v>
      </c>
      <c r="K45" s="170"/>
      <c r="L45" s="210">
        <f>K45*(INDEX('Ex ante LI &amp; Eligibility Stats'!$A:$M,MATCH('Program MW '!$A45,'Ex ante LI &amp; Eligibility Stats'!$A:$A,0),MATCH('Program MW '!L$28,'Ex ante LI &amp; Eligibility Stats'!$A$8:$M$8,0))/1000)</f>
        <v>0</v>
      </c>
      <c r="M45" s="211">
        <f>K45*(INDEX('Ex post LI &amp; Eligibility Stats'!$A:$N,MATCH($A45,'Ex post LI &amp; Eligibility Stats'!$A:$A,0),MATCH('Program MW '!L$28,'Ex post LI &amp; Eligibility Stats'!$A$8:$N$8,0))/1000)</f>
        <v>0</v>
      </c>
      <c r="N45" s="170"/>
      <c r="O45" s="210">
        <f>N45*(INDEX('Ex ante LI &amp; Eligibility Stats'!$A:$M,MATCH('Program MW '!$A45,'Ex ante LI &amp; Eligibility Stats'!$A:$A,0),MATCH('Program MW '!O$28,'Ex ante LI &amp; Eligibility Stats'!$A$8:$M$8,0))/1000)</f>
        <v>0</v>
      </c>
      <c r="P45" s="211">
        <f>N45*(INDEX('Ex post LI &amp; Eligibility Stats'!$A:$N,MATCH($A45,'Ex post LI &amp; Eligibility Stats'!$A:$A,0),MATCH('Program MW '!O$28,'Ex post LI &amp; Eligibility Stats'!$A$8:$N$8,0))/1000)</f>
        <v>0</v>
      </c>
      <c r="Q45" s="170"/>
      <c r="R45" s="210">
        <f>Q45*(INDEX('Ex ante LI &amp; Eligibility Stats'!$A:$M,MATCH('Program MW '!$A45,'Ex ante LI &amp; Eligibility Stats'!$A:$A,0),MATCH('Program MW '!R$28,'Ex ante LI &amp; Eligibility Stats'!$A$8:$M$8,0))/1000)</f>
        <v>0</v>
      </c>
      <c r="S45" s="211">
        <f>Q45*(INDEX('Ex post LI &amp; Eligibility Stats'!$A:$N,MATCH($A45,'Ex post LI &amp; Eligibility Stats'!$A:$A,0),MATCH('Program MW '!R$28,'Ex post LI &amp; Eligibility Stats'!$A$8:$N$8,0))/1000)</f>
        <v>0</v>
      </c>
      <c r="T45" s="4"/>
    </row>
    <row r="46" spans="1:26" ht="13.5" thickBot="1">
      <c r="A46" s="99" t="s">
        <v>56</v>
      </c>
      <c r="B46" s="3">
        <f t="shared" ref="B46:S46" si="11">SUM(B34:B45)</f>
        <v>93784</v>
      </c>
      <c r="C46" s="157">
        <f t="shared" si="11"/>
        <v>8.7267019181427266</v>
      </c>
      <c r="D46" s="138">
        <f t="shared" si="11"/>
        <v>9.2092547991630429</v>
      </c>
      <c r="E46" s="3">
        <f t="shared" si="11"/>
        <v>94162</v>
      </c>
      <c r="F46" s="157">
        <f t="shared" si="11"/>
        <v>10.897678540492064</v>
      </c>
      <c r="G46" s="138">
        <f t="shared" si="11"/>
        <v>9.5330339097959769</v>
      </c>
      <c r="H46" s="3">
        <f t="shared" si="11"/>
        <v>0</v>
      </c>
      <c r="I46" s="157">
        <f t="shared" si="11"/>
        <v>0</v>
      </c>
      <c r="J46" s="138">
        <f t="shared" si="11"/>
        <v>0</v>
      </c>
      <c r="K46" s="3">
        <f t="shared" si="11"/>
        <v>0</v>
      </c>
      <c r="L46" s="157">
        <f t="shared" si="11"/>
        <v>0</v>
      </c>
      <c r="M46" s="138">
        <f t="shared" si="11"/>
        <v>0</v>
      </c>
      <c r="N46" s="3">
        <f t="shared" si="11"/>
        <v>0</v>
      </c>
      <c r="O46" s="157">
        <f t="shared" si="11"/>
        <v>0</v>
      </c>
      <c r="P46" s="138">
        <f t="shared" si="11"/>
        <v>0</v>
      </c>
      <c r="Q46" s="3">
        <f t="shared" si="11"/>
        <v>0</v>
      </c>
      <c r="R46" s="157">
        <f t="shared" si="11"/>
        <v>0</v>
      </c>
      <c r="S46" s="138">
        <f t="shared" si="11"/>
        <v>0</v>
      </c>
      <c r="T46" s="8"/>
    </row>
    <row r="47" spans="1:26" ht="14.25" thickTop="1" thickBot="1">
      <c r="A47" s="102" t="s">
        <v>57</v>
      </c>
      <c r="B47" s="2">
        <f t="shared" ref="B47:S47" si="12">+B32+B46</f>
        <v>93784</v>
      </c>
      <c r="C47" s="158">
        <f t="shared" si="12"/>
        <v>8.7267019181427266</v>
      </c>
      <c r="D47" s="137">
        <f t="shared" si="12"/>
        <v>9.2092547991630429</v>
      </c>
      <c r="E47" s="2">
        <f t="shared" si="12"/>
        <v>94162</v>
      </c>
      <c r="F47" s="158">
        <f t="shared" si="12"/>
        <v>10.897678540492064</v>
      </c>
      <c r="G47" s="137">
        <f t="shared" si="12"/>
        <v>9.5330339097959769</v>
      </c>
      <c r="H47" s="2">
        <f t="shared" si="12"/>
        <v>0</v>
      </c>
      <c r="I47" s="158">
        <f t="shared" si="12"/>
        <v>0</v>
      </c>
      <c r="J47" s="137">
        <f t="shared" si="12"/>
        <v>0</v>
      </c>
      <c r="K47" s="2">
        <f t="shared" si="12"/>
        <v>0</v>
      </c>
      <c r="L47" s="158">
        <f t="shared" si="12"/>
        <v>0</v>
      </c>
      <c r="M47" s="137">
        <f t="shared" si="12"/>
        <v>0</v>
      </c>
      <c r="N47" s="2">
        <f t="shared" si="12"/>
        <v>0</v>
      </c>
      <c r="O47" s="158">
        <f t="shared" si="12"/>
        <v>0</v>
      </c>
      <c r="P47" s="137">
        <f t="shared" si="12"/>
        <v>0</v>
      </c>
      <c r="Q47" s="2">
        <f t="shared" si="12"/>
        <v>0</v>
      </c>
      <c r="R47" s="158">
        <f t="shared" si="12"/>
        <v>0</v>
      </c>
      <c r="S47" s="137">
        <f t="shared" si="12"/>
        <v>0</v>
      </c>
      <c r="T47" s="11"/>
      <c r="U47" s="6"/>
      <c r="V47" s="11"/>
      <c r="W47" s="11"/>
      <c r="X47" s="6"/>
      <c r="Y47" s="11"/>
      <c r="Z47" s="11"/>
    </row>
    <row r="48" spans="1:26" ht="13.5" thickTop="1">
      <c r="A48" s="77"/>
      <c r="B48" s="11"/>
      <c r="C48" s="11"/>
      <c r="D48" s="6"/>
      <c r="E48" s="11"/>
      <c r="F48" s="11"/>
      <c r="G48" s="11"/>
      <c r="H48" s="6"/>
      <c r="I48" s="11"/>
      <c r="J48" s="11"/>
      <c r="K48" s="11"/>
      <c r="L48" s="11"/>
      <c r="M48" s="6"/>
      <c r="N48" s="11"/>
      <c r="O48" s="11"/>
      <c r="P48" s="11"/>
      <c r="Q48" s="6"/>
      <c r="R48" s="11"/>
      <c r="S48" s="11"/>
      <c r="T48" s="11"/>
      <c r="U48" s="6"/>
      <c r="V48" s="6"/>
      <c r="W48" s="11"/>
      <c r="X48" s="6"/>
      <c r="Y48" s="6"/>
      <c r="Z48" s="11"/>
    </row>
    <row r="49" spans="1:31" ht="15">
      <c r="A49" s="148" t="s">
        <v>68</v>
      </c>
      <c r="B49" s="103"/>
      <c r="C49" s="103"/>
      <c r="D49" s="103"/>
      <c r="E49" s="245"/>
      <c r="F49" s="104"/>
      <c r="G49" s="103"/>
      <c r="H49" s="104"/>
      <c r="I49" s="103"/>
      <c r="J49" s="103"/>
      <c r="K49" s="103"/>
      <c r="L49" s="103"/>
      <c r="M49" s="103"/>
      <c r="N49" s="103"/>
      <c r="O49" s="103"/>
      <c r="P49" s="105"/>
      <c r="Q49" s="103"/>
      <c r="R49" s="103"/>
      <c r="S49" s="103"/>
      <c r="T49" s="12"/>
      <c r="U49" s="12"/>
      <c r="V49" s="12"/>
      <c r="W49" s="12"/>
      <c r="X49" s="12"/>
      <c r="Y49" s="12"/>
      <c r="Z49" s="12"/>
    </row>
    <row r="50" spans="1:31" ht="28.5" customHeight="1">
      <c r="A50" s="698" t="s">
        <v>69</v>
      </c>
      <c r="B50" s="698"/>
      <c r="C50" s="698"/>
      <c r="D50" s="698"/>
      <c r="E50" s="698"/>
      <c r="F50" s="698"/>
      <c r="G50" s="698"/>
      <c r="H50" s="698"/>
      <c r="I50" s="698"/>
      <c r="J50" s="698"/>
      <c r="K50" s="698"/>
      <c r="L50" s="698"/>
      <c r="M50" s="698"/>
      <c r="N50" s="698"/>
      <c r="O50" s="698"/>
    </row>
    <row r="51" spans="1:31" ht="16.350000000000001" customHeight="1">
      <c r="A51" s="698" t="s">
        <v>70</v>
      </c>
      <c r="B51" s="698"/>
      <c r="C51" s="698"/>
      <c r="D51" s="698"/>
      <c r="E51" s="698"/>
      <c r="F51" s="698"/>
      <c r="G51" s="698"/>
      <c r="H51" s="698"/>
      <c r="I51" s="698"/>
      <c r="J51" s="698"/>
      <c r="K51" s="698"/>
      <c r="L51" s="698"/>
      <c r="M51" s="698"/>
      <c r="N51" s="698"/>
      <c r="O51" s="698"/>
    </row>
    <row r="52" spans="1:31" ht="31.5" customHeight="1">
      <c r="A52" s="698" t="s">
        <v>71</v>
      </c>
      <c r="B52" s="698"/>
      <c r="C52" s="698"/>
      <c r="D52" s="698"/>
      <c r="E52" s="698"/>
      <c r="F52" s="698"/>
      <c r="G52" s="698"/>
      <c r="H52" s="698"/>
      <c r="I52" s="698"/>
      <c r="J52" s="698"/>
      <c r="K52" s="698"/>
      <c r="L52" s="698"/>
      <c r="M52" s="698"/>
      <c r="N52" s="698"/>
      <c r="O52" s="698"/>
      <c r="P52" s="12"/>
      <c r="Q52" s="12"/>
      <c r="R52" s="12"/>
      <c r="S52" s="12"/>
      <c r="T52" s="77"/>
      <c r="U52" s="77"/>
      <c r="V52" s="77"/>
      <c r="W52" s="77"/>
      <c r="X52" s="77"/>
      <c r="Y52" s="77"/>
      <c r="Z52" s="77"/>
    </row>
    <row r="53" spans="1:31" ht="30.6" customHeight="1">
      <c r="A53" s="699" t="s">
        <v>72</v>
      </c>
      <c r="B53" s="699"/>
      <c r="C53" s="699"/>
      <c r="D53" s="699"/>
      <c r="E53" s="699"/>
      <c r="F53" s="699"/>
      <c r="G53" s="699"/>
      <c r="H53" s="699"/>
      <c r="I53" s="699"/>
      <c r="J53" s="699"/>
      <c r="K53" s="699"/>
      <c r="L53" s="699"/>
      <c r="M53" s="356"/>
      <c r="N53" s="356"/>
      <c r="O53" s="356"/>
      <c r="P53" s="12"/>
      <c r="Q53" s="12"/>
      <c r="R53" s="12"/>
      <c r="S53" s="12"/>
      <c r="T53" s="77"/>
      <c r="U53" s="77"/>
      <c r="V53" s="77"/>
      <c r="W53" s="77"/>
      <c r="X53" s="77"/>
      <c r="Y53" s="77"/>
      <c r="Z53" s="77"/>
    </row>
    <row r="54" spans="1:31" ht="14.25">
      <c r="A54" s="620" t="s">
        <v>73</v>
      </c>
      <c r="B54" s="621"/>
      <c r="C54" s="621"/>
      <c r="D54" s="621"/>
      <c r="E54" s="621"/>
      <c r="F54" s="621"/>
      <c r="G54" s="621"/>
      <c r="H54" s="621"/>
      <c r="I54" s="621"/>
      <c r="J54" s="621"/>
      <c r="K54" s="621"/>
      <c r="L54" s="621"/>
      <c r="M54" s="356"/>
      <c r="N54" s="356"/>
      <c r="O54" s="356"/>
      <c r="P54" s="12"/>
      <c r="Q54" s="12"/>
      <c r="R54" s="12"/>
      <c r="S54" s="12"/>
      <c r="T54" s="77"/>
      <c r="U54" s="77"/>
      <c r="V54" s="77"/>
      <c r="W54" s="77"/>
      <c r="X54" s="77"/>
      <c r="Y54" s="77"/>
      <c r="Z54" s="77"/>
    </row>
    <row r="55" spans="1:31" s="83" customFormat="1" ht="18" customHeight="1">
      <c r="A55" s="698" t="s">
        <v>74</v>
      </c>
      <c r="B55" s="698"/>
      <c r="C55" s="698"/>
      <c r="D55" s="698"/>
      <c r="E55" s="698"/>
      <c r="F55" s="698"/>
      <c r="G55" s="698"/>
      <c r="H55" s="698"/>
      <c r="I55" s="698"/>
      <c r="J55" s="698"/>
      <c r="K55" s="698"/>
      <c r="L55" s="698"/>
      <c r="M55" s="698"/>
      <c r="N55" s="698"/>
      <c r="O55" s="698"/>
      <c r="P55" s="244"/>
      <c r="Q55" s="244"/>
      <c r="R55" s="244"/>
      <c r="S55" s="244"/>
      <c r="T55" s="112"/>
      <c r="U55" s="112"/>
      <c r="V55" s="112"/>
      <c r="W55" s="112"/>
      <c r="X55" s="112"/>
      <c r="Y55" s="112"/>
      <c r="Z55" s="112"/>
    </row>
    <row r="56" spans="1:31" s="83" customFormat="1" ht="18" customHeight="1">
      <c r="A56" s="698" t="s">
        <v>75</v>
      </c>
      <c r="B56" s="698"/>
      <c r="C56" s="698"/>
      <c r="D56" s="698"/>
      <c r="E56" s="698"/>
      <c r="F56" s="698"/>
      <c r="G56" s="698"/>
      <c r="H56" s="698"/>
      <c r="I56" s="698"/>
      <c r="J56" s="698"/>
      <c r="K56" s="698"/>
      <c r="L56" s="698"/>
      <c r="M56" s="698"/>
      <c r="N56" s="698"/>
      <c r="O56" s="698"/>
      <c r="P56" s="244"/>
      <c r="Q56" s="244"/>
      <c r="R56" s="244"/>
      <c r="S56" s="244"/>
      <c r="T56" s="112"/>
      <c r="U56" s="112"/>
      <c r="V56" s="112"/>
      <c r="W56" s="112"/>
      <c r="X56" s="112"/>
      <c r="Y56" s="112"/>
      <c r="Z56" s="112"/>
    </row>
    <row r="57" spans="1:31" s="83" customFormat="1" ht="14.1" customHeight="1">
      <c r="A57" s="698" t="s">
        <v>76</v>
      </c>
      <c r="B57" s="698"/>
      <c r="C57" s="698"/>
      <c r="D57" s="698"/>
      <c r="E57" s="698"/>
      <c r="F57" s="698"/>
      <c r="G57" s="698"/>
      <c r="H57" s="698"/>
      <c r="I57" s="698"/>
      <c r="J57" s="698"/>
      <c r="K57" s="698"/>
      <c r="L57" s="698"/>
      <c r="M57" s="698"/>
      <c r="N57" s="698"/>
      <c r="O57" s="356"/>
      <c r="P57" s="244"/>
      <c r="Q57" s="244"/>
      <c r="R57" s="244"/>
      <c r="S57" s="244"/>
      <c r="T57" s="112"/>
      <c r="U57" s="112"/>
      <c r="V57" s="112"/>
      <c r="W57" s="112"/>
      <c r="X57" s="112"/>
      <c r="Y57" s="112"/>
      <c r="Z57" s="112"/>
    </row>
    <row r="58" spans="1:31" ht="15.75" customHeight="1">
      <c r="A58" s="303" t="s">
        <v>77</v>
      </c>
      <c r="B58" s="358"/>
      <c r="C58" s="358"/>
      <c r="D58" s="358"/>
      <c r="E58" s="358"/>
      <c r="F58" s="358"/>
      <c r="G58" s="358"/>
      <c r="H58" s="358"/>
      <c r="I58" s="358"/>
      <c r="J58" s="358"/>
      <c r="K58" s="358"/>
      <c r="L58" s="358"/>
      <c r="M58" s="358"/>
      <c r="N58" s="358"/>
      <c r="O58" s="359"/>
    </row>
    <row r="59" spans="1:31" ht="14.25">
      <c r="A59" s="303" t="s">
        <v>78</v>
      </c>
      <c r="B59" s="358"/>
      <c r="C59" s="358"/>
      <c r="D59" s="358"/>
      <c r="E59" s="358"/>
      <c r="F59" s="358"/>
      <c r="G59" s="358"/>
      <c r="H59" s="358"/>
      <c r="I59" s="358"/>
      <c r="J59" s="358"/>
      <c r="K59" s="358"/>
      <c r="L59" s="358"/>
      <c r="M59" s="358"/>
      <c r="N59" s="358"/>
      <c r="O59" s="359"/>
    </row>
    <row r="60" spans="1:31" ht="14.25">
      <c r="A60" s="357" t="s">
        <v>79</v>
      </c>
      <c r="B60" s="358"/>
      <c r="C60" s="358"/>
      <c r="D60" s="358"/>
      <c r="E60" s="358"/>
      <c r="F60" s="358"/>
      <c r="G60" s="358"/>
      <c r="H60" s="358"/>
      <c r="I60" s="358"/>
      <c r="J60" s="358"/>
      <c r="K60" s="358"/>
      <c r="L60" s="358"/>
      <c r="M60" s="358"/>
      <c r="N60" s="358"/>
      <c r="O60" s="359"/>
    </row>
    <row r="61" spans="1:31" s="622" customFormat="1" ht="14.25">
      <c r="A61" s="388" t="s">
        <v>80</v>
      </c>
    </row>
    <row r="62" spans="1:31" s="83" customFormat="1" ht="14.25">
      <c r="A62" s="388" t="s">
        <v>81</v>
      </c>
    </row>
    <row r="63" spans="1:31" ht="14.25">
      <c r="A63" s="649" t="s">
        <v>82</v>
      </c>
      <c r="B63" s="358"/>
      <c r="C63" s="358"/>
      <c r="D63" s="358"/>
      <c r="E63" s="358"/>
      <c r="F63" s="358"/>
      <c r="G63" s="358"/>
      <c r="H63" s="358"/>
      <c r="I63" s="358"/>
      <c r="J63" s="358"/>
      <c r="K63" s="358"/>
      <c r="L63" s="358"/>
      <c r="M63" s="358"/>
      <c r="N63" s="358"/>
      <c r="O63" s="359"/>
      <c r="P63" s="387"/>
      <c r="Q63" s="387"/>
      <c r="R63" s="387"/>
      <c r="S63" s="387"/>
      <c r="T63" s="387"/>
      <c r="U63" s="387"/>
      <c r="V63" s="387"/>
      <c r="W63" s="387"/>
      <c r="X63" s="387"/>
      <c r="Y63" s="387"/>
      <c r="Z63" s="387"/>
      <c r="AA63" s="387"/>
      <c r="AB63" s="387"/>
      <c r="AC63" s="387"/>
      <c r="AD63" s="387"/>
      <c r="AE63" s="387"/>
    </row>
    <row r="64" spans="1:31" ht="14.25">
      <c r="A64" s="648" t="s">
        <v>83</v>
      </c>
      <c r="B64" s="358"/>
      <c r="C64" s="358"/>
      <c r="D64" s="358"/>
      <c r="E64" s="358"/>
      <c r="F64" s="358"/>
      <c r="G64" s="358"/>
      <c r="H64" s="358"/>
      <c r="I64" s="358"/>
      <c r="J64" s="358"/>
      <c r="K64" s="358"/>
      <c r="L64" s="358"/>
      <c r="M64" s="358"/>
      <c r="N64" s="358"/>
      <c r="O64" s="359"/>
      <c r="P64" s="387"/>
      <c r="Q64" s="387"/>
      <c r="R64" s="387"/>
      <c r="S64" s="387"/>
      <c r="T64" s="387"/>
      <c r="U64" s="387"/>
      <c r="V64" s="387"/>
      <c r="W64" s="387"/>
      <c r="X64" s="387"/>
      <c r="Y64" s="387"/>
      <c r="Z64" s="387"/>
      <c r="AA64" s="387"/>
      <c r="AB64" s="387"/>
      <c r="AC64" s="387"/>
      <c r="AD64" s="387"/>
      <c r="AE64" s="387"/>
    </row>
    <row r="65" spans="1:1" ht="15">
      <c r="A65" s="139" t="s">
        <v>84</v>
      </c>
    </row>
  </sheetData>
  <mergeCells count="7">
    <mergeCell ref="A50:O50"/>
    <mergeCell ref="A52:O52"/>
    <mergeCell ref="A55:O55"/>
    <mergeCell ref="A56:O56"/>
    <mergeCell ref="A57:N57"/>
    <mergeCell ref="A53:L53"/>
    <mergeCell ref="A51:O51"/>
  </mergeCells>
  <phoneticPr fontId="0" type="noConversion"/>
  <printOptions horizontalCentered="1"/>
  <pageMargins left="0" right="0" top="0.3" bottom="0.17" header="0.3" footer="0.15"/>
  <pageSetup paperSize="5" scale="51"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4"/>
  <sheetViews>
    <sheetView topLeftCell="A16" zoomScaleNormal="100" zoomScaleSheetLayoutView="100" workbookViewId="0">
      <selection activeCell="A17" sqref="A17"/>
    </sheetView>
  </sheetViews>
  <sheetFormatPr defaultColWidth="9.28515625" defaultRowHeight="12.75"/>
  <cols>
    <col min="1" max="1" width="33.5703125" customWidth="1"/>
    <col min="2" max="2" width="9" customWidth="1"/>
    <col min="3" max="3" width="10.285156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84" customWidth="1"/>
    <col min="15" max="15" width="149.5703125" customWidth="1"/>
  </cols>
  <sheetData>
    <row r="2" spans="1:16">
      <c r="A2" s="33"/>
      <c r="H2" s="79" t="s">
        <v>39</v>
      </c>
      <c r="N2" s="223"/>
    </row>
    <row r="3" spans="1:16">
      <c r="E3" s="224"/>
      <c r="H3" s="82">
        <f>'Program MW '!H3</f>
        <v>44774</v>
      </c>
      <c r="N3" s="223"/>
    </row>
    <row r="4" spans="1:16" ht="12.75" customHeight="1">
      <c r="E4" s="81"/>
      <c r="F4" s="81"/>
      <c r="G4" s="81"/>
      <c r="I4" s="81"/>
      <c r="N4" s="223"/>
    </row>
    <row r="5" spans="1:16">
      <c r="B5" s="81"/>
      <c r="C5" s="81"/>
      <c r="D5" s="81"/>
      <c r="F5" s="80"/>
      <c r="N5" s="223"/>
      <c r="O5" s="35"/>
    </row>
    <row r="6" spans="1:16">
      <c r="F6" s="80"/>
      <c r="N6" s="223"/>
    </row>
    <row r="7" spans="1:16" ht="13.5" customHeight="1">
      <c r="A7" s="700" t="s">
        <v>85</v>
      </c>
      <c r="B7" s="701"/>
      <c r="C7" s="701"/>
      <c r="D7" s="701"/>
      <c r="E7" s="701"/>
      <c r="F7" s="701"/>
      <c r="G7" s="701"/>
      <c r="H7" s="701"/>
      <c r="I7" s="701"/>
      <c r="J7" s="701"/>
      <c r="K7" s="701"/>
      <c r="L7" s="701"/>
      <c r="M7" s="701"/>
      <c r="N7" s="702"/>
      <c r="O7" s="419"/>
    </row>
    <row r="8" spans="1:16" ht="38.25" customHeight="1">
      <c r="A8" s="34" t="s">
        <v>1</v>
      </c>
      <c r="B8" s="396" t="s">
        <v>41</v>
      </c>
      <c r="C8" s="396" t="s">
        <v>42</v>
      </c>
      <c r="D8" s="396" t="s">
        <v>43</v>
      </c>
      <c r="E8" s="396" t="s">
        <v>44</v>
      </c>
      <c r="F8" s="396" t="s">
        <v>31</v>
      </c>
      <c r="G8" s="396" t="s">
        <v>45</v>
      </c>
      <c r="H8" s="396" t="s">
        <v>58</v>
      </c>
      <c r="I8" s="396" t="s">
        <v>59</v>
      </c>
      <c r="J8" s="396" t="s">
        <v>60</v>
      </c>
      <c r="K8" s="396" t="s">
        <v>61</v>
      </c>
      <c r="L8" s="396" t="s">
        <v>62</v>
      </c>
      <c r="M8" s="396" t="s">
        <v>63</v>
      </c>
      <c r="N8" s="266" t="s">
        <v>86</v>
      </c>
      <c r="O8" s="173" t="s">
        <v>87</v>
      </c>
      <c r="P8" s="513"/>
    </row>
    <row r="9" spans="1:16" ht="75.75" customHeight="1">
      <c r="A9" s="556" t="s">
        <v>8</v>
      </c>
      <c r="B9" s="420">
        <v>147.93927001953125</v>
      </c>
      <c r="C9" s="420">
        <v>123.35836029052734</v>
      </c>
      <c r="D9" s="420">
        <v>154.17617797851563</v>
      </c>
      <c r="E9" s="420">
        <v>55.070720672607422</v>
      </c>
      <c r="F9" s="420">
        <v>44.945674896240234</v>
      </c>
      <c r="G9" s="420">
        <v>86.176727294921875</v>
      </c>
      <c r="H9" s="420">
        <v>66.918624877929688</v>
      </c>
      <c r="I9" s="420">
        <v>73.110435485839844</v>
      </c>
      <c r="J9" s="420">
        <v>137.6864013671875</v>
      </c>
      <c r="K9" s="420">
        <v>56.518604278564453</v>
      </c>
      <c r="L9" s="420">
        <v>52.194610595703125</v>
      </c>
      <c r="M9" s="420">
        <v>30.662746429443359</v>
      </c>
      <c r="N9" s="421">
        <v>5326</v>
      </c>
      <c r="O9" s="516" t="s">
        <v>88</v>
      </c>
      <c r="P9" s="515"/>
    </row>
    <row r="10" spans="1:16" ht="75.75" customHeight="1">
      <c r="A10" s="267" t="s">
        <v>11</v>
      </c>
      <c r="B10" s="268">
        <v>0.14000000000000001</v>
      </c>
      <c r="C10" s="268">
        <v>0.14000000000000001</v>
      </c>
      <c r="D10" s="420">
        <v>0</v>
      </c>
      <c r="E10" s="420">
        <v>0.38991538564497402</v>
      </c>
      <c r="F10" s="420">
        <v>0.41811050355438617</v>
      </c>
      <c r="G10" s="420">
        <v>0.42521212892151972</v>
      </c>
      <c r="H10" s="420">
        <v>0.51991455522654306</v>
      </c>
      <c r="I10" s="420">
        <v>0.57705294081645142</v>
      </c>
      <c r="J10" s="420">
        <v>0.6066682290103359</v>
      </c>
      <c r="K10" s="420">
        <v>0.48431345310244256</v>
      </c>
      <c r="L10" s="420">
        <v>0.36222570466223036</v>
      </c>
      <c r="M10" s="420">
        <v>0.30601781535332351</v>
      </c>
      <c r="N10" s="269">
        <v>24298</v>
      </c>
      <c r="O10" s="516" t="s">
        <v>89</v>
      </c>
    </row>
    <row r="11" spans="1:16" ht="75.75" customHeight="1">
      <c r="A11" s="267" t="s">
        <v>17</v>
      </c>
      <c r="B11" s="268">
        <v>1.1249953786318656E-5</v>
      </c>
      <c r="C11" s="268">
        <v>2.6053535293613095E-6</v>
      </c>
      <c r="D11" s="420">
        <v>0</v>
      </c>
      <c r="E11" s="420">
        <v>4.1989516466856003E-2</v>
      </c>
      <c r="F11" s="420">
        <v>7.6999343931674957E-2</v>
      </c>
      <c r="G11" s="420">
        <v>5.1543582230806351E-2</v>
      </c>
      <c r="H11" s="420">
        <v>0.14337834715843201</v>
      </c>
      <c r="I11" s="420">
        <v>0.18168103694915771</v>
      </c>
      <c r="J11" s="420">
        <v>0.22450755536556244</v>
      </c>
      <c r="K11" s="420">
        <v>0.13855895400047302</v>
      </c>
      <c r="L11" s="420">
        <v>1.2566117569804192E-2</v>
      </c>
      <c r="M11" s="420">
        <v>0</v>
      </c>
      <c r="N11" s="270">
        <v>590220</v>
      </c>
      <c r="O11" s="516" t="s">
        <v>90</v>
      </c>
    </row>
    <row r="12" spans="1:16" ht="75.75" customHeight="1">
      <c r="A12" s="267" t="s">
        <v>20</v>
      </c>
      <c r="B12" s="268">
        <v>3.6358251236379147E-4</v>
      </c>
      <c r="C12" s="268">
        <v>8.4200954006519169E-5</v>
      </c>
      <c r="D12" s="420">
        <v>0</v>
      </c>
      <c r="E12" s="420">
        <v>0.30362069606781006</v>
      </c>
      <c r="F12" s="420">
        <v>0.4371458888053894</v>
      </c>
      <c r="G12" s="420">
        <v>0.31115424633026123</v>
      </c>
      <c r="H12" s="420">
        <v>0.76091676950454712</v>
      </c>
      <c r="I12" s="420">
        <v>0.92230910062789917</v>
      </c>
      <c r="J12" s="420">
        <v>0.65934598445892334</v>
      </c>
      <c r="K12" s="420">
        <v>0.64265495538711548</v>
      </c>
      <c r="L12" s="420">
        <v>8.2334868609905243E-2</v>
      </c>
      <c r="M12" s="420">
        <v>0</v>
      </c>
      <c r="N12" s="270">
        <v>133226</v>
      </c>
      <c r="O12" s="516" t="s">
        <v>91</v>
      </c>
    </row>
    <row r="13" spans="1:16" ht="75.75" customHeight="1">
      <c r="A13" s="267" t="s">
        <v>21</v>
      </c>
      <c r="B13" s="271">
        <v>0</v>
      </c>
      <c r="C13" s="271">
        <v>0</v>
      </c>
      <c r="D13" s="420">
        <v>0</v>
      </c>
      <c r="E13" s="420">
        <v>0</v>
      </c>
      <c r="F13" s="420">
        <v>2.3571700000000001E-2</v>
      </c>
      <c r="G13" s="420">
        <v>0</v>
      </c>
      <c r="H13" s="420">
        <v>0.1460436</v>
      </c>
      <c r="I13" s="420">
        <v>0.2266089</v>
      </c>
      <c r="J13" s="420">
        <v>0.28247260000000002</v>
      </c>
      <c r="K13" s="420">
        <v>0.14559130000000001</v>
      </c>
      <c r="L13" s="420">
        <v>0</v>
      </c>
      <c r="M13" s="420">
        <v>0</v>
      </c>
      <c r="N13" s="270">
        <v>590220</v>
      </c>
      <c r="O13" s="516" t="s">
        <v>92</v>
      </c>
    </row>
    <row r="14" spans="1:16" ht="75.75" customHeight="1">
      <c r="A14" s="267" t="s">
        <v>23</v>
      </c>
      <c r="B14" s="271">
        <v>0</v>
      </c>
      <c r="C14" s="271">
        <v>0</v>
      </c>
      <c r="D14" s="420">
        <v>0</v>
      </c>
      <c r="E14" s="420">
        <v>5.5709099999999998E-2</v>
      </c>
      <c r="F14" s="420">
        <v>8.0027299999999996E-2</v>
      </c>
      <c r="G14" s="420">
        <v>6.1221400000000002E-2</v>
      </c>
      <c r="H14" s="420">
        <v>0.1270281</v>
      </c>
      <c r="I14" s="420">
        <v>0.15541720000000001</v>
      </c>
      <c r="J14" s="420">
        <v>0.18742929999999999</v>
      </c>
      <c r="K14" s="420">
        <v>0.12562780000000001</v>
      </c>
      <c r="L14" s="420">
        <v>0</v>
      </c>
      <c r="M14" s="420">
        <v>0</v>
      </c>
      <c r="N14" s="270">
        <v>133226</v>
      </c>
      <c r="O14" s="516" t="s">
        <v>93</v>
      </c>
    </row>
    <row r="15" spans="1:16" ht="75.75" customHeight="1">
      <c r="A15" s="267" t="s">
        <v>24</v>
      </c>
      <c r="B15" s="271">
        <v>0</v>
      </c>
      <c r="C15" s="271">
        <v>0</v>
      </c>
      <c r="D15" s="420">
        <v>0</v>
      </c>
      <c r="E15" s="420">
        <v>0</v>
      </c>
      <c r="F15" s="420">
        <v>22.032409999999999</v>
      </c>
      <c r="G15" s="420">
        <v>22.032409999999999</v>
      </c>
      <c r="H15" s="420">
        <v>22.032409999999999</v>
      </c>
      <c r="I15" s="420">
        <v>22.032409999999999</v>
      </c>
      <c r="J15" s="420">
        <v>22.032409999999999</v>
      </c>
      <c r="K15" s="420">
        <v>22.032409999999999</v>
      </c>
      <c r="L15" s="420">
        <v>0</v>
      </c>
      <c r="M15" s="420">
        <v>0</v>
      </c>
      <c r="N15" s="269">
        <v>78368</v>
      </c>
      <c r="O15" s="516" t="s">
        <v>94</v>
      </c>
    </row>
    <row r="16" spans="1:16" ht="75.75" customHeight="1">
      <c r="A16" s="267" t="s">
        <v>25</v>
      </c>
      <c r="B16" s="271">
        <v>0</v>
      </c>
      <c r="C16" s="271">
        <v>0</v>
      </c>
      <c r="D16" s="420">
        <v>0</v>
      </c>
      <c r="E16" s="420">
        <v>0</v>
      </c>
      <c r="F16" s="420">
        <v>16.929390000000001</v>
      </c>
      <c r="G16" s="420">
        <v>16.929390000000001</v>
      </c>
      <c r="H16" s="420">
        <v>16.929390000000001</v>
      </c>
      <c r="I16" s="420">
        <v>16.929390000000001</v>
      </c>
      <c r="J16" s="420">
        <v>16.929390000000001</v>
      </c>
      <c r="K16" s="420">
        <v>16.929390000000001</v>
      </c>
      <c r="L16" s="420">
        <v>0</v>
      </c>
      <c r="M16" s="420">
        <v>0</v>
      </c>
      <c r="N16" s="269">
        <v>78368</v>
      </c>
      <c r="O16" s="516" t="s">
        <v>94</v>
      </c>
    </row>
    <row r="17" spans="1:15" ht="75.75" customHeight="1">
      <c r="A17" s="267" t="s">
        <v>27</v>
      </c>
      <c r="B17" s="268">
        <v>3.8699023425579071E-2</v>
      </c>
      <c r="C17" s="268">
        <v>3.4362420439720154E-2</v>
      </c>
      <c r="D17" s="420">
        <v>4.2291874821189825E-2</v>
      </c>
      <c r="E17" s="420">
        <v>3.150842842596948E-2</v>
      </c>
      <c r="F17" s="420">
        <v>3.2351925607220965E-2</v>
      </c>
      <c r="G17" s="420">
        <v>0.10737045859999086</v>
      </c>
      <c r="H17" s="420">
        <v>0.13407642574098907</v>
      </c>
      <c r="I17" s="420">
        <v>0.15152940000000001</v>
      </c>
      <c r="J17" s="420">
        <v>0.1577384</v>
      </c>
      <c r="K17" s="420">
        <v>0.13984160000000001</v>
      </c>
      <c r="L17" s="420">
        <v>0.11659990000000001</v>
      </c>
      <c r="M17" s="420">
        <v>0.1315364</v>
      </c>
      <c r="N17" s="269">
        <v>1292629</v>
      </c>
      <c r="O17" s="516" t="s">
        <v>95</v>
      </c>
    </row>
    <row r="18" spans="1:15" ht="160.5" customHeight="1">
      <c r="A18" s="305" t="s">
        <v>26</v>
      </c>
      <c r="B18" s="272">
        <v>0.01</v>
      </c>
      <c r="C18" s="272">
        <v>0.01</v>
      </c>
      <c r="D18" s="422">
        <v>1.04106768919839E-4</v>
      </c>
      <c r="E18" s="422">
        <v>5.309764912600222E-4</v>
      </c>
      <c r="F18" s="422">
        <v>1.8917172172781892E-3</v>
      </c>
      <c r="G18" s="422">
        <v>8.1682006988069271E-4</v>
      </c>
      <c r="H18" s="422">
        <v>2.9600838989461867E-3</v>
      </c>
      <c r="I18" s="422">
        <v>4.7377485842346719E-3</v>
      </c>
      <c r="J18" s="422">
        <v>6.4487566749634549E-3</v>
      </c>
      <c r="K18" s="422">
        <v>3.9143315760951838E-3</v>
      </c>
      <c r="L18" s="422">
        <v>-7.2096236091815952E-4</v>
      </c>
      <c r="M18" s="422">
        <v>-1.1249800507029963E-3</v>
      </c>
      <c r="N18" s="306">
        <v>120672</v>
      </c>
      <c r="O18" s="516" t="s">
        <v>96</v>
      </c>
    </row>
    <row r="19" spans="1:15" ht="51" customHeight="1">
      <c r="A19" s="556" t="s">
        <v>55</v>
      </c>
      <c r="B19" s="557">
        <v>7.0191817358136177E-3</v>
      </c>
      <c r="C19" s="557">
        <v>7.0191817358136177E-3</v>
      </c>
      <c r="D19" s="557">
        <v>8.5556581616401672E-3</v>
      </c>
      <c r="E19" s="557">
        <v>0.13474191725254059</v>
      </c>
      <c r="F19" s="557">
        <v>0.1813579648733139</v>
      </c>
      <c r="G19" s="557">
        <v>0.17496301233768463</v>
      </c>
      <c r="H19" s="557">
        <v>0.28616240620613098</v>
      </c>
      <c r="I19" s="557">
        <v>0.16959623992443085</v>
      </c>
      <c r="J19" s="557">
        <v>-9.4997286796569824E-2</v>
      </c>
      <c r="K19" s="557">
        <v>0.14987236261367798</v>
      </c>
      <c r="L19" s="557">
        <v>6.3536904752254486E-2</v>
      </c>
      <c r="M19" s="557">
        <v>4.3593320995569229E-2</v>
      </c>
      <c r="N19" s="558">
        <v>2822</v>
      </c>
      <c r="O19" s="516" t="s">
        <v>97</v>
      </c>
    </row>
    <row r="20" spans="1:15" ht="51" customHeight="1">
      <c r="A20" s="278"/>
      <c r="B20" s="279"/>
      <c r="C20" s="279"/>
      <c r="D20" s="279"/>
      <c r="E20" s="279"/>
      <c r="F20" s="279"/>
      <c r="G20" s="279"/>
      <c r="H20" s="279"/>
      <c r="I20" s="279"/>
      <c r="J20" s="279"/>
      <c r="K20" s="279"/>
      <c r="L20" s="279"/>
      <c r="M20" s="279"/>
      <c r="N20" s="280"/>
      <c r="O20" s="265"/>
    </row>
    <row r="21" spans="1:15" ht="12.75" customHeight="1">
      <c r="A21" s="278"/>
      <c r="B21" s="279"/>
      <c r="C21" s="279"/>
      <c r="D21" s="279"/>
      <c r="E21" s="279"/>
      <c r="F21" s="279"/>
      <c r="G21" s="279"/>
      <c r="H21" s="279"/>
      <c r="I21" s="279"/>
      <c r="J21" s="279"/>
      <c r="K21" s="279"/>
      <c r="L21" s="279"/>
      <c r="M21" s="279"/>
      <c r="N21" s="281"/>
      <c r="O21" s="265"/>
    </row>
    <row r="22" spans="1:15" ht="15">
      <c r="A22" s="149" t="s">
        <v>68</v>
      </c>
      <c r="B22" s="225"/>
      <c r="C22" s="225"/>
      <c r="D22" s="225"/>
      <c r="E22" s="225"/>
      <c r="F22" s="226"/>
      <c r="G22" s="225"/>
      <c r="H22" s="226"/>
      <c r="I22" s="225"/>
      <c r="J22" s="225"/>
      <c r="K22" s="225"/>
      <c r="L22" s="225"/>
      <c r="M22" s="225"/>
      <c r="N22" s="223"/>
      <c r="O22" s="225"/>
    </row>
    <row r="23" spans="1:15" ht="30.75" customHeight="1">
      <c r="A23" s="699" t="s">
        <v>98</v>
      </c>
      <c r="B23" s="699"/>
      <c r="C23" s="699"/>
      <c r="D23" s="699"/>
      <c r="E23" s="699"/>
      <c r="F23" s="699"/>
      <c r="G23" s="699"/>
      <c r="H23" s="699"/>
      <c r="I23" s="699"/>
      <c r="J23" s="699"/>
      <c r="K23" s="699"/>
      <c r="L23" s="699"/>
      <c r="M23" s="699"/>
      <c r="N23" s="619"/>
      <c r="O23" s="326"/>
    </row>
    <row r="24" spans="1:15" ht="13.5" customHeight="1">
      <c r="A24" s="703" t="s">
        <v>99</v>
      </c>
      <c r="B24" s="704"/>
      <c r="C24" s="704"/>
      <c r="D24" s="704"/>
      <c r="E24" s="704"/>
      <c r="F24" s="704"/>
      <c r="G24" s="704"/>
      <c r="H24" s="704"/>
      <c r="I24" s="704"/>
      <c r="J24" s="704"/>
      <c r="K24" s="704"/>
      <c r="L24" s="704"/>
      <c r="M24" s="704"/>
      <c r="N24" s="704"/>
      <c r="O24" s="35"/>
    </row>
    <row r="25" spans="1:15" ht="13.5" customHeight="1">
      <c r="A25" s="620" t="s">
        <v>100</v>
      </c>
      <c r="B25" s="621"/>
      <c r="C25" s="621"/>
      <c r="D25" s="621"/>
      <c r="E25" s="621"/>
      <c r="F25" s="621"/>
      <c r="G25" s="621"/>
      <c r="H25" s="621"/>
      <c r="I25" s="621"/>
      <c r="J25" s="621"/>
      <c r="K25" s="621"/>
      <c r="L25" s="621"/>
      <c r="M25" s="621"/>
      <c r="N25" s="621"/>
      <c r="O25" s="35"/>
    </row>
    <row r="26" spans="1:15" s="81" customFormat="1" ht="13.5" customHeight="1">
      <c r="A26" s="705" t="s">
        <v>101</v>
      </c>
      <c r="B26" s="706"/>
      <c r="C26" s="706"/>
      <c r="D26" s="706"/>
      <c r="E26" s="706"/>
      <c r="F26" s="706"/>
      <c r="G26" s="706"/>
      <c r="H26" s="706"/>
      <c r="I26" s="706"/>
      <c r="J26" s="706"/>
      <c r="K26" s="706"/>
      <c r="L26" s="706"/>
      <c r="M26" s="706"/>
      <c r="N26" s="706"/>
      <c r="O26" s="35"/>
    </row>
    <row r="27" spans="1:15" ht="14.25">
      <c r="A27" s="617" t="s">
        <v>102</v>
      </c>
      <c r="B27" s="35"/>
      <c r="C27" s="35"/>
      <c r="D27" s="35"/>
      <c r="E27" s="35"/>
      <c r="F27" s="35"/>
      <c r="G27" s="35"/>
      <c r="H27" s="35"/>
      <c r="I27" s="35"/>
      <c r="J27" s="35"/>
      <c r="K27" s="35"/>
      <c r="L27" s="35"/>
      <c r="M27" s="35"/>
      <c r="N27" s="35"/>
      <c r="O27" s="304" t="s">
        <v>103</v>
      </c>
    </row>
    <row r="28" spans="1:15" ht="13.5" customHeight="1">
      <c r="A28" s="139" t="s">
        <v>84</v>
      </c>
      <c r="N28" s="223"/>
      <c r="O28" s="35"/>
    </row>
    <row r="29" spans="1:15" ht="12.75" customHeight="1">
      <c r="N29" s="223"/>
    </row>
    <row r="30" spans="1:15" ht="12.75" customHeight="1">
      <c r="N30" s="223"/>
    </row>
    <row r="34" spans="8:8" ht="12.75" customHeight="1">
      <c r="H34">
        <v>0</v>
      </c>
    </row>
  </sheetData>
  <mergeCells count="4">
    <mergeCell ref="A7:N7"/>
    <mergeCell ref="A24:N24"/>
    <mergeCell ref="A23:M23"/>
    <mergeCell ref="A26:N26"/>
  </mergeCells>
  <phoneticPr fontId="45" type="noConversion"/>
  <printOptions horizontalCentered="1"/>
  <pageMargins left="0" right="0" top="0.55000000000000004" bottom="0.17" header="0.3" footer="0.15"/>
  <pageSetup paperSize="5" scale="42"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topLeftCell="A15" zoomScaleNormal="100" zoomScaleSheetLayoutView="100" workbookViewId="0">
      <selection activeCell="F32" sqref="F32"/>
    </sheetView>
  </sheetViews>
  <sheetFormatPr defaultColWidth="9.28515625" defaultRowHeight="40.5" customHeight="1"/>
  <cols>
    <col min="1" max="1" width="35" customWidth="1"/>
    <col min="2" max="9" width="10.7109375" customWidth="1"/>
    <col min="10" max="10" width="11.28515625" customWidth="1"/>
    <col min="11" max="13" width="10.7109375" customWidth="1"/>
    <col min="14" max="14" width="14.28515625" style="110" bestFit="1" customWidth="1"/>
    <col min="15" max="15" width="149.5703125" customWidth="1"/>
  </cols>
  <sheetData>
    <row r="1" spans="1:16" ht="12.75">
      <c r="N1" s="227"/>
    </row>
    <row r="2" spans="1:16" ht="12.75">
      <c r="H2" s="79" t="s">
        <v>39</v>
      </c>
      <c r="N2" s="227"/>
    </row>
    <row r="3" spans="1:16" ht="12.75">
      <c r="H3" s="107">
        <f>'Program MW '!H3</f>
        <v>44774</v>
      </c>
      <c r="N3" s="227"/>
    </row>
    <row r="4" spans="1:16" ht="12.75">
      <c r="F4" s="81"/>
      <c r="G4" s="81"/>
      <c r="I4" s="81"/>
      <c r="N4" s="227"/>
      <c r="O4" s="35"/>
    </row>
    <row r="5" spans="1:16" ht="12.75">
      <c r="B5" s="81"/>
      <c r="C5" s="81"/>
      <c r="D5" s="81"/>
      <c r="F5" s="79"/>
      <c r="N5" s="227"/>
    </row>
    <row r="6" spans="1:16" ht="12.75">
      <c r="F6" s="79"/>
      <c r="N6" s="227"/>
    </row>
    <row r="7" spans="1:16" ht="22.5" customHeight="1">
      <c r="A7" s="707" t="s">
        <v>104</v>
      </c>
      <c r="B7" s="708"/>
      <c r="C7" s="708"/>
      <c r="D7" s="708"/>
      <c r="E7" s="708"/>
      <c r="F7" s="708"/>
      <c r="G7" s="708"/>
      <c r="H7" s="708"/>
      <c r="I7" s="708"/>
      <c r="J7" s="708"/>
      <c r="K7" s="708"/>
      <c r="L7" s="708"/>
      <c r="M7" s="708"/>
      <c r="N7" s="709"/>
      <c r="O7" s="423"/>
    </row>
    <row r="8" spans="1:16" ht="40.5" customHeight="1">
      <c r="A8" s="34" t="s">
        <v>1</v>
      </c>
      <c r="B8" s="396" t="s">
        <v>41</v>
      </c>
      <c r="C8" s="396" t="s">
        <v>42</v>
      </c>
      <c r="D8" s="396" t="s">
        <v>43</v>
      </c>
      <c r="E8" s="396" t="s">
        <v>44</v>
      </c>
      <c r="F8" s="396" t="s">
        <v>31</v>
      </c>
      <c r="G8" s="396" t="s">
        <v>45</v>
      </c>
      <c r="H8" s="396" t="s">
        <v>58</v>
      </c>
      <c r="I8" s="396" t="s">
        <v>59</v>
      </c>
      <c r="J8" s="396" t="s">
        <v>60</v>
      </c>
      <c r="K8" s="396" t="s">
        <v>61</v>
      </c>
      <c r="L8" s="396" t="s">
        <v>62</v>
      </c>
      <c r="M8" s="396" t="s">
        <v>63</v>
      </c>
      <c r="N8" s="424" t="str">
        <f>'Ex ante LI &amp; Eligibility Stats'!N8:N8</f>
        <v>Eligible Accounts as of January</v>
      </c>
      <c r="O8" s="173" t="s">
        <v>87</v>
      </c>
    </row>
    <row r="9" spans="1:16" ht="75.75" customHeight="1">
      <c r="A9" s="556" t="s">
        <v>8</v>
      </c>
      <c r="B9" s="420">
        <v>106</v>
      </c>
      <c r="C9" s="420">
        <v>106</v>
      </c>
      <c r="D9" s="420">
        <v>106</v>
      </c>
      <c r="E9" s="420">
        <v>65.940704345703125</v>
      </c>
      <c r="F9" s="420">
        <v>65.940704345703125</v>
      </c>
      <c r="G9" s="420">
        <v>65.940704345703125</v>
      </c>
      <c r="H9" s="420">
        <v>65.940704345703125</v>
      </c>
      <c r="I9" s="420">
        <v>65.940704345703125</v>
      </c>
      <c r="J9" s="420">
        <v>65.940704345703125</v>
      </c>
      <c r="K9" s="420">
        <v>65.940704345703125</v>
      </c>
      <c r="L9" s="420">
        <v>65.940704345703125</v>
      </c>
      <c r="M9" s="420">
        <v>65.940704345703125</v>
      </c>
      <c r="N9" s="425">
        <f>'Ex ante LI &amp; Eligibility Stats'!N9</f>
        <v>5326</v>
      </c>
      <c r="O9" s="559" t="str">
        <f>'Ex ante LI &amp; Eligibility Stats'!O9</f>
        <v>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v>
      </c>
      <c r="P9" s="420"/>
    </row>
    <row r="10" spans="1:16" ht="75.75" customHeight="1">
      <c r="A10" s="308" t="s">
        <v>11</v>
      </c>
      <c r="B10" s="309">
        <v>0.48120716908709499</v>
      </c>
      <c r="C10" s="309">
        <v>0.48120716908709499</v>
      </c>
      <c r="D10" s="420">
        <v>0.48120716908709499</v>
      </c>
      <c r="E10" s="420">
        <v>3.1789051796120897E-2</v>
      </c>
      <c r="F10" s="420">
        <v>3.1789051796120897E-2</v>
      </c>
      <c r="G10" s="420">
        <v>3.1789051796120897E-2</v>
      </c>
      <c r="H10" s="420">
        <v>3.1789051796120897E-2</v>
      </c>
      <c r="I10" s="420">
        <v>3.1789051796120897E-2</v>
      </c>
      <c r="J10" s="420">
        <v>3.1789051796120897E-2</v>
      </c>
      <c r="K10" s="420">
        <v>3.1789051796120897E-2</v>
      </c>
      <c r="L10" s="420">
        <v>3.1789051796120897E-2</v>
      </c>
      <c r="M10" s="420">
        <v>3.1789051796120897E-2</v>
      </c>
      <c r="N10" s="270">
        <f>'Ex ante LI &amp; Eligibility Stats'!N10</f>
        <v>24298</v>
      </c>
      <c r="O10" s="559"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267" t="s">
        <v>17</v>
      </c>
      <c r="B11" s="268">
        <v>0.30028513073921204</v>
      </c>
      <c r="C11" s="268">
        <v>0.30028513073921204</v>
      </c>
      <c r="D11" s="420">
        <v>0.30028513073921204</v>
      </c>
      <c r="E11" s="420">
        <v>0.40579277276992798</v>
      </c>
      <c r="F11" s="420">
        <v>0.40579277276992798</v>
      </c>
      <c r="G11" s="420">
        <v>0.40579277276992798</v>
      </c>
      <c r="H11" s="420">
        <v>0.40579277276992798</v>
      </c>
      <c r="I11" s="420">
        <v>0.40579277276992798</v>
      </c>
      <c r="J11" s="420">
        <v>0.40579277276992798</v>
      </c>
      <c r="K11" s="420">
        <v>0.40579277276992798</v>
      </c>
      <c r="L11" s="420">
        <v>0.40579277276992798</v>
      </c>
      <c r="M11" s="420">
        <v>0.40579277276992798</v>
      </c>
      <c r="N11" s="270">
        <f>'Ex ante LI &amp; Eligibility Stats'!N11</f>
        <v>590220</v>
      </c>
      <c r="O11" s="559"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267" t="s">
        <v>20</v>
      </c>
      <c r="B12" s="268">
        <v>0.4638446569442749</v>
      </c>
      <c r="C12" s="268">
        <v>0.4638446569442749</v>
      </c>
      <c r="D12" s="420">
        <v>0.4638446569442749</v>
      </c>
      <c r="E12" s="420">
        <v>0.93261325359344482</v>
      </c>
      <c r="F12" s="420">
        <v>0.93261325359344482</v>
      </c>
      <c r="G12" s="420">
        <v>0.93261325359344482</v>
      </c>
      <c r="H12" s="420">
        <v>0.93261325359344482</v>
      </c>
      <c r="I12" s="420">
        <v>0.93261325359344482</v>
      </c>
      <c r="J12" s="420">
        <v>0.93261325359344482</v>
      </c>
      <c r="K12" s="420">
        <v>0.93261325359344482</v>
      </c>
      <c r="L12" s="420">
        <v>0.93261325359344482</v>
      </c>
      <c r="M12" s="420">
        <v>0.93261325359344482</v>
      </c>
      <c r="N12" s="270">
        <f>'Ex ante LI &amp; Eligibility Stats'!N12</f>
        <v>133226</v>
      </c>
      <c r="O12" s="559"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267" t="s">
        <v>21</v>
      </c>
      <c r="B13" s="268">
        <v>0.13413890000000001</v>
      </c>
      <c r="C13" s="268">
        <v>0.13413890000000001</v>
      </c>
      <c r="D13" s="420">
        <v>0.13413890000000001</v>
      </c>
      <c r="E13" s="420">
        <v>5.5856000000000003E-2</v>
      </c>
      <c r="F13" s="420">
        <v>5.5856000000000003E-2</v>
      </c>
      <c r="G13" s="420">
        <v>5.5856000000000003E-2</v>
      </c>
      <c r="H13" s="420">
        <v>5.5856000000000003E-2</v>
      </c>
      <c r="I13" s="420">
        <v>5.5856000000000003E-2</v>
      </c>
      <c r="J13" s="420">
        <v>5.5856000000000003E-2</v>
      </c>
      <c r="K13" s="420">
        <v>5.5856000000000003E-2</v>
      </c>
      <c r="L13" s="420">
        <v>5.5856000000000003E-2</v>
      </c>
      <c r="M13" s="420">
        <v>5.5856000000000003E-2</v>
      </c>
      <c r="N13" s="270">
        <f>'Ex ante LI &amp; Eligibility Stats'!N13</f>
        <v>590220</v>
      </c>
      <c r="O13" s="559"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267" t="s">
        <v>23</v>
      </c>
      <c r="B14" s="268">
        <v>4.9344300000000001E-2</v>
      </c>
      <c r="C14" s="268">
        <v>4.9344300000000001E-2</v>
      </c>
      <c r="D14" s="420">
        <v>4.9344300000000001E-2</v>
      </c>
      <c r="E14" s="420">
        <v>9.3625299999999995E-2</v>
      </c>
      <c r="F14" s="420">
        <v>9.3625299999999995E-2</v>
      </c>
      <c r="G14" s="420">
        <v>9.3625299999999995E-2</v>
      </c>
      <c r="H14" s="420">
        <v>9.3625299999999995E-2</v>
      </c>
      <c r="I14" s="420">
        <v>9.3625299999999995E-2</v>
      </c>
      <c r="J14" s="420">
        <v>9.3625299999999995E-2</v>
      </c>
      <c r="K14" s="420">
        <v>9.3625299999999995E-2</v>
      </c>
      <c r="L14" s="420">
        <v>9.3625299999999995E-2</v>
      </c>
      <c r="M14" s="420">
        <v>9.3625299999999995E-2</v>
      </c>
      <c r="N14" s="270">
        <f>'Ex ante LI &amp; Eligibility Stats'!N14</f>
        <v>133226</v>
      </c>
      <c r="O14" s="559"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308" t="s">
        <v>24</v>
      </c>
      <c r="B15" s="426">
        <v>17.953320000000001</v>
      </c>
      <c r="C15" s="426">
        <v>17.953320000000001</v>
      </c>
      <c r="D15" s="420">
        <v>17.953320000000001</v>
      </c>
      <c r="E15" s="420">
        <v>18.096133800527408</v>
      </c>
      <c r="F15" s="420">
        <v>18.096133800527408</v>
      </c>
      <c r="G15" s="420">
        <v>18.096133800527408</v>
      </c>
      <c r="H15" s="420">
        <v>18.096133800527408</v>
      </c>
      <c r="I15" s="420">
        <v>18.096133800527408</v>
      </c>
      <c r="J15" s="420">
        <v>18.096133800527408</v>
      </c>
      <c r="K15" s="420">
        <v>18.096133800527408</v>
      </c>
      <c r="L15" s="420">
        <v>18.096133800527408</v>
      </c>
      <c r="M15" s="420">
        <v>18.096133800527408</v>
      </c>
      <c r="N15" s="270">
        <f>'Ex ante LI &amp; Eligibility Stats'!N15</f>
        <v>78368</v>
      </c>
      <c r="O15" s="559"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308" t="s">
        <v>25</v>
      </c>
      <c r="B16" s="426">
        <v>13.800850000000001</v>
      </c>
      <c r="C16" s="426">
        <v>13.800850000000001</v>
      </c>
      <c r="D16" s="420">
        <v>13.800850000000001</v>
      </c>
      <c r="E16" s="420">
        <v>13.671124386287577</v>
      </c>
      <c r="F16" s="420">
        <v>13.671124386287577</v>
      </c>
      <c r="G16" s="420">
        <v>13.671124386287577</v>
      </c>
      <c r="H16" s="420">
        <v>13.671124386287577</v>
      </c>
      <c r="I16" s="420">
        <v>13.671124386287577</v>
      </c>
      <c r="J16" s="420">
        <v>13.671124386287577</v>
      </c>
      <c r="K16" s="420">
        <v>13.671124386287577</v>
      </c>
      <c r="L16" s="420">
        <v>13.671124386287577</v>
      </c>
      <c r="M16" s="420">
        <v>13.671124386287577</v>
      </c>
      <c r="N16" s="270">
        <f>'Ex ante LI &amp; Eligibility Stats'!N16</f>
        <v>78368</v>
      </c>
      <c r="O16" s="559"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267" t="s">
        <v>27</v>
      </c>
      <c r="B17" s="420">
        <v>0.16711041871077983</v>
      </c>
      <c r="C17" s="420">
        <v>0.16711041871077983</v>
      </c>
      <c r="D17" s="420">
        <v>0.16711041871077983</v>
      </c>
      <c r="E17" s="420">
        <v>5.9799057914105197E-2</v>
      </c>
      <c r="F17" s="420">
        <v>5.9799057914105197E-2</v>
      </c>
      <c r="G17" s="420">
        <v>5.9799057914105197E-2</v>
      </c>
      <c r="H17" s="420">
        <v>5.9799057914105197E-2</v>
      </c>
      <c r="I17" s="420">
        <v>5.9799057914105197E-2</v>
      </c>
      <c r="J17" s="420">
        <v>5.9799057914105197E-2</v>
      </c>
      <c r="K17" s="420">
        <v>5.9799057914105197E-2</v>
      </c>
      <c r="L17" s="420">
        <v>5.9799057914105197E-2</v>
      </c>
      <c r="M17" s="420">
        <v>5.9799057914105197E-2</v>
      </c>
      <c r="N17" s="270">
        <f>'Ex ante LI &amp; Eligibility Stats'!N17</f>
        <v>1292629</v>
      </c>
      <c r="O17" s="559"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305" t="s">
        <v>26</v>
      </c>
      <c r="B18" s="272">
        <v>4.9964198690539703E-2</v>
      </c>
      <c r="C18" s="272">
        <v>4.9964198690539703E-2</v>
      </c>
      <c r="D18" s="422">
        <v>4.9964198690539703E-2</v>
      </c>
      <c r="E18" s="422">
        <v>4.6100870583448226E-3</v>
      </c>
      <c r="F18" s="422">
        <v>4.6100870583448226E-3</v>
      </c>
      <c r="G18" s="422">
        <v>4.6100870583448226E-3</v>
      </c>
      <c r="H18" s="422">
        <v>4.6100870583448226E-3</v>
      </c>
      <c r="I18" s="422">
        <v>4.6100870583448226E-3</v>
      </c>
      <c r="J18" s="422">
        <v>4.6100870583448226E-3</v>
      </c>
      <c r="K18" s="422">
        <v>4.6100870583448226E-3</v>
      </c>
      <c r="L18" s="422">
        <v>4.6100870583448226E-3</v>
      </c>
      <c r="M18" s="422">
        <v>4.6100870583448226E-3</v>
      </c>
      <c r="N18" s="307">
        <f>'Ex ante LI &amp; Eligibility Stats'!N18</f>
        <v>120672</v>
      </c>
      <c r="O18" s="427"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556" t="s">
        <v>55</v>
      </c>
      <c r="B19" s="557">
        <v>0.47450989484786987</v>
      </c>
      <c r="C19" s="557">
        <v>0.47450989484786987</v>
      </c>
      <c r="D19" s="557">
        <v>0.47450989484786987</v>
      </c>
      <c r="E19" s="557">
        <v>0.16959790885448456</v>
      </c>
      <c r="F19" s="557">
        <v>0.16959790885448456</v>
      </c>
      <c r="G19" s="557">
        <v>0.16959790885448456</v>
      </c>
      <c r="H19" s="557">
        <v>0.16959790885448456</v>
      </c>
      <c r="I19" s="557">
        <v>0.16959790885448456</v>
      </c>
      <c r="J19" s="557">
        <v>0.16959790885448456</v>
      </c>
      <c r="K19" s="557">
        <v>0.16959790885448456</v>
      </c>
      <c r="L19" s="557">
        <v>0.16959790885448456</v>
      </c>
      <c r="M19" s="557">
        <v>0.16959790885448456</v>
      </c>
      <c r="N19" s="560">
        <f>'Ex ante LI &amp; Eligibility Stats'!N19</f>
        <v>2822</v>
      </c>
      <c r="O19" s="559"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278"/>
      <c r="B20" s="279"/>
      <c r="C20" s="279"/>
      <c r="D20" s="279"/>
      <c r="E20" s="279"/>
      <c r="F20" s="279"/>
      <c r="G20" s="279"/>
      <c r="H20" s="279"/>
      <c r="I20" s="279"/>
      <c r="J20" s="279"/>
      <c r="K20" s="279"/>
      <c r="L20" s="279"/>
      <c r="M20" s="279"/>
      <c r="N20" s="280"/>
      <c r="O20" s="265"/>
    </row>
    <row r="21" spans="1:26" ht="15">
      <c r="A21" s="710" t="s">
        <v>105</v>
      </c>
      <c r="B21" s="710"/>
      <c r="C21" s="710"/>
      <c r="D21" s="710"/>
      <c r="E21" s="710"/>
      <c r="F21" s="710"/>
      <c r="G21" s="710"/>
      <c r="H21" s="710"/>
      <c r="I21" s="710"/>
      <c r="J21" s="710"/>
      <c r="K21" s="710"/>
      <c r="L21" s="710"/>
      <c r="M21" s="710"/>
      <c r="N21" s="710"/>
      <c r="O21" s="710"/>
    </row>
    <row r="22" spans="1:26" s="9" customFormat="1" ht="43.35" customHeight="1">
      <c r="A22" s="699" t="s">
        <v>106</v>
      </c>
      <c r="B22" s="699"/>
      <c r="C22" s="699"/>
      <c r="D22" s="699"/>
      <c r="E22" s="699"/>
      <c r="F22" s="699"/>
      <c r="G22" s="699"/>
      <c r="H22" s="699"/>
      <c r="I22" s="699"/>
      <c r="J22" s="699"/>
      <c r="K22" s="699"/>
      <c r="L22" s="699"/>
      <c r="M22" s="618"/>
      <c r="N22" s="618"/>
      <c r="O22" s="618"/>
      <c r="P22" s="12"/>
      <c r="Q22" s="12"/>
      <c r="R22" s="12"/>
      <c r="S22" s="12"/>
      <c r="T22" s="77"/>
      <c r="U22" s="77"/>
      <c r="V22" s="77"/>
      <c r="W22" s="77"/>
      <c r="X22" s="77"/>
      <c r="Y22" s="77"/>
      <c r="Z22" s="77"/>
    </row>
    <row r="23" spans="1:26" ht="12.75" customHeight="1">
      <c r="A23" s="699" t="s">
        <v>107</v>
      </c>
      <c r="B23" s="699"/>
      <c r="C23" s="699"/>
      <c r="D23" s="699"/>
      <c r="E23" s="699"/>
      <c r="F23" s="699"/>
      <c r="G23" s="699"/>
      <c r="H23" s="699"/>
      <c r="I23" s="699"/>
      <c r="J23" s="699"/>
      <c r="K23" s="699"/>
      <c r="L23" s="699"/>
      <c r="N23" s="227"/>
    </row>
    <row r="24" spans="1:26" ht="12.75" customHeight="1">
      <c r="A24" s="620" t="s">
        <v>108</v>
      </c>
      <c r="B24" s="621"/>
      <c r="C24" s="621"/>
      <c r="D24" s="621"/>
      <c r="E24" s="621"/>
      <c r="F24" s="621"/>
      <c r="G24" s="621"/>
      <c r="H24" s="621"/>
      <c r="I24" s="621"/>
      <c r="J24" s="621"/>
      <c r="K24" s="621"/>
      <c r="L24" s="621"/>
      <c r="M24" s="621"/>
      <c r="N24" s="621"/>
      <c r="O24" s="35"/>
    </row>
    <row r="25" spans="1:26" s="9" customFormat="1" ht="14.25">
      <c r="A25" s="620" t="s">
        <v>109</v>
      </c>
      <c r="B25" s="621"/>
      <c r="C25" s="621"/>
      <c r="D25" s="621"/>
      <c r="E25" s="621"/>
      <c r="F25" s="621"/>
      <c r="G25" s="621"/>
      <c r="H25" s="621"/>
      <c r="I25" s="621"/>
      <c r="J25" s="621"/>
      <c r="K25" s="621"/>
      <c r="L25" s="621"/>
      <c r="M25" s="621"/>
      <c r="N25" s="621"/>
      <c r="O25" s="35"/>
      <c r="P25" s="12"/>
      <c r="Q25" s="12"/>
      <c r="R25" s="12"/>
      <c r="S25" s="12"/>
      <c r="T25" s="77"/>
      <c r="U25" s="77"/>
      <c r="V25" s="77"/>
      <c r="W25" s="77"/>
      <c r="X25" s="77"/>
      <c r="Y25" s="77"/>
      <c r="Z25" s="77"/>
    </row>
    <row r="26" spans="1:26" ht="17.850000000000001" customHeight="1">
      <c r="A26" s="705" t="s">
        <v>110</v>
      </c>
      <c r="B26" s="706"/>
      <c r="C26" s="706"/>
      <c r="D26" s="706"/>
      <c r="E26" s="706"/>
      <c r="F26" s="706"/>
      <c r="G26" s="706"/>
      <c r="H26" s="706"/>
      <c r="I26" s="706"/>
      <c r="J26" s="706"/>
      <c r="K26" s="706"/>
      <c r="L26" s="706"/>
      <c r="M26" s="706"/>
      <c r="N26" s="706"/>
      <c r="O26" s="706"/>
    </row>
    <row r="27" spans="1:26" ht="40.5" customHeight="1">
      <c r="A27" s="150" t="s">
        <v>84</v>
      </c>
      <c r="N27" s="227"/>
    </row>
    <row r="29" spans="1:26" ht="40.5" customHeight="1">
      <c r="H29" t="s">
        <v>67</v>
      </c>
      <c r="N29" s="227"/>
    </row>
    <row r="53" spans="1:1" ht="40.5" customHeight="1">
      <c r="A53" s="113"/>
    </row>
  </sheetData>
  <mergeCells count="5">
    <mergeCell ref="A26:O26"/>
    <mergeCell ref="A7:N7"/>
    <mergeCell ref="A21:O21"/>
    <mergeCell ref="A22:L22"/>
    <mergeCell ref="A23:L23"/>
  </mergeCells>
  <phoneticPr fontId="0" type="noConversion"/>
  <printOptions horizontalCentered="1"/>
  <pageMargins left="0" right="0" top="0" bottom="0" header="0.3" footer="0.15"/>
  <pageSetup paperSize="5" scale="42"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38" customWidth="1"/>
    <col min="2" max="4" width="10.7109375" style="38" customWidth="1"/>
    <col min="5" max="5" width="12.7109375" style="38" customWidth="1"/>
    <col min="6" max="8" width="10.5703125" style="38" customWidth="1"/>
    <col min="9" max="9" width="12.7109375" style="38" customWidth="1"/>
    <col min="10" max="12" width="10.7109375" style="38" customWidth="1"/>
    <col min="13" max="13" width="12.7109375" style="38" customWidth="1"/>
    <col min="14" max="16" width="10.7109375" style="38" customWidth="1"/>
    <col min="17" max="17" width="12.7109375" style="38" customWidth="1"/>
    <col min="18" max="20" width="10.7109375" style="38" customWidth="1"/>
    <col min="21" max="21" width="12.7109375" style="38" customWidth="1"/>
    <col min="22" max="24" width="10.7109375" style="38" customWidth="1"/>
    <col min="25" max="25" width="12.7109375" style="38" customWidth="1"/>
    <col min="26" max="16384" width="9.28515625" style="38"/>
  </cols>
  <sheetData>
    <row r="1" spans="1:25">
      <c r="A1" s="37" t="s">
        <v>111</v>
      </c>
    </row>
    <row r="3" spans="1:25" ht="21.75" customHeight="1">
      <c r="A3" s="59">
        <v>2016</v>
      </c>
      <c r="B3" s="711" t="s">
        <v>41</v>
      </c>
      <c r="C3" s="711"/>
      <c r="D3" s="711"/>
      <c r="E3" s="711"/>
      <c r="F3" s="712" t="s">
        <v>42</v>
      </c>
      <c r="G3" s="712"/>
      <c r="H3" s="712"/>
      <c r="I3" s="712"/>
      <c r="J3" s="712" t="s">
        <v>43</v>
      </c>
      <c r="K3" s="712"/>
      <c r="L3" s="712"/>
      <c r="M3" s="712"/>
      <c r="N3" s="712" t="s">
        <v>44</v>
      </c>
      <c r="O3" s="712"/>
      <c r="P3" s="712"/>
      <c r="Q3" s="712"/>
      <c r="R3" s="712" t="s">
        <v>31</v>
      </c>
      <c r="S3" s="712"/>
      <c r="T3" s="712"/>
      <c r="U3" s="712"/>
      <c r="V3" s="712" t="s">
        <v>45</v>
      </c>
      <c r="W3" s="712"/>
      <c r="X3" s="712"/>
      <c r="Y3" s="712"/>
    </row>
    <row r="4" spans="1:25" ht="79.5" customHeight="1">
      <c r="A4" s="561" t="s">
        <v>112</v>
      </c>
      <c r="B4" s="562" t="s">
        <v>113</v>
      </c>
      <c r="C4" s="562" t="s">
        <v>114</v>
      </c>
      <c r="D4" s="562" t="s">
        <v>115</v>
      </c>
      <c r="E4" s="562" t="s">
        <v>116</v>
      </c>
      <c r="F4" s="562" t="s">
        <v>113</v>
      </c>
      <c r="G4" s="562" t="s">
        <v>114</v>
      </c>
      <c r="H4" s="562" t="s">
        <v>115</v>
      </c>
      <c r="I4" s="562" t="s">
        <v>116</v>
      </c>
      <c r="J4" s="562" t="s">
        <v>113</v>
      </c>
      <c r="K4" s="562" t="s">
        <v>114</v>
      </c>
      <c r="L4" s="562" t="s">
        <v>115</v>
      </c>
      <c r="M4" s="562" t="s">
        <v>116</v>
      </c>
      <c r="N4" s="562" t="s">
        <v>113</v>
      </c>
      <c r="O4" s="562" t="s">
        <v>114</v>
      </c>
      <c r="P4" s="562" t="s">
        <v>115</v>
      </c>
      <c r="Q4" s="562" t="s">
        <v>116</v>
      </c>
      <c r="R4" s="562" t="s">
        <v>113</v>
      </c>
      <c r="S4" s="562" t="s">
        <v>114</v>
      </c>
      <c r="T4" s="562" t="s">
        <v>115</v>
      </c>
      <c r="U4" s="562" t="s">
        <v>116</v>
      </c>
      <c r="V4" s="562" t="s">
        <v>113</v>
      </c>
      <c r="W4" s="562" t="s">
        <v>114</v>
      </c>
      <c r="X4" s="562" t="s">
        <v>115</v>
      </c>
      <c r="Y4" s="562" t="s">
        <v>116</v>
      </c>
    </row>
    <row r="5" spans="1:25">
      <c r="A5" s="563" t="s">
        <v>117</v>
      </c>
      <c r="B5" s="564"/>
      <c r="C5" s="565">
        <v>5.8977000000000004</v>
      </c>
      <c r="D5" s="566">
        <v>2.3029999999999999</v>
      </c>
      <c r="E5" s="567">
        <f>SUM(B5:D5)</f>
        <v>8.2007000000000012</v>
      </c>
      <c r="F5" s="568"/>
      <c r="G5" s="566">
        <v>5.8977000000000004</v>
      </c>
      <c r="H5" s="566">
        <v>2.3029999999999999</v>
      </c>
      <c r="I5" s="569">
        <f>SUM(G5:H5)</f>
        <v>8.2007000000000012</v>
      </c>
      <c r="J5" s="568"/>
      <c r="K5" s="566"/>
      <c r="L5" s="566"/>
      <c r="M5" s="569">
        <f>SUM(K5:L5)</f>
        <v>0</v>
      </c>
      <c r="N5" s="568"/>
      <c r="O5" s="566"/>
      <c r="P5" s="566"/>
      <c r="Q5" s="569">
        <f>SUM(O5:P5)</f>
        <v>0</v>
      </c>
      <c r="R5" s="568"/>
      <c r="S5" s="566"/>
      <c r="T5" s="566"/>
      <c r="U5" s="569">
        <f>SUM(S5:T5)</f>
        <v>0</v>
      </c>
      <c r="V5" s="568"/>
      <c r="W5" s="566"/>
      <c r="X5" s="566"/>
      <c r="Y5" s="569">
        <f>SUM(W5:X5)</f>
        <v>0</v>
      </c>
    </row>
    <row r="6" spans="1:25">
      <c r="A6" s="563" t="s">
        <v>118</v>
      </c>
      <c r="B6" s="570"/>
      <c r="C6" s="571">
        <v>12.8962</v>
      </c>
      <c r="D6" s="565">
        <v>1.4750000000000001</v>
      </c>
      <c r="E6" s="567">
        <f>SUM(B6:D6)</f>
        <v>14.3712</v>
      </c>
      <c r="F6" s="568"/>
      <c r="G6" s="566">
        <v>12.911899999999999</v>
      </c>
      <c r="H6" s="572">
        <v>1.4750000000000001</v>
      </c>
      <c r="I6" s="569">
        <f>SUM(G6:H6)</f>
        <v>14.386899999999999</v>
      </c>
      <c r="J6" s="573"/>
      <c r="K6" s="566"/>
      <c r="L6" s="572"/>
      <c r="M6" s="569">
        <f>SUM(K6:L6)</f>
        <v>0</v>
      </c>
      <c r="N6" s="573"/>
      <c r="O6" s="566"/>
      <c r="P6" s="572"/>
      <c r="Q6" s="569">
        <f>SUM(O6:P6)</f>
        <v>0</v>
      </c>
      <c r="R6" s="573"/>
      <c r="S6" s="566"/>
      <c r="T6" s="572"/>
      <c r="U6" s="569">
        <f>SUM(S6:T6)</f>
        <v>0</v>
      </c>
      <c r="V6" s="573"/>
      <c r="W6" s="566"/>
      <c r="X6" s="572"/>
      <c r="Y6" s="569">
        <f>SUM(W6:X6)</f>
        <v>0</v>
      </c>
    </row>
    <row r="7" spans="1:25" s="37" customFormat="1">
      <c r="A7" s="428" t="s">
        <v>119</v>
      </c>
      <c r="B7" s="429"/>
      <c r="C7" s="430">
        <f>SUM(C5:C6)</f>
        <v>18.793900000000001</v>
      </c>
      <c r="D7" s="430">
        <f>SUM(D5:D6)</f>
        <v>3.778</v>
      </c>
      <c r="E7" s="430">
        <f>SUM(E5:E6)</f>
        <v>22.571899999999999</v>
      </c>
      <c r="F7" s="431"/>
      <c r="G7" s="569">
        <f t="shared" ref="G7:Y7" si="0">SUM(G5:G6)</f>
        <v>18.8096</v>
      </c>
      <c r="H7" s="569">
        <f t="shared" si="0"/>
        <v>3.778</v>
      </c>
      <c r="I7" s="569">
        <f t="shared" si="0"/>
        <v>22.587600000000002</v>
      </c>
      <c r="J7" s="569"/>
      <c r="K7" s="569">
        <f t="shared" si="0"/>
        <v>0</v>
      </c>
      <c r="L7" s="569">
        <f t="shared" si="0"/>
        <v>0</v>
      </c>
      <c r="M7" s="569">
        <f t="shared" si="0"/>
        <v>0</v>
      </c>
      <c r="N7" s="569"/>
      <c r="O7" s="569">
        <f t="shared" si="0"/>
        <v>0</v>
      </c>
      <c r="P7" s="569">
        <f t="shared" si="0"/>
        <v>0</v>
      </c>
      <c r="Q7" s="569">
        <f t="shared" si="0"/>
        <v>0</v>
      </c>
      <c r="R7" s="569"/>
      <c r="S7" s="569">
        <f t="shared" si="0"/>
        <v>0</v>
      </c>
      <c r="T7" s="569">
        <f t="shared" si="0"/>
        <v>0</v>
      </c>
      <c r="U7" s="569">
        <f t="shared" si="0"/>
        <v>0</v>
      </c>
      <c r="V7" s="569"/>
      <c r="W7" s="569">
        <f t="shared" si="0"/>
        <v>0</v>
      </c>
      <c r="X7" s="569">
        <f t="shared" si="0"/>
        <v>0</v>
      </c>
      <c r="Y7" s="569">
        <f t="shared" si="0"/>
        <v>0</v>
      </c>
    </row>
    <row r="8" spans="1:25" ht="4.5" customHeight="1">
      <c r="A8" s="428"/>
      <c r="B8" s="431"/>
      <c r="C8" s="574"/>
      <c r="D8" s="574"/>
      <c r="E8" s="575"/>
      <c r="F8" s="431"/>
      <c r="G8" s="573"/>
      <c r="H8" s="573"/>
      <c r="I8" s="569"/>
      <c r="J8" s="432"/>
      <c r="K8" s="573"/>
      <c r="L8" s="573"/>
      <c r="M8" s="569"/>
      <c r="N8" s="432"/>
      <c r="O8" s="573"/>
      <c r="P8" s="573"/>
      <c r="Q8" s="569"/>
      <c r="R8" s="432"/>
      <c r="S8" s="573"/>
      <c r="T8" s="573"/>
      <c r="U8" s="569"/>
      <c r="V8" s="432"/>
      <c r="W8" s="573"/>
      <c r="X8" s="573"/>
      <c r="Y8" s="569"/>
    </row>
    <row r="9" spans="1:25">
      <c r="A9" s="433" t="s">
        <v>51</v>
      </c>
      <c r="B9" s="434"/>
      <c r="C9" s="562"/>
      <c r="D9" s="562"/>
      <c r="E9" s="576"/>
      <c r="F9" s="434"/>
      <c r="G9" s="577"/>
      <c r="H9" s="578"/>
      <c r="I9" s="578"/>
      <c r="J9" s="435"/>
      <c r="K9" s="577"/>
      <c r="L9" s="578"/>
      <c r="M9" s="569"/>
      <c r="N9" s="435"/>
      <c r="O9" s="577"/>
      <c r="P9" s="578"/>
      <c r="Q9" s="569"/>
      <c r="R9" s="435"/>
      <c r="S9" s="577"/>
      <c r="T9" s="578"/>
      <c r="U9" s="569"/>
      <c r="V9" s="435"/>
      <c r="W9" s="577"/>
      <c r="X9" s="578"/>
      <c r="Y9" s="569">
        <f>SUM(W9:X9)</f>
        <v>0</v>
      </c>
    </row>
    <row r="10" spans="1:25">
      <c r="A10" s="563" t="s">
        <v>120</v>
      </c>
      <c r="B10" s="570"/>
      <c r="C10" s="570"/>
      <c r="D10" s="565"/>
      <c r="E10" s="567"/>
      <c r="F10" s="568"/>
      <c r="G10" s="566"/>
      <c r="H10" s="565"/>
      <c r="I10" s="567"/>
      <c r="J10" s="573"/>
      <c r="K10" s="565" t="s">
        <v>67</v>
      </c>
      <c r="L10" s="565"/>
      <c r="M10" s="569"/>
      <c r="N10" s="573"/>
      <c r="O10" s="565" t="s">
        <v>67</v>
      </c>
      <c r="P10" s="565"/>
      <c r="Q10" s="569"/>
      <c r="R10" s="573"/>
      <c r="S10" s="565" t="s">
        <v>67</v>
      </c>
      <c r="T10" s="565"/>
      <c r="U10" s="569"/>
      <c r="V10" s="573"/>
      <c r="W10" s="565" t="s">
        <v>67</v>
      </c>
      <c r="X10" s="565"/>
      <c r="Y10" s="569">
        <f>SUM(W10:X10)</f>
        <v>0</v>
      </c>
    </row>
    <row r="11" spans="1:25">
      <c r="A11" s="563" t="s">
        <v>121</v>
      </c>
      <c r="B11" s="570"/>
      <c r="C11" s="570"/>
      <c r="D11" s="565"/>
      <c r="E11" s="567"/>
      <c r="F11" s="568"/>
      <c r="G11" s="566"/>
      <c r="H11" s="566"/>
      <c r="I11" s="573"/>
      <c r="J11" s="573"/>
      <c r="K11" s="566"/>
      <c r="L11" s="566"/>
      <c r="M11" s="569"/>
      <c r="N11" s="573"/>
      <c r="O11" s="566"/>
      <c r="P11" s="566"/>
      <c r="Q11" s="569"/>
      <c r="R11" s="573"/>
      <c r="S11" s="566"/>
      <c r="T11" s="566"/>
      <c r="U11" s="569"/>
      <c r="V11" s="573"/>
      <c r="W11" s="566"/>
      <c r="X11" s="566"/>
      <c r="Y11" s="569">
        <f>SUM(W11:X11)</f>
        <v>0</v>
      </c>
    </row>
    <row r="12" spans="1:25">
      <c r="A12" s="563"/>
      <c r="B12" s="564"/>
      <c r="C12" s="565"/>
      <c r="D12" s="565"/>
      <c r="E12" s="579"/>
      <c r="F12" s="568"/>
      <c r="G12" s="566"/>
      <c r="H12" s="566"/>
      <c r="I12" s="573"/>
      <c r="J12" s="573"/>
      <c r="K12" s="566"/>
      <c r="L12" s="566"/>
      <c r="M12" s="569" t="s">
        <v>67</v>
      </c>
      <c r="N12" s="573"/>
      <c r="O12" s="566"/>
      <c r="P12" s="566"/>
      <c r="Q12" s="569" t="s">
        <v>67</v>
      </c>
      <c r="R12" s="573"/>
      <c r="S12" s="566"/>
      <c r="T12" s="566"/>
      <c r="U12" s="569" t="s">
        <v>67</v>
      </c>
      <c r="V12" s="573"/>
      <c r="W12" s="566"/>
      <c r="X12" s="566"/>
      <c r="Y12" s="569" t="s">
        <v>67</v>
      </c>
    </row>
    <row r="13" spans="1:25" s="37" customFormat="1">
      <c r="A13" s="428" t="s">
        <v>119</v>
      </c>
      <c r="B13" s="429"/>
      <c r="C13" s="430">
        <v>0</v>
      </c>
      <c r="D13" s="430">
        <f>SUM(D10:D12)</f>
        <v>0</v>
      </c>
      <c r="E13" s="430">
        <f>SUM(E10:E12)</f>
        <v>0</v>
      </c>
      <c r="F13" s="431"/>
      <c r="G13" s="569">
        <f>SUM(G9:G12)</f>
        <v>0</v>
      </c>
      <c r="H13" s="569">
        <f>SUM(H9:H12)</f>
        <v>0</v>
      </c>
      <c r="I13" s="569">
        <f>SUM(I9:I12)</f>
        <v>0</v>
      </c>
      <c r="J13" s="432"/>
      <c r="K13" s="569">
        <f>SUM(K9:K12)</f>
        <v>0</v>
      </c>
      <c r="L13" s="569">
        <f>SUM(L9:L12)</f>
        <v>0</v>
      </c>
      <c r="M13" s="569">
        <f>SUM(M9:M12)</f>
        <v>0</v>
      </c>
      <c r="N13" s="432"/>
      <c r="O13" s="569">
        <f>SUM(O9:O12)</f>
        <v>0</v>
      </c>
      <c r="P13" s="569">
        <f>SUM(P9:P12)</f>
        <v>0</v>
      </c>
      <c r="Q13" s="569">
        <f>SUM(Q9:Q12)</f>
        <v>0</v>
      </c>
      <c r="R13" s="432"/>
      <c r="S13" s="569">
        <f>SUM(S9:S12)</f>
        <v>0</v>
      </c>
      <c r="T13" s="569">
        <f>SUM(T9:T12)</f>
        <v>0</v>
      </c>
      <c r="U13" s="569">
        <f>SUM(U9:U12)</f>
        <v>0</v>
      </c>
      <c r="V13" s="432"/>
      <c r="W13" s="569">
        <f>SUM(W9:W12)</f>
        <v>0</v>
      </c>
      <c r="X13" s="569">
        <f>SUM(X9:X12)</f>
        <v>0</v>
      </c>
      <c r="Y13" s="569">
        <f>SUM(Y9:Y12)</f>
        <v>0</v>
      </c>
    </row>
    <row r="14" spans="1:25" ht="4.5" customHeight="1">
      <c r="A14" s="428"/>
      <c r="B14" s="431"/>
      <c r="C14" s="574"/>
      <c r="D14" s="574"/>
      <c r="E14" s="575"/>
      <c r="F14" s="431"/>
      <c r="G14" s="573"/>
      <c r="H14" s="573"/>
      <c r="I14" s="569"/>
      <c r="J14" s="432"/>
      <c r="K14" s="573"/>
      <c r="L14" s="573"/>
      <c r="M14" s="569">
        <f>SUM(M9:M12)</f>
        <v>0</v>
      </c>
      <c r="N14" s="432"/>
      <c r="O14" s="573"/>
      <c r="P14" s="573"/>
      <c r="Q14" s="569">
        <f>SUM(Q9:Q12)</f>
        <v>0</v>
      </c>
      <c r="R14" s="432"/>
      <c r="S14" s="573"/>
      <c r="T14" s="573"/>
      <c r="U14" s="569">
        <f>SUM(U9:U12)</f>
        <v>0</v>
      </c>
      <c r="V14" s="432"/>
      <c r="W14" s="573"/>
      <c r="X14" s="573"/>
      <c r="Y14" s="569"/>
    </row>
    <row r="15" spans="1:25" s="37" customFormat="1" ht="17.25" customHeight="1">
      <c r="A15" s="428" t="s">
        <v>116</v>
      </c>
      <c r="B15" s="431"/>
      <c r="C15" s="430">
        <f>C7+C13</f>
        <v>18.793900000000001</v>
      </c>
      <c r="D15" s="430">
        <f>D7+D13</f>
        <v>3.778</v>
      </c>
      <c r="E15" s="430">
        <f>E7+E13</f>
        <v>22.571899999999999</v>
      </c>
      <c r="F15" s="431"/>
      <c r="G15" s="569">
        <f>G7+G13</f>
        <v>18.8096</v>
      </c>
      <c r="H15" s="569">
        <f>H7+H13</f>
        <v>3.778</v>
      </c>
      <c r="I15" s="569">
        <f>I7+I13</f>
        <v>22.587600000000002</v>
      </c>
      <c r="J15" s="432"/>
      <c r="K15" s="569">
        <f>K7+K13</f>
        <v>0</v>
      </c>
      <c r="L15" s="569">
        <f>L7+L13</f>
        <v>0</v>
      </c>
      <c r="M15" s="569">
        <f>M7+M13</f>
        <v>0</v>
      </c>
      <c r="N15" s="432"/>
      <c r="O15" s="569">
        <f>O7+O13</f>
        <v>0</v>
      </c>
      <c r="P15" s="569">
        <f>P7+P13</f>
        <v>0</v>
      </c>
      <c r="Q15" s="569">
        <f>Q7+Q13</f>
        <v>0</v>
      </c>
      <c r="R15" s="432"/>
      <c r="S15" s="569">
        <f>S7+S13</f>
        <v>0</v>
      </c>
      <c r="T15" s="569">
        <f>T7+T13</f>
        <v>0</v>
      </c>
      <c r="U15" s="569">
        <f>U7+U13</f>
        <v>0</v>
      </c>
      <c r="V15" s="432"/>
      <c r="W15" s="569">
        <f>W7+W13</f>
        <v>0</v>
      </c>
      <c r="X15" s="569">
        <f>X7+X13</f>
        <v>0</v>
      </c>
      <c r="Y15" s="569">
        <f>Y7+Y13</f>
        <v>0</v>
      </c>
    </row>
    <row r="16" spans="1:25" ht="17.25" customHeight="1">
      <c r="A16" s="436"/>
      <c r="B16" s="437"/>
      <c r="C16" s="438"/>
      <c r="D16" s="438"/>
      <c r="E16" s="439"/>
      <c r="F16" s="437"/>
      <c r="G16" s="440"/>
      <c r="H16" s="440"/>
      <c r="I16" s="441"/>
      <c r="J16" s="441"/>
      <c r="K16" s="440"/>
      <c r="L16" s="440"/>
      <c r="M16" s="441"/>
      <c r="N16" s="441"/>
      <c r="O16" s="440"/>
      <c r="P16" s="440"/>
      <c r="Q16" s="441"/>
      <c r="R16" s="441"/>
      <c r="S16" s="440"/>
      <c r="T16" s="440"/>
      <c r="U16" s="441"/>
      <c r="V16" s="441"/>
      <c r="W16" s="440"/>
      <c r="X16" s="440"/>
      <c r="Y16" s="441"/>
    </row>
    <row r="17" spans="1:25">
      <c r="A17" s="561" t="s">
        <v>122</v>
      </c>
      <c r="B17" s="442"/>
      <c r="C17" s="443"/>
      <c r="D17" s="443"/>
      <c r="E17" s="444"/>
      <c r="F17" s="445"/>
      <c r="G17" s="446"/>
      <c r="H17" s="446"/>
      <c r="I17" s="447"/>
      <c r="J17" s="447"/>
      <c r="K17" s="446"/>
      <c r="L17" s="446"/>
      <c r="M17" s="447"/>
      <c r="N17" s="447"/>
      <c r="O17" s="446"/>
      <c r="P17" s="446"/>
      <c r="Q17" s="447"/>
      <c r="R17" s="447"/>
      <c r="S17" s="446"/>
      <c r="T17" s="446"/>
      <c r="U17" s="447"/>
      <c r="V17" s="447"/>
      <c r="W17" s="446"/>
      <c r="X17" s="446"/>
      <c r="Y17" s="448"/>
    </row>
    <row r="18" spans="1:25">
      <c r="A18" s="580" t="s">
        <v>123</v>
      </c>
      <c r="B18" s="564"/>
      <c r="C18" s="570"/>
      <c r="D18" s="570"/>
      <c r="E18" s="579"/>
      <c r="F18" s="564"/>
      <c r="G18" s="566"/>
      <c r="H18" s="566"/>
      <c r="I18" s="573"/>
      <c r="J18" s="564"/>
      <c r="K18" s="566"/>
      <c r="L18" s="566"/>
      <c r="M18" s="573"/>
      <c r="N18" s="564"/>
      <c r="O18" s="566"/>
      <c r="P18" s="566"/>
      <c r="Q18" s="573"/>
      <c r="R18" s="564"/>
      <c r="S18" s="566"/>
      <c r="T18" s="566"/>
      <c r="U18" s="573"/>
      <c r="V18" s="564"/>
      <c r="W18" s="566"/>
      <c r="X18" s="566"/>
      <c r="Y18" s="573"/>
    </row>
    <row r="19" spans="1:25">
      <c r="A19" s="563"/>
      <c r="B19" s="568"/>
      <c r="C19" s="581"/>
      <c r="D19" s="581"/>
      <c r="E19" s="582">
        <v>59.3</v>
      </c>
      <c r="F19" s="568"/>
      <c r="G19" s="566"/>
      <c r="H19" s="566"/>
      <c r="I19" s="582">
        <v>59.3</v>
      </c>
      <c r="J19" s="573"/>
      <c r="K19" s="566"/>
      <c r="L19" s="566"/>
      <c r="M19" s="573"/>
      <c r="N19" s="573"/>
      <c r="O19" s="566"/>
      <c r="P19" s="566"/>
      <c r="Q19" s="573"/>
      <c r="R19" s="573"/>
      <c r="S19" s="566"/>
      <c r="T19" s="566"/>
      <c r="U19" s="573"/>
      <c r="V19" s="573"/>
      <c r="W19" s="566"/>
      <c r="X19" s="566"/>
      <c r="Y19" s="573"/>
    </row>
    <row r="20" spans="1:25" s="37" customFormat="1">
      <c r="A20" s="583" t="s">
        <v>119</v>
      </c>
      <c r="B20" s="430">
        <f>SUM(B18:B19)</f>
        <v>0</v>
      </c>
      <c r="C20" s="430"/>
      <c r="D20" s="430"/>
      <c r="E20" s="430">
        <v>59.3</v>
      </c>
      <c r="F20" s="584">
        <f>SUM(F18:F19)</f>
        <v>0</v>
      </c>
      <c r="G20" s="585"/>
      <c r="H20" s="585"/>
      <c r="I20" s="430">
        <v>59.3</v>
      </c>
      <c r="J20" s="569">
        <f>SUM(J18:J19)</f>
        <v>0</v>
      </c>
      <c r="K20" s="585"/>
      <c r="L20" s="585"/>
      <c r="M20" s="569"/>
      <c r="N20" s="569">
        <f>SUM(N18:N19)</f>
        <v>0</v>
      </c>
      <c r="O20" s="585"/>
      <c r="P20" s="585"/>
      <c r="Q20" s="569"/>
      <c r="R20" s="569">
        <f>SUM(R18:R19)</f>
        <v>0</v>
      </c>
      <c r="S20" s="585"/>
      <c r="T20" s="585"/>
      <c r="U20" s="569"/>
      <c r="V20" s="569">
        <f>SUM(V18:V19)</f>
        <v>0</v>
      </c>
      <c r="W20" s="585"/>
      <c r="X20" s="585"/>
      <c r="Y20" s="569"/>
    </row>
    <row r="21" spans="1:25" ht="4.5" customHeight="1">
      <c r="A21" s="428"/>
      <c r="B21" s="574"/>
      <c r="C21" s="574"/>
      <c r="D21" s="574"/>
      <c r="E21" s="575"/>
      <c r="F21" s="431"/>
      <c r="G21" s="573"/>
      <c r="H21" s="573"/>
      <c r="I21" s="575"/>
      <c r="J21" s="432"/>
      <c r="K21" s="573"/>
      <c r="L21" s="573"/>
      <c r="M21" s="569"/>
      <c r="N21" s="432"/>
      <c r="O21" s="573"/>
      <c r="P21" s="573"/>
      <c r="Q21" s="569"/>
      <c r="R21" s="432"/>
      <c r="S21" s="573"/>
      <c r="T21" s="573"/>
      <c r="U21" s="569"/>
      <c r="V21" s="432"/>
      <c r="W21" s="573"/>
      <c r="X21" s="573"/>
      <c r="Y21" s="569"/>
    </row>
    <row r="22" spans="1:25" s="37" customFormat="1">
      <c r="A22" s="428" t="s">
        <v>124</v>
      </c>
      <c r="B22" s="449">
        <f>B20</f>
        <v>0</v>
      </c>
      <c r="C22" s="449"/>
      <c r="D22" s="449"/>
      <c r="E22" s="450">
        <v>59.3</v>
      </c>
      <c r="F22" s="584">
        <f>F20</f>
        <v>0</v>
      </c>
      <c r="G22" s="449"/>
      <c r="H22" s="449"/>
      <c r="I22" s="450">
        <v>59.3</v>
      </c>
      <c r="J22" s="432">
        <f>J20</f>
        <v>0</v>
      </c>
      <c r="K22" s="449"/>
      <c r="L22" s="449"/>
      <c r="M22" s="450"/>
      <c r="N22" s="432">
        <f>N20</f>
        <v>0</v>
      </c>
      <c r="O22" s="449"/>
      <c r="P22" s="449"/>
      <c r="Q22" s="450"/>
      <c r="R22" s="432">
        <f>R20</f>
        <v>0</v>
      </c>
      <c r="S22" s="449"/>
      <c r="T22" s="449"/>
      <c r="U22" s="450"/>
      <c r="V22" s="432">
        <f>V20</f>
        <v>0</v>
      </c>
      <c r="W22" s="449"/>
      <c r="X22" s="449"/>
      <c r="Y22" s="450"/>
    </row>
    <row r="23" spans="1:25">
      <c r="A23" s="37"/>
      <c r="B23" s="48"/>
      <c r="C23" s="49"/>
      <c r="D23" s="49"/>
      <c r="E23" s="50"/>
      <c r="F23" s="48"/>
      <c r="G23" s="49"/>
      <c r="H23" s="50"/>
      <c r="I23" s="48"/>
      <c r="J23" s="48"/>
      <c r="K23" s="49"/>
      <c r="L23" s="50"/>
      <c r="M23" s="48"/>
      <c r="N23" s="48"/>
      <c r="O23" s="49"/>
      <c r="P23" s="50"/>
      <c r="Q23" s="48"/>
      <c r="R23" s="48"/>
      <c r="S23" s="49"/>
      <c r="T23" s="50"/>
      <c r="U23" s="48"/>
      <c r="V23" s="48"/>
      <c r="W23" s="49"/>
      <c r="X23" s="50"/>
      <c r="Y23" s="48"/>
    </row>
    <row r="24" spans="1:25">
      <c r="B24" s="47"/>
      <c r="C24" s="47"/>
      <c r="D24" s="47"/>
      <c r="E24" s="47"/>
      <c r="F24" s="47"/>
      <c r="G24" s="47"/>
      <c r="H24" s="47"/>
      <c r="I24" s="47"/>
      <c r="J24" s="47"/>
      <c r="K24" s="47"/>
      <c r="L24" s="47"/>
      <c r="M24" s="47"/>
      <c r="N24" s="47"/>
      <c r="O24" s="47"/>
      <c r="P24" s="47"/>
      <c r="Q24" s="47"/>
      <c r="R24" s="47"/>
      <c r="S24" s="47"/>
      <c r="T24" s="47"/>
      <c r="U24" s="47"/>
      <c r="V24" s="47"/>
      <c r="W24" s="47"/>
      <c r="X24" s="47"/>
      <c r="Y24" s="47"/>
    </row>
    <row r="25" spans="1:25">
      <c r="A25" s="60"/>
      <c r="B25" s="712" t="s">
        <v>58</v>
      </c>
      <c r="C25" s="712"/>
      <c r="D25" s="712"/>
      <c r="E25" s="712"/>
      <c r="F25" s="712" t="s">
        <v>59</v>
      </c>
      <c r="G25" s="712"/>
      <c r="H25" s="712"/>
      <c r="I25" s="712" t="s">
        <v>58</v>
      </c>
      <c r="J25" s="712" t="s">
        <v>60</v>
      </c>
      <c r="K25" s="712"/>
      <c r="L25" s="712"/>
      <c r="M25" s="712" t="s">
        <v>58</v>
      </c>
      <c r="N25" s="712" t="s">
        <v>61</v>
      </c>
      <c r="O25" s="712"/>
      <c r="P25" s="712"/>
      <c r="Q25" s="712" t="s">
        <v>58</v>
      </c>
      <c r="R25" s="712" t="s">
        <v>62</v>
      </c>
      <c r="S25" s="712"/>
      <c r="T25" s="712"/>
      <c r="U25" s="712" t="s">
        <v>58</v>
      </c>
      <c r="V25" s="712" t="s">
        <v>63</v>
      </c>
      <c r="W25" s="712"/>
      <c r="X25" s="712"/>
      <c r="Y25" s="712" t="s">
        <v>58</v>
      </c>
    </row>
    <row r="26" spans="1:25" ht="38.25">
      <c r="A26" s="561" t="s">
        <v>112</v>
      </c>
      <c r="B26" s="562" t="s">
        <v>113</v>
      </c>
      <c r="C26" s="562" t="s">
        <v>114</v>
      </c>
      <c r="D26" s="562" t="s">
        <v>115</v>
      </c>
      <c r="E26" s="562" t="s">
        <v>116</v>
      </c>
      <c r="F26" s="562" t="s">
        <v>113</v>
      </c>
      <c r="G26" s="562" t="s">
        <v>114</v>
      </c>
      <c r="H26" s="562" t="s">
        <v>115</v>
      </c>
      <c r="I26" s="562" t="s">
        <v>116</v>
      </c>
      <c r="J26" s="562" t="s">
        <v>113</v>
      </c>
      <c r="K26" s="562" t="s">
        <v>114</v>
      </c>
      <c r="L26" s="562" t="s">
        <v>115</v>
      </c>
      <c r="M26" s="562" t="s">
        <v>116</v>
      </c>
      <c r="N26" s="562" t="s">
        <v>113</v>
      </c>
      <c r="O26" s="562" t="s">
        <v>114</v>
      </c>
      <c r="P26" s="562" t="s">
        <v>115</v>
      </c>
      <c r="Q26" s="562" t="s">
        <v>116</v>
      </c>
      <c r="R26" s="562" t="s">
        <v>113</v>
      </c>
      <c r="S26" s="562" t="s">
        <v>114</v>
      </c>
      <c r="T26" s="562" t="s">
        <v>115</v>
      </c>
      <c r="U26" s="562" t="s">
        <v>116</v>
      </c>
      <c r="V26" s="562" t="s">
        <v>113</v>
      </c>
      <c r="W26" s="562" t="s">
        <v>114</v>
      </c>
      <c r="X26" s="562" t="s">
        <v>115</v>
      </c>
      <c r="Y26" s="562" t="s">
        <v>116</v>
      </c>
    </row>
    <row r="27" spans="1:25">
      <c r="A27" s="563" t="s">
        <v>125</v>
      </c>
      <c r="B27" s="586"/>
      <c r="C27" s="586"/>
      <c r="D27" s="566"/>
      <c r="E27" s="587"/>
      <c r="F27" s="573"/>
      <c r="G27" s="566"/>
      <c r="H27" s="572"/>
      <c r="I27" s="569"/>
      <c r="J27" s="573"/>
      <c r="K27" s="566"/>
      <c r="L27" s="572"/>
      <c r="M27" s="569"/>
      <c r="N27" s="573"/>
      <c r="O27" s="566"/>
      <c r="P27" s="572"/>
      <c r="Q27" s="569"/>
      <c r="R27" s="573"/>
      <c r="S27" s="566"/>
      <c r="T27" s="572"/>
      <c r="U27" s="569"/>
      <c r="V27" s="573"/>
      <c r="W27" s="566"/>
      <c r="X27" s="572"/>
      <c r="Y27" s="569"/>
    </row>
    <row r="28" spans="1:25">
      <c r="A28" s="563" t="s">
        <v>118</v>
      </c>
      <c r="B28" s="586"/>
      <c r="C28" s="588"/>
      <c r="D28" s="566"/>
      <c r="E28" s="587">
        <f>SUM(B28:D28)</f>
        <v>0</v>
      </c>
      <c r="F28" s="573"/>
      <c r="G28" s="566"/>
      <c r="H28" s="572"/>
      <c r="I28" s="569">
        <f>SUM(G28:H28)</f>
        <v>0</v>
      </c>
      <c r="J28" s="573"/>
      <c r="K28" s="566"/>
      <c r="L28" s="572"/>
      <c r="M28" s="569">
        <f>SUM(K28:L28)</f>
        <v>0</v>
      </c>
      <c r="N28" s="573"/>
      <c r="O28" s="566"/>
      <c r="P28" s="572"/>
      <c r="Q28" s="569">
        <f t="shared" ref="Q28:Q33" si="1">SUM(O28:P28)</f>
        <v>0</v>
      </c>
      <c r="R28" s="573"/>
      <c r="S28" s="566"/>
      <c r="T28" s="572"/>
      <c r="U28" s="569">
        <f>SUM(S28:T28)</f>
        <v>0</v>
      </c>
      <c r="V28" s="573"/>
      <c r="W28" s="566"/>
      <c r="X28" s="572"/>
      <c r="Y28" s="569">
        <f>SUM(W28:X28)</f>
        <v>0</v>
      </c>
    </row>
    <row r="29" spans="1:25">
      <c r="A29" s="563" t="s">
        <v>126</v>
      </c>
      <c r="B29" s="586"/>
      <c r="C29" s="566"/>
      <c r="D29" s="566"/>
      <c r="E29" s="587"/>
      <c r="F29" s="573"/>
      <c r="G29" s="566"/>
      <c r="H29" s="572"/>
      <c r="I29" s="569">
        <f>SUM(G29:H29)</f>
        <v>0</v>
      </c>
      <c r="J29" s="573"/>
      <c r="K29" s="566"/>
      <c r="L29" s="572"/>
      <c r="M29" s="569">
        <f t="shared" ref="M29:M40" si="2">SUM(K29:L29)</f>
        <v>0</v>
      </c>
      <c r="N29" s="573"/>
      <c r="O29" s="566"/>
      <c r="P29" s="572"/>
      <c r="Q29" s="569">
        <f t="shared" si="1"/>
        <v>0</v>
      </c>
      <c r="R29" s="573"/>
      <c r="S29" s="566"/>
      <c r="T29" s="572"/>
      <c r="U29" s="569"/>
      <c r="V29" s="573"/>
      <c r="W29" s="566"/>
      <c r="X29" s="572"/>
      <c r="Y29" s="569"/>
    </row>
    <row r="30" spans="1:25">
      <c r="A30" s="563" t="s">
        <v>127</v>
      </c>
      <c r="B30" s="586"/>
      <c r="C30" s="566"/>
      <c r="D30" s="566"/>
      <c r="E30" s="587"/>
      <c r="F30" s="573"/>
      <c r="G30" s="589"/>
      <c r="H30" s="589"/>
      <c r="I30" s="569">
        <f>SUM(G30:H30)</f>
        <v>0</v>
      </c>
      <c r="J30" s="573"/>
      <c r="K30" s="589"/>
      <c r="L30" s="589"/>
      <c r="M30" s="569">
        <f t="shared" si="2"/>
        <v>0</v>
      </c>
      <c r="N30" s="573"/>
      <c r="O30" s="589"/>
      <c r="P30" s="589"/>
      <c r="Q30" s="569">
        <f t="shared" si="1"/>
        <v>0</v>
      </c>
      <c r="R30" s="573"/>
      <c r="S30" s="589"/>
      <c r="T30" s="589"/>
      <c r="U30" s="569"/>
      <c r="V30" s="573"/>
      <c r="W30" s="589"/>
      <c r="X30" s="589"/>
      <c r="Y30" s="569"/>
    </row>
    <row r="31" spans="1:25">
      <c r="A31" s="563" t="s">
        <v>128</v>
      </c>
      <c r="B31" s="586"/>
      <c r="C31" s="566"/>
      <c r="D31" s="566"/>
      <c r="E31" s="587"/>
      <c r="F31" s="573"/>
      <c r="G31" s="589"/>
      <c r="H31" s="589"/>
      <c r="I31" s="569">
        <f>SUM(G31:H31)</f>
        <v>0</v>
      </c>
      <c r="J31" s="573"/>
      <c r="K31" s="589"/>
      <c r="L31" s="589"/>
      <c r="M31" s="569">
        <f t="shared" si="2"/>
        <v>0</v>
      </c>
      <c r="N31" s="573"/>
      <c r="O31" s="589"/>
      <c r="P31" s="589"/>
      <c r="Q31" s="569">
        <f t="shared" si="1"/>
        <v>0</v>
      </c>
      <c r="R31" s="573"/>
      <c r="S31" s="589"/>
      <c r="T31" s="589"/>
      <c r="U31" s="569"/>
      <c r="V31" s="573"/>
      <c r="W31" s="589"/>
      <c r="X31" s="589"/>
      <c r="Y31" s="569"/>
    </row>
    <row r="32" spans="1:25">
      <c r="A32" s="563" t="s">
        <v>129</v>
      </c>
      <c r="B32" s="573"/>
      <c r="C32" s="566"/>
      <c r="D32" s="566"/>
      <c r="E32" s="587">
        <f>SUM(B32:D32)</f>
        <v>0</v>
      </c>
      <c r="F32" s="573"/>
      <c r="G32" s="566"/>
      <c r="H32" s="566"/>
      <c r="I32" s="569">
        <f>SUM(G32:H32)</f>
        <v>0</v>
      </c>
      <c r="J32" s="573"/>
      <c r="K32" s="566"/>
      <c r="L32" s="566"/>
      <c r="M32" s="569">
        <f t="shared" si="2"/>
        <v>0</v>
      </c>
      <c r="N32" s="573"/>
      <c r="O32" s="566"/>
      <c r="P32" s="566"/>
      <c r="Q32" s="569">
        <f t="shared" si="1"/>
        <v>0</v>
      </c>
      <c r="R32" s="573"/>
      <c r="S32" s="566"/>
      <c r="T32" s="566"/>
      <c r="U32" s="569">
        <f>SUM(S32:T32)</f>
        <v>0</v>
      </c>
      <c r="V32" s="573"/>
      <c r="W32" s="566"/>
      <c r="X32" s="566"/>
      <c r="Y32" s="569">
        <f>SUM(W32:X32)</f>
        <v>0</v>
      </c>
    </row>
    <row r="33" spans="1:25" s="37" customFormat="1">
      <c r="A33" s="428" t="s">
        <v>119</v>
      </c>
      <c r="B33" s="451"/>
      <c r="C33" s="432">
        <f>SUM(C27:C32)</f>
        <v>0</v>
      </c>
      <c r="D33" s="432">
        <f>SUM(D27:D32)</f>
        <v>0</v>
      </c>
      <c r="E33" s="432">
        <f>SUM(E27:E32)</f>
        <v>0</v>
      </c>
      <c r="F33" s="432"/>
      <c r="G33" s="569">
        <f>SUM(G27:G32)</f>
        <v>0</v>
      </c>
      <c r="H33" s="569">
        <f>SUM(H27:H32)</f>
        <v>0</v>
      </c>
      <c r="I33" s="569">
        <f>SUM(I27:I32)</f>
        <v>0</v>
      </c>
      <c r="J33" s="432"/>
      <c r="K33" s="569">
        <f>SUM(K28:K32)</f>
        <v>0</v>
      </c>
      <c r="L33" s="569">
        <f>SUM(L28:L32)</f>
        <v>0</v>
      </c>
      <c r="M33" s="569">
        <f t="shared" si="2"/>
        <v>0</v>
      </c>
      <c r="N33" s="432"/>
      <c r="O33" s="569">
        <f>SUM(O28:O32)</f>
        <v>0</v>
      </c>
      <c r="P33" s="569">
        <f>SUM(P28:P32)</f>
        <v>0</v>
      </c>
      <c r="Q33" s="569">
        <f t="shared" si="1"/>
        <v>0</v>
      </c>
      <c r="R33" s="432"/>
      <c r="S33" s="569">
        <f>SUM(S28:S32)</f>
        <v>0</v>
      </c>
      <c r="T33" s="569">
        <f>SUM(T28:T32)</f>
        <v>0</v>
      </c>
      <c r="U33" s="569">
        <f>SUM(S33:T33)</f>
        <v>0</v>
      </c>
      <c r="V33" s="432"/>
      <c r="W33" s="569">
        <f>SUM(W28:W32)</f>
        <v>0</v>
      </c>
      <c r="X33" s="569">
        <f>SUM(X28:X32)</f>
        <v>0</v>
      </c>
      <c r="Y33" s="569">
        <f>SUM(W33:X33)</f>
        <v>0</v>
      </c>
    </row>
    <row r="34" spans="1:25" ht="4.5" customHeight="1">
      <c r="A34" s="428"/>
      <c r="B34" s="432"/>
      <c r="C34" s="573"/>
      <c r="D34" s="573"/>
      <c r="E34" s="569"/>
      <c r="F34" s="432"/>
      <c r="G34" s="573"/>
      <c r="H34" s="573"/>
      <c r="I34" s="569"/>
      <c r="J34" s="432"/>
      <c r="K34" s="573"/>
      <c r="L34" s="573"/>
      <c r="M34" s="569"/>
      <c r="N34" s="432"/>
      <c r="O34" s="573"/>
      <c r="P34" s="573"/>
      <c r="Q34" s="569"/>
      <c r="R34" s="432"/>
      <c r="S34" s="573"/>
      <c r="T34" s="573"/>
      <c r="U34" s="569"/>
      <c r="V34" s="432"/>
      <c r="W34" s="573"/>
      <c r="X34" s="573"/>
      <c r="Y34" s="569"/>
    </row>
    <row r="35" spans="1:25">
      <c r="A35" s="433" t="s">
        <v>51</v>
      </c>
      <c r="B35" s="435"/>
      <c r="C35" s="577"/>
      <c r="D35" s="577"/>
      <c r="E35" s="578"/>
      <c r="F35" s="435"/>
      <c r="G35" s="577"/>
      <c r="H35" s="578"/>
      <c r="I35" s="569">
        <f>SUM(G35:H35)</f>
        <v>0</v>
      </c>
      <c r="J35" s="435"/>
      <c r="K35" s="577"/>
      <c r="L35" s="578"/>
      <c r="M35" s="569">
        <f t="shared" si="2"/>
        <v>0</v>
      </c>
      <c r="N35" s="435"/>
      <c r="O35" s="569"/>
      <c r="P35" s="578"/>
      <c r="Q35" s="569">
        <f t="shared" ref="Q35:Q40" si="3">SUM(O35:P35)</f>
        <v>0</v>
      </c>
      <c r="R35" s="435"/>
      <c r="S35" s="577"/>
      <c r="T35" s="578"/>
      <c r="U35" s="569">
        <f t="shared" ref="U35:U40" si="4">SUM(S35:T35)</f>
        <v>0</v>
      </c>
      <c r="V35" s="435"/>
      <c r="W35" s="577"/>
      <c r="X35" s="578"/>
      <c r="Y35" s="569">
        <f t="shared" ref="Y35:Y40" si="5">SUM(W35:X35)</f>
        <v>0</v>
      </c>
    </row>
    <row r="36" spans="1:25">
      <c r="A36" s="563" t="s">
        <v>120</v>
      </c>
      <c r="B36" s="586"/>
      <c r="C36" s="586"/>
      <c r="D36" s="566"/>
      <c r="E36" s="587"/>
      <c r="F36" s="573"/>
      <c r="G36" s="566"/>
      <c r="H36" s="566"/>
      <c r="I36" s="569">
        <f>SUM(G36:H36)</f>
        <v>0</v>
      </c>
      <c r="J36" s="573"/>
      <c r="K36" s="566"/>
      <c r="L36" s="566"/>
      <c r="M36" s="569">
        <f t="shared" si="2"/>
        <v>0</v>
      </c>
      <c r="N36" s="573"/>
      <c r="O36" s="569"/>
      <c r="P36" s="566"/>
      <c r="Q36" s="569">
        <f t="shared" si="3"/>
        <v>0</v>
      </c>
      <c r="R36" s="573"/>
      <c r="S36" s="566"/>
      <c r="T36" s="566"/>
      <c r="U36" s="569">
        <f t="shared" si="4"/>
        <v>0</v>
      </c>
      <c r="V36" s="573"/>
      <c r="W36" s="566"/>
      <c r="X36" s="566"/>
      <c r="Y36" s="569">
        <f t="shared" si="5"/>
        <v>0</v>
      </c>
    </row>
    <row r="37" spans="1:25">
      <c r="A37" s="563" t="s">
        <v>130</v>
      </c>
      <c r="B37" s="586"/>
      <c r="C37" s="586"/>
      <c r="D37" s="566"/>
      <c r="E37" s="587"/>
      <c r="F37" s="573"/>
      <c r="G37" s="566"/>
      <c r="H37" s="566"/>
      <c r="I37" s="569">
        <f>SUM(G37:H37)</f>
        <v>0</v>
      </c>
      <c r="J37" s="573"/>
      <c r="K37" s="566"/>
      <c r="L37" s="566"/>
      <c r="M37" s="569">
        <f t="shared" si="2"/>
        <v>0</v>
      </c>
      <c r="N37" s="573"/>
      <c r="O37" s="569"/>
      <c r="P37" s="566"/>
      <c r="Q37" s="569">
        <f t="shared" si="3"/>
        <v>0</v>
      </c>
      <c r="R37" s="573"/>
      <c r="S37" s="566"/>
      <c r="T37" s="566"/>
      <c r="U37" s="569">
        <f t="shared" si="4"/>
        <v>0</v>
      </c>
      <c r="V37" s="573"/>
      <c r="W37" s="566"/>
      <c r="X37" s="566"/>
      <c r="Y37" s="569">
        <f t="shared" si="5"/>
        <v>0</v>
      </c>
    </row>
    <row r="38" spans="1:25">
      <c r="A38" s="563" t="s">
        <v>121</v>
      </c>
      <c r="B38" s="586"/>
      <c r="C38" s="586"/>
      <c r="D38" s="566"/>
      <c r="E38" s="587"/>
      <c r="F38" s="573"/>
      <c r="G38" s="566"/>
      <c r="H38" s="566"/>
      <c r="I38" s="569">
        <f>SUM(G38:H38)</f>
        <v>0</v>
      </c>
      <c r="J38" s="573"/>
      <c r="K38" s="566"/>
      <c r="L38" s="566"/>
      <c r="M38" s="569">
        <f t="shared" si="2"/>
        <v>0</v>
      </c>
      <c r="N38" s="573"/>
      <c r="O38" s="569"/>
      <c r="P38" s="566"/>
      <c r="Q38" s="569">
        <f t="shared" si="3"/>
        <v>0</v>
      </c>
      <c r="R38" s="573"/>
      <c r="S38" s="566"/>
      <c r="T38" s="566"/>
      <c r="U38" s="569">
        <f t="shared" si="4"/>
        <v>0</v>
      </c>
      <c r="V38" s="573"/>
      <c r="W38" s="566"/>
      <c r="X38" s="566"/>
      <c r="Y38" s="569">
        <f t="shared" si="5"/>
        <v>0</v>
      </c>
    </row>
    <row r="39" spans="1:25">
      <c r="A39" s="563"/>
      <c r="B39" s="573"/>
      <c r="C39" s="566"/>
      <c r="D39" s="566"/>
      <c r="E39" s="585"/>
      <c r="F39" s="573"/>
      <c r="G39" s="566"/>
      <c r="H39" s="566"/>
      <c r="I39" s="569">
        <f>SUM(G39:H39)</f>
        <v>0</v>
      </c>
      <c r="J39" s="573"/>
      <c r="K39" s="566"/>
      <c r="L39" s="566"/>
      <c r="M39" s="569">
        <f t="shared" si="2"/>
        <v>0</v>
      </c>
      <c r="N39" s="573"/>
      <c r="O39" s="569"/>
      <c r="P39" s="566"/>
      <c r="Q39" s="569">
        <f t="shared" si="3"/>
        <v>0</v>
      </c>
      <c r="R39" s="573"/>
      <c r="S39" s="566"/>
      <c r="T39" s="566"/>
      <c r="U39" s="569">
        <f t="shared" si="4"/>
        <v>0</v>
      </c>
      <c r="V39" s="573"/>
      <c r="W39" s="566"/>
      <c r="X39" s="566"/>
      <c r="Y39" s="569">
        <f t="shared" si="5"/>
        <v>0</v>
      </c>
    </row>
    <row r="40" spans="1:25" s="37" customFormat="1">
      <c r="A40" s="428" t="s">
        <v>119</v>
      </c>
      <c r="B40" s="451"/>
      <c r="C40" s="432">
        <f>SUM(C35:C39)</f>
        <v>0</v>
      </c>
      <c r="D40" s="432">
        <f>SUM(D36:D39)</f>
        <v>0</v>
      </c>
      <c r="E40" s="432">
        <f>SUM(E36:E39)</f>
        <v>0</v>
      </c>
      <c r="F40" s="432"/>
      <c r="G40" s="569">
        <f>SUM(G35:G39)</f>
        <v>0</v>
      </c>
      <c r="H40" s="569">
        <f>SUM(H35:H39)</f>
        <v>0</v>
      </c>
      <c r="I40" s="569">
        <f>SUM(I35:I39)</f>
        <v>0</v>
      </c>
      <c r="J40" s="432"/>
      <c r="K40" s="569">
        <f>(K35+K39)</f>
        <v>0</v>
      </c>
      <c r="L40" s="569">
        <f>(L35+L39)</f>
        <v>0</v>
      </c>
      <c r="M40" s="569">
        <f t="shared" si="2"/>
        <v>0</v>
      </c>
      <c r="N40" s="432"/>
      <c r="O40" s="569"/>
      <c r="P40" s="569"/>
      <c r="Q40" s="569">
        <f t="shared" si="3"/>
        <v>0</v>
      </c>
      <c r="R40" s="432"/>
      <c r="S40" s="569"/>
      <c r="T40" s="569"/>
      <c r="U40" s="569">
        <f t="shared" si="4"/>
        <v>0</v>
      </c>
      <c r="V40" s="432"/>
      <c r="W40" s="569"/>
      <c r="X40" s="569"/>
      <c r="Y40" s="569">
        <f t="shared" si="5"/>
        <v>0</v>
      </c>
    </row>
    <row r="41" spans="1:25" ht="4.5" customHeight="1">
      <c r="A41" s="428"/>
      <c r="B41" s="432"/>
      <c r="C41" s="573"/>
      <c r="D41" s="573"/>
      <c r="E41" s="569"/>
      <c r="F41" s="432"/>
      <c r="G41" s="573"/>
      <c r="H41" s="573"/>
      <c r="I41" s="569"/>
      <c r="J41" s="432"/>
      <c r="K41" s="573"/>
      <c r="L41" s="573"/>
      <c r="M41" s="569"/>
      <c r="N41" s="432"/>
      <c r="O41" s="573"/>
      <c r="P41" s="573"/>
      <c r="Q41" s="569"/>
      <c r="R41" s="432"/>
      <c r="S41" s="573"/>
      <c r="T41" s="573"/>
      <c r="U41" s="569"/>
      <c r="V41" s="432"/>
      <c r="W41" s="573"/>
      <c r="X41" s="573"/>
      <c r="Y41" s="569"/>
    </row>
    <row r="42" spans="1:25" ht="17.25" customHeight="1">
      <c r="A42" s="428" t="s">
        <v>116</v>
      </c>
      <c r="B42" s="432"/>
      <c r="C42" s="432">
        <f>C33+C40</f>
        <v>0</v>
      </c>
      <c r="D42" s="432">
        <f>D33+D40</f>
        <v>0</v>
      </c>
      <c r="E42" s="432">
        <f>E33+E40</f>
        <v>0</v>
      </c>
      <c r="F42" s="432"/>
      <c r="G42" s="569">
        <f>G33+G40</f>
        <v>0</v>
      </c>
      <c r="H42" s="569">
        <f>H33+H40</f>
        <v>0</v>
      </c>
      <c r="I42" s="569">
        <f>I33+I40</f>
        <v>0</v>
      </c>
      <c r="J42" s="432"/>
      <c r="K42" s="569">
        <f>(K33+K40)</f>
        <v>0</v>
      </c>
      <c r="L42" s="569">
        <f>(L33+L40)</f>
        <v>0</v>
      </c>
      <c r="M42" s="569">
        <f>(M33+M40)</f>
        <v>0</v>
      </c>
      <c r="N42" s="569">
        <f>N33+N40</f>
        <v>0</v>
      </c>
      <c r="O42" s="569">
        <f>O33+O40</f>
        <v>0</v>
      </c>
      <c r="P42" s="569">
        <f>(P33+P40)</f>
        <v>0</v>
      </c>
      <c r="Q42" s="569">
        <f>(Q33+Q40)</f>
        <v>0</v>
      </c>
      <c r="R42" s="569">
        <f t="shared" ref="R42:Y42" si="6">SUM(R33:R40)</f>
        <v>0</v>
      </c>
      <c r="S42" s="569">
        <f t="shared" si="6"/>
        <v>0</v>
      </c>
      <c r="T42" s="569">
        <f t="shared" si="6"/>
        <v>0</v>
      </c>
      <c r="U42" s="569">
        <f t="shared" si="6"/>
        <v>0</v>
      </c>
      <c r="V42" s="569">
        <f t="shared" si="6"/>
        <v>0</v>
      </c>
      <c r="W42" s="569">
        <f t="shared" si="6"/>
        <v>0</v>
      </c>
      <c r="X42" s="569">
        <f t="shared" si="6"/>
        <v>0</v>
      </c>
      <c r="Y42" s="569">
        <f t="shared" si="6"/>
        <v>0</v>
      </c>
    </row>
    <row r="43" spans="1:25" ht="17.25" customHeight="1">
      <c r="A43" s="436"/>
      <c r="B43" s="441"/>
      <c r="C43" s="440"/>
      <c r="D43" s="440"/>
      <c r="E43" s="441"/>
      <c r="F43" s="441"/>
      <c r="G43" s="440"/>
      <c r="H43" s="440"/>
      <c r="I43" s="441"/>
      <c r="J43" s="441"/>
      <c r="K43" s="440"/>
      <c r="L43" s="440"/>
      <c r="M43" s="441"/>
      <c r="N43" s="441"/>
      <c r="O43" s="440"/>
      <c r="P43" s="440"/>
      <c r="Q43" s="441"/>
      <c r="R43" s="441"/>
      <c r="S43" s="440"/>
      <c r="T43" s="440"/>
      <c r="U43" s="441"/>
      <c r="V43" s="441"/>
      <c r="W43" s="440"/>
      <c r="X43" s="440"/>
      <c r="Y43" s="441"/>
    </row>
    <row r="44" spans="1:25">
      <c r="A44" s="561" t="s">
        <v>122</v>
      </c>
      <c r="B44" s="452"/>
      <c r="C44" s="446"/>
      <c r="D44" s="446"/>
      <c r="E44" s="453"/>
      <c r="F44" s="447"/>
      <c r="G44" s="446"/>
      <c r="H44" s="446"/>
      <c r="I44" s="447"/>
      <c r="J44" s="447"/>
      <c r="K44" s="446"/>
      <c r="L44" s="446"/>
      <c r="M44" s="447"/>
      <c r="N44" s="447"/>
      <c r="O44" s="446"/>
      <c r="P44" s="446"/>
      <c r="Q44" s="447"/>
      <c r="R44" s="447"/>
      <c r="S44" s="446"/>
      <c r="T44" s="446"/>
      <c r="U44" s="447"/>
      <c r="V44" s="447"/>
      <c r="W44" s="446"/>
      <c r="X44" s="446"/>
      <c r="Y44" s="448"/>
    </row>
    <row r="45" spans="1:25">
      <c r="A45" s="580" t="s">
        <v>123</v>
      </c>
      <c r="B45" s="573"/>
      <c r="C45" s="586"/>
      <c r="D45" s="586"/>
      <c r="E45" s="585"/>
      <c r="F45" s="564"/>
      <c r="G45" s="586"/>
      <c r="H45" s="586"/>
      <c r="I45" s="585"/>
      <c r="J45" s="564"/>
      <c r="K45" s="586"/>
      <c r="L45" s="586"/>
      <c r="M45" s="585"/>
      <c r="N45" s="564"/>
      <c r="O45" s="586"/>
      <c r="P45" s="586"/>
      <c r="Q45" s="585"/>
      <c r="R45" s="564"/>
      <c r="S45" s="586"/>
      <c r="T45" s="586"/>
      <c r="U45" s="585"/>
      <c r="V45" s="564"/>
      <c r="W45" s="586"/>
      <c r="X45" s="586"/>
      <c r="Y45" s="585"/>
    </row>
    <row r="46" spans="1:25">
      <c r="A46" s="563"/>
      <c r="B46" s="573"/>
      <c r="C46" s="566"/>
      <c r="D46" s="566"/>
      <c r="E46" s="585"/>
      <c r="F46" s="573"/>
      <c r="G46" s="566"/>
      <c r="H46" s="566"/>
      <c r="I46" s="585"/>
      <c r="J46" s="573"/>
      <c r="K46" s="566"/>
      <c r="L46" s="566"/>
      <c r="M46" s="585"/>
      <c r="N46" s="573"/>
      <c r="O46" s="566"/>
      <c r="P46" s="566"/>
      <c r="Q46" s="585"/>
      <c r="R46" s="573"/>
      <c r="S46" s="566"/>
      <c r="T46" s="566"/>
      <c r="U46" s="585"/>
      <c r="V46" s="573"/>
      <c r="W46" s="566"/>
      <c r="X46" s="566"/>
      <c r="Y46" s="585"/>
    </row>
    <row r="47" spans="1:25" s="37" customFormat="1">
      <c r="A47" s="583" t="s">
        <v>119</v>
      </c>
      <c r="B47" s="432">
        <f>SUM(B45:B46)</f>
        <v>0</v>
      </c>
      <c r="C47" s="432"/>
      <c r="D47" s="432"/>
      <c r="E47" s="432"/>
      <c r="F47" s="432">
        <f>SUM(F45:F46)</f>
        <v>0</v>
      </c>
      <c r="G47" s="432"/>
      <c r="H47" s="432"/>
      <c r="I47" s="432">
        <f>SUM(I45:I46)</f>
        <v>0</v>
      </c>
      <c r="J47" s="432"/>
      <c r="K47" s="432"/>
      <c r="L47" s="432"/>
      <c r="M47" s="432">
        <f>SUM(M45:M46)</f>
        <v>0</v>
      </c>
      <c r="N47" s="432"/>
      <c r="O47" s="432"/>
      <c r="P47" s="432"/>
      <c r="Q47" s="432">
        <f>SUM(Q45:Q46)</f>
        <v>0</v>
      </c>
      <c r="R47" s="432"/>
      <c r="S47" s="432"/>
      <c r="T47" s="432"/>
      <c r="U47" s="432">
        <f>SUM(U45:U46)</f>
        <v>0</v>
      </c>
      <c r="V47" s="432"/>
      <c r="W47" s="432"/>
      <c r="X47" s="432"/>
      <c r="Y47" s="432"/>
    </row>
    <row r="48" spans="1:25" ht="4.5" customHeight="1">
      <c r="A48" s="428"/>
      <c r="B48" s="573"/>
      <c r="C48" s="573"/>
      <c r="D48" s="573"/>
      <c r="E48" s="569"/>
      <c r="F48" s="573"/>
      <c r="G48" s="573"/>
      <c r="H48" s="573"/>
      <c r="I48" s="569"/>
      <c r="J48" s="573"/>
      <c r="K48" s="573"/>
      <c r="L48" s="573"/>
      <c r="M48" s="569"/>
      <c r="N48" s="573"/>
      <c r="O48" s="573"/>
      <c r="P48" s="573"/>
      <c r="Q48" s="569"/>
      <c r="R48" s="573"/>
      <c r="S48" s="573"/>
      <c r="T48" s="573"/>
      <c r="U48" s="569"/>
      <c r="V48" s="573"/>
      <c r="W48" s="573"/>
      <c r="X48" s="573"/>
      <c r="Y48" s="569"/>
    </row>
    <row r="49" spans="1:25" s="40" customFormat="1">
      <c r="A49" s="428" t="s">
        <v>124</v>
      </c>
      <c r="B49" s="454">
        <f>B47</f>
        <v>0</v>
      </c>
      <c r="C49" s="454"/>
      <c r="D49" s="454"/>
      <c r="E49" s="454"/>
      <c r="F49" s="454">
        <f>F47</f>
        <v>0</v>
      </c>
      <c r="G49" s="454"/>
      <c r="H49" s="454"/>
      <c r="I49" s="454">
        <f>I47</f>
        <v>0</v>
      </c>
      <c r="J49" s="454"/>
      <c r="K49" s="454"/>
      <c r="L49" s="454"/>
      <c r="M49" s="454">
        <f>M47</f>
        <v>0</v>
      </c>
      <c r="N49" s="454"/>
      <c r="O49" s="454"/>
      <c r="P49" s="454"/>
      <c r="Q49" s="454">
        <f>Q47</f>
        <v>0</v>
      </c>
      <c r="R49" s="454"/>
      <c r="S49" s="454"/>
      <c r="T49" s="454"/>
      <c r="U49" s="454">
        <f>U47</f>
        <v>0</v>
      </c>
      <c r="V49" s="454"/>
      <c r="W49" s="454"/>
      <c r="X49" s="454"/>
      <c r="Y49" s="454"/>
    </row>
    <row r="50" spans="1:25" s="45" customFormat="1">
      <c r="A50" s="37"/>
      <c r="B50" s="41"/>
      <c r="C50" s="41"/>
      <c r="D50" s="41"/>
      <c r="E50" s="42"/>
      <c r="F50" s="40"/>
      <c r="G50" s="43"/>
      <c r="H50" s="44"/>
      <c r="I50" s="40"/>
      <c r="J50" s="40"/>
      <c r="K50" s="43"/>
      <c r="L50" s="44"/>
      <c r="M50" s="40"/>
      <c r="N50" s="40"/>
      <c r="O50" s="43"/>
      <c r="P50" s="44"/>
      <c r="Q50" s="40"/>
      <c r="R50" s="40"/>
      <c r="S50" s="43"/>
      <c r="T50" s="44"/>
      <c r="U50" s="40"/>
      <c r="V50" s="40"/>
      <c r="W50" s="43"/>
      <c r="X50" s="44"/>
      <c r="Y50" s="40"/>
    </row>
    <row r="51" spans="1:25">
      <c r="A51" s="37" t="s">
        <v>68</v>
      </c>
      <c r="B51" s="37"/>
      <c r="C51" s="39" t="s">
        <v>131</v>
      </c>
      <c r="D51" s="39"/>
      <c r="E51" s="39"/>
      <c r="F51" s="37"/>
      <c r="G51" s="39"/>
      <c r="H51" s="39"/>
      <c r="I51" s="37"/>
      <c r="J51" s="37"/>
      <c r="K51" s="39"/>
      <c r="L51" s="39"/>
      <c r="M51" s="37"/>
      <c r="N51" s="37"/>
      <c r="O51" s="39"/>
      <c r="P51" s="39"/>
      <c r="Q51" s="37"/>
      <c r="R51" s="37"/>
      <c r="S51" s="39"/>
      <c r="T51" s="39"/>
      <c r="V51" s="37"/>
      <c r="W51" s="39"/>
      <c r="X51" s="39"/>
      <c r="Y51" s="37"/>
    </row>
    <row r="52" spans="1:25">
      <c r="W52" s="39"/>
      <c r="X52" s="39"/>
    </row>
    <row r="53" spans="1:25">
      <c r="A53" s="37" t="s">
        <v>132</v>
      </c>
      <c r="B53" s="37" t="s">
        <v>133</v>
      </c>
      <c r="D53" s="39"/>
      <c r="G53" s="39"/>
      <c r="I53" s="37"/>
      <c r="K53" s="39"/>
      <c r="M53" s="37"/>
      <c r="O53" s="39"/>
      <c r="P53" s="39"/>
      <c r="S53" s="39"/>
      <c r="T53" s="39"/>
      <c r="W53" s="39"/>
      <c r="X53" s="39"/>
    </row>
    <row r="54" spans="1:25">
      <c r="A54" s="37" t="s">
        <v>134</v>
      </c>
      <c r="B54" s="37" t="s">
        <v>135</v>
      </c>
      <c r="D54" s="39"/>
      <c r="G54" s="39"/>
      <c r="I54" s="37"/>
      <c r="K54" s="39"/>
      <c r="M54" s="37"/>
      <c r="O54" s="39"/>
      <c r="P54" s="39"/>
      <c r="S54" s="39"/>
      <c r="T54" s="39"/>
    </row>
    <row r="55" spans="1:25">
      <c r="A55" s="37" t="s">
        <v>136</v>
      </c>
      <c r="B55" s="37" t="s">
        <v>137</v>
      </c>
      <c r="D55" s="39"/>
      <c r="G55" s="39"/>
      <c r="I55" s="37"/>
      <c r="K55" s="39"/>
      <c r="M55" s="37"/>
      <c r="U55" s="46"/>
      <c r="V55" s="46"/>
      <c r="Y55" s="46"/>
    </row>
    <row r="56" spans="1:25">
      <c r="A56" s="37" t="s">
        <v>138</v>
      </c>
      <c r="B56" s="37" t="s">
        <v>139</v>
      </c>
      <c r="D56" s="39"/>
      <c r="F56" s="46"/>
      <c r="I56" s="46"/>
      <c r="J56" s="46"/>
      <c r="M56" s="46"/>
      <c r="N56" s="46"/>
      <c r="Q56" s="46"/>
      <c r="R56" s="46"/>
      <c r="W56" s="39"/>
      <c r="X56" s="39"/>
    </row>
    <row r="57" spans="1:25">
      <c r="A57" s="37"/>
      <c r="B57" s="37"/>
      <c r="D57" s="39"/>
      <c r="G57" s="39"/>
      <c r="I57" s="37"/>
      <c r="K57" s="39"/>
      <c r="M57" s="37"/>
      <c r="O57" s="39"/>
      <c r="P57" s="39"/>
      <c r="S57" s="39"/>
      <c r="T57" s="39"/>
      <c r="U57" s="46"/>
      <c r="V57" s="46"/>
      <c r="Y57" s="46"/>
    </row>
    <row r="58" spans="1:25">
      <c r="A58" s="46"/>
      <c r="B58" s="46"/>
      <c r="F58" s="46"/>
      <c r="I58" s="46"/>
      <c r="J58" s="46"/>
      <c r="M58" s="46"/>
      <c r="N58" s="46"/>
      <c r="Q58" s="46"/>
      <c r="R58" s="46"/>
      <c r="U58" s="46"/>
      <c r="V58" s="46"/>
      <c r="Y58" s="46"/>
    </row>
    <row r="59" spans="1:25">
      <c r="A59" s="46"/>
      <c r="B59" s="46"/>
      <c r="F59" s="46"/>
      <c r="I59" s="46"/>
      <c r="J59" s="46"/>
      <c r="M59" s="46"/>
      <c r="N59" s="46"/>
      <c r="Q59" s="46"/>
      <c r="R59" s="46"/>
      <c r="U59" s="46"/>
      <c r="V59" s="46"/>
      <c r="Y59" s="46"/>
    </row>
    <row r="60" spans="1:25">
      <c r="A60" s="46"/>
      <c r="B60" s="46"/>
      <c r="F60" s="46"/>
      <c r="I60" s="46"/>
      <c r="J60" s="46"/>
      <c r="M60" s="46"/>
      <c r="N60" s="46"/>
      <c r="Q60" s="46"/>
      <c r="R60" s="46"/>
      <c r="U60" s="46"/>
      <c r="V60" s="46"/>
      <c r="Y60" s="46"/>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22"/>
  <sheetViews>
    <sheetView zoomScaleNormal="100" zoomScaleSheetLayoutView="90" workbookViewId="0">
      <selection activeCell="A7" sqref="A7:G7"/>
    </sheetView>
  </sheetViews>
  <sheetFormatPr defaultColWidth="9.28515625" defaultRowHeight="14.25" customHeight="1"/>
  <cols>
    <col min="1" max="1" width="56.7109375" style="229" customWidth="1"/>
    <col min="2" max="2" width="30" style="146" customWidth="1"/>
    <col min="3" max="3" width="15.7109375" style="230" customWidth="1"/>
    <col min="4" max="4" width="27" style="229" bestFit="1" customWidth="1"/>
    <col min="5" max="5" width="15.7109375" style="229" customWidth="1"/>
    <col min="6" max="6" width="22" style="229" customWidth="1"/>
    <col min="7" max="7" width="37" style="229" customWidth="1"/>
    <col min="8" max="16384" width="9.28515625" style="106"/>
  </cols>
  <sheetData>
    <row r="2" spans="1:7" ht="12.75">
      <c r="C2" s="147" t="s">
        <v>39</v>
      </c>
    </row>
    <row r="3" spans="1:7" ht="12.75">
      <c r="C3" s="147" t="s">
        <v>140</v>
      </c>
    </row>
    <row r="4" spans="1:7" ht="12.75">
      <c r="C4" s="494">
        <f>'Program MW '!H3</f>
        <v>44774</v>
      </c>
    </row>
    <row r="5" spans="1:7" ht="12.75">
      <c r="C5" s="147"/>
    </row>
    <row r="7" spans="1:7" ht="15.75">
      <c r="A7" s="713" t="s">
        <v>141</v>
      </c>
      <c r="B7" s="714"/>
      <c r="C7" s="714"/>
      <c r="D7" s="714"/>
      <c r="E7" s="714"/>
      <c r="F7" s="714"/>
      <c r="G7" s="715"/>
    </row>
    <row r="8" spans="1:7" ht="27">
      <c r="A8" s="495" t="s">
        <v>142</v>
      </c>
      <c r="B8" s="495" t="s">
        <v>143</v>
      </c>
      <c r="C8" s="496" t="s">
        <v>144</v>
      </c>
      <c r="D8" s="495" t="s">
        <v>145</v>
      </c>
      <c r="E8" s="497" t="s">
        <v>146</v>
      </c>
      <c r="F8" s="497" t="s">
        <v>147</v>
      </c>
      <c r="G8" s="497" t="s">
        <v>148</v>
      </c>
    </row>
    <row r="9" spans="1:7" ht="14.25" customHeight="1">
      <c r="A9" s="696" t="s">
        <v>149</v>
      </c>
      <c r="B9" s="691">
        <v>1</v>
      </c>
      <c r="C9" s="692">
        <v>44789</v>
      </c>
      <c r="D9" s="693" t="s">
        <v>150</v>
      </c>
      <c r="E9" s="694">
        <v>5.4595795000000003</v>
      </c>
      <c r="F9" s="695" t="s">
        <v>151</v>
      </c>
      <c r="G9" s="498">
        <v>2</v>
      </c>
    </row>
    <row r="10" spans="1:7" ht="14.25" customHeight="1">
      <c r="A10" s="696" t="s">
        <v>152</v>
      </c>
      <c r="B10" s="691">
        <v>2</v>
      </c>
      <c r="C10" s="692">
        <v>44789</v>
      </c>
      <c r="D10" s="693" t="s">
        <v>150</v>
      </c>
      <c r="E10" s="694">
        <v>0.47269945000000002</v>
      </c>
      <c r="F10" s="695" t="s">
        <v>151</v>
      </c>
      <c r="G10" s="498">
        <v>2</v>
      </c>
    </row>
    <row r="11" spans="1:7" ht="14.25" customHeight="1">
      <c r="A11" s="696" t="s">
        <v>149</v>
      </c>
      <c r="B11" s="691">
        <v>3</v>
      </c>
      <c r="C11" s="692">
        <v>44790</v>
      </c>
      <c r="D11" s="693" t="s">
        <v>150</v>
      </c>
      <c r="E11" s="694">
        <v>2.3063305000000001</v>
      </c>
      <c r="F11" s="695" t="s">
        <v>151</v>
      </c>
      <c r="G11" s="498">
        <v>4</v>
      </c>
    </row>
    <row r="12" spans="1:7" ht="14.25" customHeight="1">
      <c r="A12" s="696" t="s">
        <v>149</v>
      </c>
      <c r="B12" s="691">
        <v>4</v>
      </c>
      <c r="C12" s="692">
        <v>44803</v>
      </c>
      <c r="D12" s="693" t="s">
        <v>150</v>
      </c>
      <c r="E12" s="694">
        <v>4.2578125</v>
      </c>
      <c r="F12" s="695" t="s">
        <v>151</v>
      </c>
      <c r="G12" s="498">
        <v>6</v>
      </c>
    </row>
    <row r="13" spans="1:7" ht="14.25" customHeight="1">
      <c r="A13" s="696" t="s">
        <v>152</v>
      </c>
      <c r="B13" s="691">
        <v>5</v>
      </c>
      <c r="C13" s="692">
        <v>44803</v>
      </c>
      <c r="D13" s="693" t="s">
        <v>150</v>
      </c>
      <c r="E13" s="694">
        <v>6.7276812499999998</v>
      </c>
      <c r="F13" s="695" t="s">
        <v>151</v>
      </c>
      <c r="G13" s="498">
        <v>4</v>
      </c>
    </row>
    <row r="14" spans="1:7" ht="18" customHeight="1">
      <c r="A14" s="696" t="s">
        <v>149</v>
      </c>
      <c r="B14" s="691">
        <v>6</v>
      </c>
      <c r="C14" s="692">
        <v>44804</v>
      </c>
      <c r="D14" s="693" t="s">
        <v>150</v>
      </c>
      <c r="E14" s="694">
        <v>6.0802544999999997</v>
      </c>
      <c r="F14" s="695" t="s">
        <v>151</v>
      </c>
      <c r="G14" s="498">
        <v>8</v>
      </c>
    </row>
    <row r="15" spans="1:7" ht="18.75" customHeight="1">
      <c r="A15" s="696" t="s">
        <v>152</v>
      </c>
      <c r="B15" s="691">
        <v>7</v>
      </c>
      <c r="C15" s="692">
        <v>44804</v>
      </c>
      <c r="D15" s="693" t="s">
        <v>150</v>
      </c>
      <c r="E15" s="694">
        <v>0.6488653499999999</v>
      </c>
      <c r="F15" s="695" t="s">
        <v>151</v>
      </c>
      <c r="G15" s="498">
        <v>6</v>
      </c>
    </row>
    <row r="16" spans="1:7" ht="14.25" customHeight="1">
      <c r="A16" s="696" t="s">
        <v>153</v>
      </c>
      <c r="B16" s="691">
        <v>8</v>
      </c>
      <c r="C16" s="692">
        <v>44804</v>
      </c>
      <c r="D16" s="693" t="s">
        <v>154</v>
      </c>
      <c r="E16" s="694">
        <v>0.95193304999999995</v>
      </c>
      <c r="F16" s="695" t="s">
        <v>151</v>
      </c>
      <c r="G16" s="498">
        <v>2</v>
      </c>
    </row>
    <row r="17" spans="1:7" ht="14.25" customHeight="1">
      <c r="A17" s="35"/>
      <c r="B17" s="389"/>
      <c r="C17" s="390"/>
      <c r="E17" s="499"/>
      <c r="F17" s="391"/>
      <c r="G17" s="392"/>
    </row>
    <row r="18" spans="1:7" ht="14.25" customHeight="1">
      <c r="A18" s="299" t="s">
        <v>68</v>
      </c>
    </row>
    <row r="19" spans="1:7" ht="14.25" customHeight="1">
      <c r="A19" s="355" t="s">
        <v>155</v>
      </c>
    </row>
    <row r="20" spans="1:7" ht="14.25" customHeight="1">
      <c r="A20" s="386" t="s">
        <v>156</v>
      </c>
    </row>
    <row r="21" spans="1:7" ht="14.25" customHeight="1">
      <c r="A21" s="276" t="s">
        <v>84</v>
      </c>
    </row>
    <row r="22" spans="1:7" ht="14.25" customHeight="1">
      <c r="A22" s="500"/>
    </row>
  </sheetData>
  <mergeCells count="1">
    <mergeCell ref="A7:G7"/>
  </mergeCells>
  <phoneticPr fontId="0" type="noConversion"/>
  <printOptions horizontalCentered="1"/>
  <pageMargins left="0" right="0" top="0.55000000000000004" bottom="0.17" header="0.3" footer="0.15"/>
  <pageSetup paperSize="5" scale="68"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U64"/>
  <sheetViews>
    <sheetView showGridLines="0" zoomScaleNormal="100" zoomScaleSheetLayoutView="80" workbookViewId="0">
      <pane xSplit="1" ySplit="9" topLeftCell="B25" activePane="bottomRight" state="frozen"/>
      <selection pane="topRight" activeCell="O33" sqref="O33"/>
      <selection pane="bottomLeft" activeCell="O33" sqref="O33"/>
      <selection pane="bottomRight" activeCell="A26" sqref="A26"/>
    </sheetView>
  </sheetViews>
  <sheetFormatPr defaultColWidth="8.28515625" defaultRowHeight="12.75"/>
  <cols>
    <col min="1" max="1" width="86.28515625" style="66" customWidth="1"/>
    <col min="2" max="6" width="9.5703125" style="66" bestFit="1" customWidth="1"/>
    <col min="7" max="7" width="13" style="66" customWidth="1"/>
    <col min="8" max="9" width="9.5703125" style="66" bestFit="1" customWidth="1"/>
    <col min="10" max="10" width="11" style="66" bestFit="1" customWidth="1"/>
    <col min="11" max="12" width="9.5703125" style="66" bestFit="1" customWidth="1"/>
    <col min="13" max="13" width="11" style="66" bestFit="1" customWidth="1"/>
    <col min="14" max="14" width="11.28515625" style="66" bestFit="1" customWidth="1"/>
    <col min="15" max="15" width="13.28515625" style="66" bestFit="1" customWidth="1"/>
    <col min="16" max="16" width="12.28515625" style="66" bestFit="1" customWidth="1"/>
    <col min="17" max="17" width="12.5703125" style="66" customWidth="1"/>
    <col min="18" max="18" width="8.28515625" style="66" bestFit="1" customWidth="1"/>
    <col min="19" max="19" width="8.28515625" style="66"/>
    <col min="20" max="20" width="10.28515625" style="66" bestFit="1" customWidth="1"/>
    <col min="21" max="16384" width="8.28515625" style="66"/>
  </cols>
  <sheetData>
    <row r="2" spans="1:21">
      <c r="A2" s="65"/>
      <c r="G2" s="79" t="s">
        <v>157</v>
      </c>
    </row>
    <row r="3" spans="1:21">
      <c r="A3" s="65"/>
      <c r="G3" s="79" t="s">
        <v>158</v>
      </c>
    </row>
    <row r="4" spans="1:21">
      <c r="A4" s="65"/>
      <c r="F4" s="106"/>
      <c r="G4" s="107">
        <f>'Program MW '!H3</f>
        <v>44774</v>
      </c>
      <c r="H4" s="106"/>
      <c r="I4" s="106"/>
      <c r="N4" s="345"/>
    </row>
    <row r="5" spans="1:21">
      <c r="A5" s="65"/>
      <c r="B5" s="360"/>
      <c r="C5" s="360"/>
      <c r="D5" s="360"/>
      <c r="E5" s="360"/>
      <c r="F5" s="360"/>
      <c r="G5" s="360"/>
      <c r="H5" s="360"/>
      <c r="I5" s="360"/>
      <c r="J5" s="360"/>
      <c r="K5" s="360"/>
      <c r="L5" s="360"/>
      <c r="M5" s="360"/>
      <c r="N5" s="360"/>
    </row>
    <row r="6" spans="1:21" ht="13.5" thickBot="1">
      <c r="B6" s="360"/>
      <c r="C6" s="360"/>
      <c r="D6" s="360"/>
      <c r="E6" s="360"/>
      <c r="F6" s="360"/>
      <c r="G6" s="360"/>
      <c r="H6" s="360"/>
      <c r="I6" s="360"/>
      <c r="J6" s="360"/>
      <c r="K6" s="360"/>
      <c r="L6" s="360"/>
      <c r="M6" s="360"/>
      <c r="N6" s="360"/>
    </row>
    <row r="7" spans="1:21">
      <c r="A7" s="188"/>
      <c r="B7" s="67"/>
      <c r="C7" s="67"/>
      <c r="D7" s="67"/>
      <c r="E7" s="67"/>
      <c r="F7" s="67"/>
      <c r="G7" s="67"/>
      <c r="H7" s="67"/>
      <c r="I7" s="67"/>
      <c r="J7" s="67"/>
      <c r="K7" s="67"/>
      <c r="L7" s="67"/>
      <c r="M7" s="68"/>
      <c r="N7" s="68"/>
      <c r="O7" s="68"/>
      <c r="P7" s="69"/>
      <c r="Q7" s="69"/>
      <c r="R7" s="186"/>
    </row>
    <row r="8" spans="1:21" ht="9" customHeight="1">
      <c r="A8" s="189"/>
      <c r="B8" s="70"/>
      <c r="C8" s="70"/>
      <c r="D8" s="70"/>
      <c r="E8" s="70"/>
      <c r="F8" s="70"/>
      <c r="G8" s="70"/>
      <c r="H8" s="70"/>
      <c r="I8" s="70"/>
      <c r="J8" s="70"/>
      <c r="K8" s="70"/>
      <c r="L8" s="70"/>
      <c r="M8" s="474"/>
      <c r="N8" s="474"/>
      <c r="O8" s="474"/>
      <c r="P8" s="475"/>
      <c r="Q8" s="475"/>
      <c r="R8" s="476"/>
    </row>
    <row r="9" spans="1:21" ht="87.75" customHeight="1">
      <c r="A9" s="477" t="s">
        <v>159</v>
      </c>
      <c r="B9" s="478" t="s">
        <v>41</v>
      </c>
      <c r="C9" s="162" t="s">
        <v>42</v>
      </c>
      <c r="D9" s="162" t="s">
        <v>43</v>
      </c>
      <c r="E9" s="162" t="s">
        <v>44</v>
      </c>
      <c r="F9" s="162" t="s">
        <v>31</v>
      </c>
      <c r="G9" s="162" t="s">
        <v>45</v>
      </c>
      <c r="H9" s="162" t="s">
        <v>58</v>
      </c>
      <c r="I9" s="163" t="s">
        <v>59</v>
      </c>
      <c r="J9" s="163" t="s">
        <v>60</v>
      </c>
      <c r="K9" s="162" t="s">
        <v>61</v>
      </c>
      <c r="L9" s="162" t="s">
        <v>62</v>
      </c>
      <c r="M9" s="162" t="s">
        <v>63</v>
      </c>
      <c r="N9" s="598" t="s">
        <v>160</v>
      </c>
      <c r="O9" s="656" t="s">
        <v>161</v>
      </c>
      <c r="P9" s="598" t="s">
        <v>162</v>
      </c>
      <c r="Q9" s="598" t="s">
        <v>163</v>
      </c>
      <c r="R9" s="598" t="s">
        <v>164</v>
      </c>
    </row>
    <row r="10" spans="1:21">
      <c r="A10" s="190" t="s">
        <v>165</v>
      </c>
      <c r="B10" s="479"/>
      <c r="C10" s="14"/>
      <c r="D10" s="14"/>
      <c r="E10" s="14"/>
      <c r="F10" s="71"/>
      <c r="G10" s="159"/>
      <c r="H10" s="71"/>
      <c r="I10" s="71"/>
      <c r="J10" s="71"/>
      <c r="K10" s="71"/>
      <c r="L10" s="71"/>
      <c r="M10" s="480"/>
      <c r="N10" s="319"/>
      <c r="O10" s="657"/>
      <c r="P10" s="198"/>
      <c r="Q10" s="72"/>
      <c r="R10" s="72"/>
    </row>
    <row r="11" spans="1:21" ht="14.25">
      <c r="A11" s="510" t="s">
        <v>166</v>
      </c>
      <c r="B11" s="531">
        <v>12719.379999999899</v>
      </c>
      <c r="C11" s="532">
        <v>13681.42</v>
      </c>
      <c r="D11" s="532">
        <v>68340.240000000005</v>
      </c>
      <c r="E11" s="532">
        <v>4417.1499999999996</v>
      </c>
      <c r="F11" s="532">
        <v>10842.11</v>
      </c>
      <c r="G11" s="532">
        <v>12570.3</v>
      </c>
      <c r="H11" s="532">
        <v>9343.2599999999893</v>
      </c>
      <c r="I11" s="532">
        <v>11036.83</v>
      </c>
      <c r="J11" s="532">
        <v>0</v>
      </c>
      <c r="K11" s="532">
        <v>0</v>
      </c>
      <c r="L11" s="532">
        <v>0</v>
      </c>
      <c r="M11" s="533">
        <v>0</v>
      </c>
      <c r="N11" s="659">
        <f>SUM(B11:M11)</f>
        <v>142950.68999999989</v>
      </c>
      <c r="O11" s="345">
        <f>1421746.45+N11</f>
        <v>1564697.14</v>
      </c>
      <c r="P11" s="346">
        <v>2869200</v>
      </c>
      <c r="Q11" s="344">
        <v>0</v>
      </c>
      <c r="R11" s="320">
        <f>+O11/P11</f>
        <v>0.54534265300432172</v>
      </c>
      <c r="S11" s="327"/>
      <c r="T11" s="328"/>
      <c r="U11" s="329"/>
    </row>
    <row r="12" spans="1:21" ht="14.25">
      <c r="A12" s="510" t="s">
        <v>167</v>
      </c>
      <c r="B12" s="534">
        <v>84593.699999999895</v>
      </c>
      <c r="C12" s="535">
        <v>73700.37</v>
      </c>
      <c r="D12" s="535">
        <v>38046.93</v>
      </c>
      <c r="E12" s="535">
        <v>53475.01</v>
      </c>
      <c r="F12" s="535">
        <v>44210.26</v>
      </c>
      <c r="G12" s="535">
        <v>46927.85</v>
      </c>
      <c r="H12" s="535">
        <v>42141.91</v>
      </c>
      <c r="I12" s="535">
        <v>45304.81</v>
      </c>
      <c r="J12" s="535">
        <v>0</v>
      </c>
      <c r="K12" s="535">
        <v>0</v>
      </c>
      <c r="L12" s="535">
        <v>0</v>
      </c>
      <c r="M12" s="536">
        <v>0</v>
      </c>
      <c r="N12" s="659">
        <f t="shared" ref="N12:N15" si="0">SUM(B12:M12)</f>
        <v>428400.83999999991</v>
      </c>
      <c r="O12" s="345">
        <f>5345503.56+N12</f>
        <v>5773904.3999999994</v>
      </c>
      <c r="P12" s="346">
        <v>9020700</v>
      </c>
      <c r="Q12" s="344">
        <v>0</v>
      </c>
      <c r="R12" s="320">
        <f t="shared" ref="R12:R15" si="1">+O12/P12</f>
        <v>0.64007276597159857</v>
      </c>
      <c r="S12" s="327"/>
      <c r="T12" s="328"/>
      <c r="U12" s="329"/>
    </row>
    <row r="13" spans="1:21" ht="14.25">
      <c r="A13" s="510" t="s">
        <v>168</v>
      </c>
      <c r="B13" s="534">
        <v>1684.73999999999</v>
      </c>
      <c r="C13" s="535">
        <v>1831.23</v>
      </c>
      <c r="D13" s="535">
        <v>624.35</v>
      </c>
      <c r="E13" s="535">
        <v>1779.02</v>
      </c>
      <c r="F13" s="535">
        <v>1380.5</v>
      </c>
      <c r="G13" s="535">
        <v>1478.72</v>
      </c>
      <c r="H13" s="535">
        <v>-174.29999999999899</v>
      </c>
      <c r="I13" s="535">
        <v>0</v>
      </c>
      <c r="J13" s="535">
        <v>0</v>
      </c>
      <c r="K13" s="535">
        <v>0</v>
      </c>
      <c r="L13" s="535">
        <v>0</v>
      </c>
      <c r="M13" s="536">
        <v>0</v>
      </c>
      <c r="N13" s="659">
        <f t="shared" si="0"/>
        <v>8604.2599999999911</v>
      </c>
      <c r="O13" s="345">
        <f>636546.4+N13</f>
        <v>645150.66</v>
      </c>
      <c r="P13" s="346">
        <v>4664400</v>
      </c>
      <c r="Q13" s="344">
        <v>0</v>
      </c>
      <c r="R13" s="320">
        <f t="shared" si="1"/>
        <v>0.13831375096475432</v>
      </c>
      <c r="S13" s="327"/>
      <c r="T13" s="328"/>
      <c r="U13" s="329"/>
    </row>
    <row r="14" spans="1:21" ht="14.25">
      <c r="A14" s="191" t="s">
        <v>169</v>
      </c>
      <c r="B14" s="534">
        <v>57149.94</v>
      </c>
      <c r="C14" s="535">
        <v>9160.0300000000007</v>
      </c>
      <c r="D14" s="535">
        <v>-4074.82</v>
      </c>
      <c r="E14" s="535">
        <v>12881.51</v>
      </c>
      <c r="F14" s="535">
        <v>7434.47</v>
      </c>
      <c r="G14" s="535">
        <v>6208.3399999999901</v>
      </c>
      <c r="H14" s="535">
        <v>16522.7399999999</v>
      </c>
      <c r="I14" s="535">
        <f>-3630.39+11447.47</f>
        <v>7817.08</v>
      </c>
      <c r="J14" s="535">
        <v>0</v>
      </c>
      <c r="K14" s="535">
        <v>0</v>
      </c>
      <c r="L14" s="535">
        <v>0</v>
      </c>
      <c r="M14" s="536">
        <v>0</v>
      </c>
      <c r="N14" s="344">
        <f t="shared" si="0"/>
        <v>113099.28999999991</v>
      </c>
      <c r="O14" s="345">
        <f>1192076.42+N14</f>
        <v>1305175.7099999997</v>
      </c>
      <c r="P14" s="344">
        <f>10535000+Q14</f>
        <v>10300502</v>
      </c>
      <c r="Q14" s="344">
        <v>-234498</v>
      </c>
      <c r="R14" s="320">
        <f t="shared" si="1"/>
        <v>0.12670991277900823</v>
      </c>
      <c r="S14" s="327"/>
      <c r="T14" s="328"/>
      <c r="U14" s="329"/>
    </row>
    <row r="15" spans="1:21" ht="14.25">
      <c r="A15" s="192" t="s">
        <v>170</v>
      </c>
      <c r="B15" s="537">
        <v>0</v>
      </c>
      <c r="C15" s="538">
        <v>0</v>
      </c>
      <c r="D15" s="538">
        <v>0</v>
      </c>
      <c r="E15" s="538">
        <v>0</v>
      </c>
      <c r="F15" s="538">
        <v>0</v>
      </c>
      <c r="G15" s="538">
        <v>0</v>
      </c>
      <c r="H15" s="538">
        <v>0</v>
      </c>
      <c r="I15" s="538">
        <v>0</v>
      </c>
      <c r="J15" s="538">
        <v>0</v>
      </c>
      <c r="K15" s="538">
        <v>0</v>
      </c>
      <c r="L15" s="538">
        <v>0</v>
      </c>
      <c r="M15" s="539">
        <v>0</v>
      </c>
      <c r="N15" s="344">
        <f t="shared" si="0"/>
        <v>0</v>
      </c>
      <c r="O15" s="345">
        <f>15328.47+N15</f>
        <v>15328.47</v>
      </c>
      <c r="P15" s="346">
        <v>20000</v>
      </c>
      <c r="Q15" s="344">
        <v>0</v>
      </c>
      <c r="R15" s="320">
        <f t="shared" si="1"/>
        <v>0.76642349999999992</v>
      </c>
      <c r="S15" s="327"/>
      <c r="T15" s="328"/>
      <c r="U15" s="329"/>
    </row>
    <row r="16" spans="1:21">
      <c r="A16" s="481" t="s">
        <v>171</v>
      </c>
      <c r="B16" s="347">
        <f>SUM(B11:B15)</f>
        <v>156147.75999999978</v>
      </c>
      <c r="C16" s="348">
        <f t="shared" ref="C16:M16" si="2">SUM(C11:C15)</f>
        <v>98373.049999999988</v>
      </c>
      <c r="D16" s="348">
        <f t="shared" si="2"/>
        <v>102936.70000000001</v>
      </c>
      <c r="E16" s="348">
        <f t="shared" si="2"/>
        <v>72552.69</v>
      </c>
      <c r="F16" s="348">
        <f t="shared" si="2"/>
        <v>63867.340000000004</v>
      </c>
      <c r="G16" s="348">
        <f t="shared" si="2"/>
        <v>67185.209999999992</v>
      </c>
      <c r="H16" s="348">
        <f t="shared" si="2"/>
        <v>67833.609999999899</v>
      </c>
      <c r="I16" s="348">
        <f t="shared" si="2"/>
        <v>64158.720000000001</v>
      </c>
      <c r="J16" s="348">
        <f t="shared" si="2"/>
        <v>0</v>
      </c>
      <c r="K16" s="348">
        <f>SUM(K11:K15)</f>
        <v>0</v>
      </c>
      <c r="L16" s="348">
        <f t="shared" si="2"/>
        <v>0</v>
      </c>
      <c r="M16" s="348">
        <f t="shared" si="2"/>
        <v>0</v>
      </c>
      <c r="N16" s="600">
        <f>SUM(N11:N15)</f>
        <v>693055.07999999973</v>
      </c>
      <c r="O16" s="483">
        <f>SUM(O11:O15)</f>
        <v>9304256.379999999</v>
      </c>
      <c r="P16" s="599">
        <f>SUM(P11:P15)</f>
        <v>26874802</v>
      </c>
      <c r="Q16" s="600">
        <f>SUM(Q11:Q15)</f>
        <v>-234498</v>
      </c>
      <c r="R16" s="601">
        <f>O16/P16</f>
        <v>0.34620743922131963</v>
      </c>
      <c r="S16" s="327"/>
      <c r="T16" s="328"/>
      <c r="U16" s="329"/>
    </row>
    <row r="17" spans="1:21">
      <c r="A17" s="192"/>
      <c r="B17" s="343"/>
      <c r="C17" s="345"/>
      <c r="D17" s="345"/>
      <c r="E17" s="345"/>
      <c r="F17" s="296"/>
      <c r="G17" s="345"/>
      <c r="H17" s="296"/>
      <c r="I17" s="296"/>
      <c r="J17" s="296"/>
      <c r="K17" s="296"/>
      <c r="L17" s="296"/>
      <c r="M17" s="296"/>
      <c r="N17" s="344"/>
      <c r="O17" s="518"/>
      <c r="P17" s="346"/>
      <c r="Q17" s="344"/>
      <c r="R17" s="320"/>
      <c r="S17" s="327"/>
      <c r="T17" s="328"/>
      <c r="U17" s="329"/>
    </row>
    <row r="18" spans="1:21">
      <c r="A18" s="190" t="s">
        <v>172</v>
      </c>
      <c r="B18" s="343"/>
      <c r="C18" s="345"/>
      <c r="D18" s="345"/>
      <c r="E18" s="345"/>
      <c r="F18" s="296"/>
      <c r="G18" s="345"/>
      <c r="H18" s="296"/>
      <c r="I18" s="296"/>
      <c r="J18" s="296"/>
      <c r="K18" s="296"/>
      <c r="L18" s="296"/>
      <c r="M18" s="296"/>
      <c r="N18" s="344"/>
      <c r="O18" s="518"/>
      <c r="P18" s="346"/>
      <c r="Q18" s="344"/>
      <c r="R18" s="320"/>
      <c r="S18" s="327"/>
      <c r="T18" s="328"/>
      <c r="U18" s="329"/>
    </row>
    <row r="19" spans="1:21">
      <c r="A19" s="191"/>
      <c r="B19" s="540">
        <v>0</v>
      </c>
      <c r="C19" s="541">
        <v>0</v>
      </c>
      <c r="D19" s="541">
        <v>0</v>
      </c>
      <c r="E19" s="541">
        <v>0</v>
      </c>
      <c r="F19" s="541">
        <v>0</v>
      </c>
      <c r="G19" s="541">
        <v>0</v>
      </c>
      <c r="H19" s="541">
        <v>0</v>
      </c>
      <c r="I19" s="541">
        <v>0</v>
      </c>
      <c r="J19" s="541">
        <v>0</v>
      </c>
      <c r="K19" s="541">
        <v>0</v>
      </c>
      <c r="L19" s="541">
        <v>0</v>
      </c>
      <c r="M19" s="542">
        <v>0</v>
      </c>
      <c r="N19" s="344">
        <f>SUM(B19:M19)</f>
        <v>0</v>
      </c>
      <c r="O19" s="345">
        <f>0+N19</f>
        <v>0</v>
      </c>
      <c r="P19" s="346">
        <v>0</v>
      </c>
      <c r="Q19" s="344">
        <v>0</v>
      </c>
      <c r="R19" s="320">
        <v>0</v>
      </c>
      <c r="S19" s="327"/>
      <c r="T19" s="328"/>
      <c r="U19" s="329"/>
    </row>
    <row r="20" spans="1:21">
      <c r="A20" s="481" t="s">
        <v>173</v>
      </c>
      <c r="B20" s="482">
        <f t="shared" ref="B20:M20" si="3">SUM(B19:B19)</f>
        <v>0</v>
      </c>
      <c r="C20" s="483">
        <f t="shared" si="3"/>
        <v>0</v>
      </c>
      <c r="D20" s="483">
        <f t="shared" si="3"/>
        <v>0</v>
      </c>
      <c r="E20" s="483">
        <f t="shared" si="3"/>
        <v>0</v>
      </c>
      <c r="F20" s="483">
        <f t="shared" si="3"/>
        <v>0</v>
      </c>
      <c r="G20" s="483">
        <f t="shared" si="3"/>
        <v>0</v>
      </c>
      <c r="H20" s="483">
        <f t="shared" si="3"/>
        <v>0</v>
      </c>
      <c r="I20" s="483">
        <f t="shared" si="3"/>
        <v>0</v>
      </c>
      <c r="J20" s="483">
        <f t="shared" si="3"/>
        <v>0</v>
      </c>
      <c r="K20" s="483">
        <f t="shared" si="3"/>
        <v>0</v>
      </c>
      <c r="L20" s="483">
        <f t="shared" si="3"/>
        <v>0</v>
      </c>
      <c r="M20" s="483">
        <f t="shared" si="3"/>
        <v>0</v>
      </c>
      <c r="N20" s="600">
        <f>SUM(N19:N19)</f>
        <v>0</v>
      </c>
      <c r="O20" s="658">
        <f>SUM(O19:O19)</f>
        <v>0</v>
      </c>
      <c r="P20" s="599">
        <f>SUM(P19:P19)</f>
        <v>0</v>
      </c>
      <c r="Q20" s="600">
        <f>SUM(Q19:Q19)</f>
        <v>0</v>
      </c>
      <c r="R20" s="602">
        <v>0</v>
      </c>
      <c r="S20" s="327"/>
      <c r="T20" s="328"/>
      <c r="U20" s="329"/>
    </row>
    <row r="21" spans="1:21">
      <c r="A21" s="193"/>
      <c r="B21" s="343"/>
      <c r="C21" s="345"/>
      <c r="D21" s="345"/>
      <c r="E21" s="345"/>
      <c r="F21" s="345"/>
      <c r="G21" s="345"/>
      <c r="H21" s="345"/>
      <c r="I21" s="345"/>
      <c r="J21" s="345"/>
      <c r="K21" s="345"/>
      <c r="L21" s="345"/>
      <c r="M21" s="345"/>
      <c r="N21" s="344"/>
      <c r="O21" s="518"/>
      <c r="P21" s="346"/>
      <c r="Q21" s="344"/>
      <c r="R21" s="321"/>
      <c r="S21" s="327"/>
      <c r="T21" s="328"/>
      <c r="U21" s="329"/>
    </row>
    <row r="22" spans="1:21">
      <c r="A22" s="190" t="s">
        <v>174</v>
      </c>
      <c r="B22" s="343"/>
      <c r="C22" s="345"/>
      <c r="D22" s="345"/>
      <c r="E22" s="345"/>
      <c r="F22" s="296"/>
      <c r="G22" s="345"/>
      <c r="H22" s="296"/>
      <c r="I22" s="296"/>
      <c r="J22" s="296"/>
      <c r="K22" s="296"/>
      <c r="L22" s="296"/>
      <c r="M22" s="296"/>
      <c r="N22" s="344"/>
      <c r="O22" s="518"/>
      <c r="P22" s="346"/>
      <c r="Q22" s="344"/>
      <c r="R22" s="320"/>
      <c r="S22" s="327"/>
      <c r="T22" s="328"/>
      <c r="U22" s="329"/>
    </row>
    <row r="23" spans="1:21" ht="14.25">
      <c r="A23" s="191" t="s">
        <v>175</v>
      </c>
      <c r="B23" s="540">
        <v>12263.9</v>
      </c>
      <c r="C23" s="541">
        <v>27387.13</v>
      </c>
      <c r="D23" s="541">
        <v>63808.22</v>
      </c>
      <c r="E23" s="541">
        <v>61724.76</v>
      </c>
      <c r="F23" s="541">
        <v>52976.15</v>
      </c>
      <c r="G23" s="541">
        <v>261908.72999999899</v>
      </c>
      <c r="H23" s="541">
        <v>-12812.25</v>
      </c>
      <c r="I23" s="541">
        <v>153067.35999999999</v>
      </c>
      <c r="J23" s="541">
        <v>0</v>
      </c>
      <c r="K23" s="541">
        <v>0</v>
      </c>
      <c r="L23" s="541">
        <v>0</v>
      </c>
      <c r="M23" s="542">
        <v>0</v>
      </c>
      <c r="N23" s="344">
        <f>SUM(B23:M23)</f>
        <v>620323.99999999895</v>
      </c>
      <c r="O23" s="345">
        <f>5281852.46+N23</f>
        <v>5902176.459999999</v>
      </c>
      <c r="P23" s="346">
        <v>8320000</v>
      </c>
      <c r="Q23" s="344">
        <v>0</v>
      </c>
      <c r="R23" s="320">
        <f t="shared" ref="R23" si="4">+O23/P23</f>
        <v>0.70939620913461532</v>
      </c>
      <c r="S23" s="327"/>
      <c r="T23" s="328"/>
      <c r="U23" s="329"/>
    </row>
    <row r="24" spans="1:21">
      <c r="A24" s="481" t="s">
        <v>176</v>
      </c>
      <c r="B24" s="347">
        <f t="shared" ref="B24:M24" si="5">SUM(B23:B23)</f>
        <v>12263.9</v>
      </c>
      <c r="C24" s="348">
        <f t="shared" si="5"/>
        <v>27387.13</v>
      </c>
      <c r="D24" s="348">
        <f t="shared" si="5"/>
        <v>63808.22</v>
      </c>
      <c r="E24" s="348">
        <f t="shared" si="5"/>
        <v>61724.76</v>
      </c>
      <c r="F24" s="348">
        <f t="shared" si="5"/>
        <v>52976.15</v>
      </c>
      <c r="G24" s="348">
        <f t="shared" si="5"/>
        <v>261908.72999999899</v>
      </c>
      <c r="H24" s="348">
        <f t="shared" si="5"/>
        <v>-12812.25</v>
      </c>
      <c r="I24" s="348">
        <f t="shared" si="5"/>
        <v>153067.35999999999</v>
      </c>
      <c r="J24" s="348">
        <f t="shared" si="5"/>
        <v>0</v>
      </c>
      <c r="K24" s="348">
        <f t="shared" si="5"/>
        <v>0</v>
      </c>
      <c r="L24" s="348">
        <f t="shared" si="5"/>
        <v>0</v>
      </c>
      <c r="M24" s="348">
        <f t="shared" si="5"/>
        <v>0</v>
      </c>
      <c r="N24" s="600">
        <f>SUM(N23:N23)</f>
        <v>620323.99999999895</v>
      </c>
      <c r="O24" s="658">
        <f>O23</f>
        <v>5902176.459999999</v>
      </c>
      <c r="P24" s="599">
        <f>SUM(P23:P23)</f>
        <v>8320000</v>
      </c>
      <c r="Q24" s="600">
        <f>SUM(Q23:Q23)</f>
        <v>0</v>
      </c>
      <c r="R24" s="602">
        <f>O24/P24</f>
        <v>0.70939620913461532</v>
      </c>
      <c r="S24" s="327"/>
      <c r="T24" s="328"/>
      <c r="U24" s="329"/>
    </row>
    <row r="25" spans="1:21">
      <c r="A25" s="190"/>
      <c r="B25" s="343"/>
      <c r="C25" s="345"/>
      <c r="D25" s="345"/>
      <c r="E25" s="345"/>
      <c r="F25" s="296"/>
      <c r="G25" s="345"/>
      <c r="H25" s="296"/>
      <c r="I25" s="296"/>
      <c r="J25" s="296"/>
      <c r="K25" s="296"/>
      <c r="L25" s="296"/>
      <c r="M25" s="296"/>
      <c r="N25" s="344"/>
      <c r="O25" s="518"/>
      <c r="P25" s="346"/>
      <c r="Q25" s="344"/>
      <c r="R25" s="320"/>
      <c r="S25" s="327"/>
      <c r="T25" s="328"/>
      <c r="U25" s="329"/>
    </row>
    <row r="26" spans="1:21">
      <c r="A26" s="190" t="s">
        <v>177</v>
      </c>
      <c r="B26" s="343"/>
      <c r="C26" s="345"/>
      <c r="D26" s="345"/>
      <c r="E26" s="345"/>
      <c r="F26" s="296"/>
      <c r="G26" s="345"/>
      <c r="H26" s="296"/>
      <c r="I26" s="296"/>
      <c r="J26" s="296"/>
      <c r="K26" s="296"/>
      <c r="L26" s="296"/>
      <c r="M26" s="296"/>
      <c r="N26" s="344"/>
      <c r="O26" s="518"/>
      <c r="P26" s="346"/>
      <c r="Q26" s="344"/>
      <c r="R26" s="320"/>
      <c r="S26" s="327"/>
      <c r="T26" s="328"/>
      <c r="U26" s="329"/>
    </row>
    <row r="27" spans="1:21">
      <c r="A27" s="191" t="s">
        <v>178</v>
      </c>
      <c r="B27" s="531">
        <v>25422.82</v>
      </c>
      <c r="C27" s="532">
        <v>16079.36</v>
      </c>
      <c r="D27" s="532">
        <v>25519.75</v>
      </c>
      <c r="E27" s="532">
        <v>78285.149999999994</v>
      </c>
      <c r="F27" s="532">
        <v>38040.74</v>
      </c>
      <c r="G27" s="532">
        <v>13762.16</v>
      </c>
      <c r="H27" s="532">
        <v>41713.54</v>
      </c>
      <c r="I27" s="532">
        <v>50743.73</v>
      </c>
      <c r="J27" s="532">
        <v>0</v>
      </c>
      <c r="K27" s="532">
        <v>0</v>
      </c>
      <c r="L27" s="532">
        <v>0</v>
      </c>
      <c r="M27" s="533">
        <v>0</v>
      </c>
      <c r="N27" s="344">
        <f>SUM(B27:M27)</f>
        <v>289567.25</v>
      </c>
      <c r="O27" s="345">
        <f>1770010.64+N27</f>
        <v>2059577.89</v>
      </c>
      <c r="P27" s="346">
        <v>3483000</v>
      </c>
      <c r="Q27" s="344">
        <v>0</v>
      </c>
      <c r="R27" s="320">
        <f t="shared" ref="R27:R29" si="6">+O27/P27</f>
        <v>0.59132296583405108</v>
      </c>
      <c r="S27" s="327"/>
      <c r="T27" s="328"/>
      <c r="U27" s="329"/>
    </row>
    <row r="28" spans="1:21">
      <c r="A28" s="191" t="s">
        <v>179</v>
      </c>
      <c r="B28" s="534">
        <v>35794.32</v>
      </c>
      <c r="C28" s="535">
        <v>59428.67</v>
      </c>
      <c r="D28" s="535">
        <v>73590.740000000005</v>
      </c>
      <c r="E28" s="535">
        <v>29455.94</v>
      </c>
      <c r="F28" s="535">
        <v>41386.85</v>
      </c>
      <c r="G28" s="535">
        <v>30408.629999999899</v>
      </c>
      <c r="H28" s="535">
        <v>50873.499999999898</v>
      </c>
      <c r="I28" s="535">
        <v>71346.740000000005</v>
      </c>
      <c r="J28" s="535">
        <v>0</v>
      </c>
      <c r="K28" s="535">
        <v>0</v>
      </c>
      <c r="L28" s="535">
        <v>0</v>
      </c>
      <c r="M28" s="536">
        <v>0</v>
      </c>
      <c r="N28" s="344">
        <f>SUM(B28:M28)</f>
        <v>392285.38999999978</v>
      </c>
      <c r="O28" s="345">
        <f>1965431.66+N28</f>
        <v>2357717.0499999998</v>
      </c>
      <c r="P28" s="346">
        <v>3794000</v>
      </c>
      <c r="Q28" s="344">
        <v>0</v>
      </c>
      <c r="R28" s="320">
        <f t="shared" si="6"/>
        <v>0.62143306536636789</v>
      </c>
      <c r="S28" s="327"/>
      <c r="T28" s="328"/>
      <c r="U28" s="329"/>
    </row>
    <row r="29" spans="1:21">
      <c r="A29" s="194" t="s">
        <v>180</v>
      </c>
      <c r="B29" s="537">
        <v>8382.92</v>
      </c>
      <c r="C29" s="538">
        <v>10196.36</v>
      </c>
      <c r="D29" s="538">
        <v>8093.97</v>
      </c>
      <c r="E29" s="538">
        <v>8660.57</v>
      </c>
      <c r="F29" s="538">
        <v>8444.65</v>
      </c>
      <c r="G29" s="538">
        <v>16071.9</v>
      </c>
      <c r="H29" s="538">
        <v>4330.08</v>
      </c>
      <c r="I29" s="538">
        <v>6136.52</v>
      </c>
      <c r="J29" s="538">
        <v>0</v>
      </c>
      <c r="K29" s="538">
        <v>0</v>
      </c>
      <c r="L29" s="538">
        <v>0</v>
      </c>
      <c r="M29" s="539">
        <v>0</v>
      </c>
      <c r="N29" s="344">
        <f>SUM(B29:M29)</f>
        <v>70316.97</v>
      </c>
      <c r="O29" s="345">
        <f>1109495.5+N29</f>
        <v>1179812.47</v>
      </c>
      <c r="P29" s="344">
        <f>11967000+Q29</f>
        <v>11267000</v>
      </c>
      <c r="Q29" s="344">
        <v>-700000</v>
      </c>
      <c r="R29" s="320">
        <f t="shared" si="6"/>
        <v>0.10471398508919855</v>
      </c>
      <c r="S29" s="327"/>
      <c r="T29" s="328"/>
      <c r="U29" s="329"/>
    </row>
    <row r="30" spans="1:21">
      <c r="A30" s="481" t="s">
        <v>181</v>
      </c>
      <c r="B30" s="347">
        <f t="shared" ref="B30:I30" si="7">SUM(B27:B29)</f>
        <v>69600.06</v>
      </c>
      <c r="C30" s="348">
        <f t="shared" si="7"/>
        <v>85704.39</v>
      </c>
      <c r="D30" s="348">
        <f t="shared" si="7"/>
        <v>107204.46</v>
      </c>
      <c r="E30" s="348">
        <f>SUM(E27:E29)</f>
        <v>116401.66</v>
      </c>
      <c r="F30" s="349">
        <f t="shared" si="7"/>
        <v>87872.239999999991</v>
      </c>
      <c r="G30" s="348">
        <f t="shared" si="7"/>
        <v>60242.6899999999</v>
      </c>
      <c r="H30" s="349">
        <f t="shared" si="7"/>
        <v>96917.119999999893</v>
      </c>
      <c r="I30" s="349">
        <f t="shared" si="7"/>
        <v>128226.99</v>
      </c>
      <c r="J30" s="349">
        <f>SUM(J27:J29)</f>
        <v>0</v>
      </c>
      <c r="K30" s="349">
        <f>SUM(K27:K29)</f>
        <v>0</v>
      </c>
      <c r="L30" s="349">
        <f>SUM(L27:L29)</f>
        <v>0</v>
      </c>
      <c r="M30" s="349">
        <f t="shared" ref="M30:Q30" si="8">SUM(M27:M29)</f>
        <v>0</v>
      </c>
      <c r="N30" s="600">
        <f t="shared" si="8"/>
        <v>752169.60999999975</v>
      </c>
      <c r="O30" s="658">
        <f t="shared" si="8"/>
        <v>5597107.4099999992</v>
      </c>
      <c r="P30" s="599">
        <f>SUM(P27:P29)</f>
        <v>18544000</v>
      </c>
      <c r="Q30" s="600">
        <f t="shared" si="8"/>
        <v>-700000</v>
      </c>
      <c r="R30" s="602">
        <f>O30/P30</f>
        <v>0.30182848414581531</v>
      </c>
      <c r="S30" s="327"/>
      <c r="T30" s="328"/>
      <c r="U30" s="329"/>
    </row>
    <row r="31" spans="1:21">
      <c r="A31" s="191"/>
      <c r="B31" s="343"/>
      <c r="C31" s="345"/>
      <c r="D31" s="345"/>
      <c r="E31" s="345"/>
      <c r="F31" s="296"/>
      <c r="G31" s="345"/>
      <c r="H31" s="296"/>
      <c r="I31" s="296"/>
      <c r="J31" s="296"/>
      <c r="K31" s="296"/>
      <c r="L31" s="296"/>
      <c r="M31" s="296"/>
      <c r="N31" s="344"/>
      <c r="O31" s="518"/>
      <c r="P31" s="346"/>
      <c r="Q31" s="344"/>
      <c r="R31" s="320"/>
      <c r="S31" s="327"/>
      <c r="T31" s="328"/>
      <c r="U31" s="329"/>
    </row>
    <row r="32" spans="1:21">
      <c r="A32" s="190" t="s">
        <v>182</v>
      </c>
      <c r="B32" s="343"/>
      <c r="C32" s="345"/>
      <c r="D32" s="345"/>
      <c r="E32" s="345"/>
      <c r="F32" s="296"/>
      <c r="G32" s="345"/>
      <c r="H32" s="296"/>
      <c r="I32" s="296"/>
      <c r="J32" s="296"/>
      <c r="K32" s="296"/>
      <c r="L32" s="296"/>
      <c r="M32" s="296"/>
      <c r="N32" s="344"/>
      <c r="O32" s="518"/>
      <c r="P32" s="346"/>
      <c r="Q32" s="344"/>
      <c r="R32" s="320"/>
      <c r="S32" s="327"/>
      <c r="T32" s="328"/>
      <c r="U32" s="329"/>
    </row>
    <row r="33" spans="1:21">
      <c r="A33" s="191" t="s">
        <v>183</v>
      </c>
      <c r="B33" s="531">
        <v>0</v>
      </c>
      <c r="C33" s="532">
        <v>0</v>
      </c>
      <c r="D33" s="532">
        <v>0</v>
      </c>
      <c r="E33" s="532">
        <v>0</v>
      </c>
      <c r="F33" s="532">
        <v>0</v>
      </c>
      <c r="G33" s="532">
        <v>0</v>
      </c>
      <c r="H33" s="532">
        <v>0</v>
      </c>
      <c r="I33" s="532">
        <v>0</v>
      </c>
      <c r="J33" s="532">
        <v>0</v>
      </c>
      <c r="K33" s="532">
        <v>0</v>
      </c>
      <c r="L33" s="532">
        <v>0</v>
      </c>
      <c r="M33" s="533">
        <v>0</v>
      </c>
      <c r="N33" s="344">
        <f>SUM(B33:M33)</f>
        <v>0</v>
      </c>
      <c r="O33" s="345">
        <f>8110.62+N33</f>
        <v>8110.62</v>
      </c>
      <c r="P33" s="346">
        <v>2507000</v>
      </c>
      <c r="Q33" s="344">
        <v>0</v>
      </c>
      <c r="R33" s="320">
        <f t="shared" ref="R33:R37" si="9">+O33/P33</f>
        <v>3.2351894694854408E-3</v>
      </c>
      <c r="S33" s="327"/>
      <c r="T33" s="328"/>
      <c r="U33" s="329"/>
    </row>
    <row r="34" spans="1:21" ht="14.25">
      <c r="A34" s="191" t="s">
        <v>184</v>
      </c>
      <c r="B34" s="534">
        <v>52804.73</v>
      </c>
      <c r="C34" s="535">
        <v>2570.87</v>
      </c>
      <c r="D34" s="535">
        <v>899.55</v>
      </c>
      <c r="E34" s="535">
        <v>1103.21</v>
      </c>
      <c r="F34" s="535">
        <v>1079.8499999999999</v>
      </c>
      <c r="G34" s="535">
        <v>633.38</v>
      </c>
      <c r="H34" s="535">
        <v>46424.33</v>
      </c>
      <c r="I34" s="535">
        <v>-3618.09</v>
      </c>
      <c r="J34" s="535">
        <v>0</v>
      </c>
      <c r="K34" s="535">
        <v>0</v>
      </c>
      <c r="L34" s="535">
        <v>0</v>
      </c>
      <c r="M34" s="536">
        <v>0</v>
      </c>
      <c r="N34" s="344">
        <f>SUM(B34:M34)</f>
        <v>101897.83000000002</v>
      </c>
      <c r="O34" s="345">
        <f>196396.35+N34</f>
        <v>298294.18000000005</v>
      </c>
      <c r="P34" s="344">
        <v>500000</v>
      </c>
      <c r="Q34" s="344">
        <v>0</v>
      </c>
      <c r="R34" s="320">
        <f t="shared" si="9"/>
        <v>0.59658836000000015</v>
      </c>
      <c r="S34" s="327"/>
      <c r="T34" s="328"/>
      <c r="U34" s="329"/>
    </row>
    <row r="35" spans="1:21">
      <c r="A35" s="191" t="s">
        <v>185</v>
      </c>
      <c r="B35" s="534">
        <v>0</v>
      </c>
      <c r="C35" s="535">
        <v>17693.900000000001</v>
      </c>
      <c r="D35" s="535">
        <v>19661.5</v>
      </c>
      <c r="E35" s="535">
        <v>0</v>
      </c>
      <c r="F35" s="535">
        <v>0</v>
      </c>
      <c r="G35" s="535">
        <v>381.46</v>
      </c>
      <c r="H35" s="535">
        <v>5257.7</v>
      </c>
      <c r="I35" s="535">
        <v>25829.119999999901</v>
      </c>
      <c r="J35" s="535">
        <v>0</v>
      </c>
      <c r="K35" s="535">
        <v>0</v>
      </c>
      <c r="L35" s="535">
        <v>0</v>
      </c>
      <c r="M35" s="536">
        <v>0</v>
      </c>
      <c r="N35" s="344">
        <f>SUM(B35:M35)</f>
        <v>68823.679999999906</v>
      </c>
      <c r="O35" s="345">
        <f>N35+19577.37</f>
        <v>88401.049999999901</v>
      </c>
      <c r="P35" s="344">
        <v>708000</v>
      </c>
      <c r="Q35" s="344">
        <v>0</v>
      </c>
      <c r="R35" s="320">
        <f>+O35/P35</f>
        <v>0.12486024011299421</v>
      </c>
      <c r="S35" s="327"/>
      <c r="T35" s="328"/>
      <c r="U35" s="329"/>
    </row>
    <row r="36" spans="1:21">
      <c r="A36" s="201" t="s">
        <v>186</v>
      </c>
      <c r="B36" s="534">
        <v>0</v>
      </c>
      <c r="C36" s="535">
        <v>0</v>
      </c>
      <c r="D36" s="535">
        <v>0</v>
      </c>
      <c r="E36" s="535">
        <v>0</v>
      </c>
      <c r="F36" s="535">
        <v>0</v>
      </c>
      <c r="G36" s="535">
        <v>0</v>
      </c>
      <c r="H36" s="535">
        <v>0</v>
      </c>
      <c r="I36" s="535">
        <v>0</v>
      </c>
      <c r="J36" s="535">
        <v>0</v>
      </c>
      <c r="K36" s="535">
        <v>0</v>
      </c>
      <c r="L36" s="535">
        <v>0</v>
      </c>
      <c r="M36" s="536">
        <v>0</v>
      </c>
      <c r="N36" s="344">
        <f>SUM(B36:M36)</f>
        <v>0</v>
      </c>
      <c r="O36" s="345">
        <f>624590.15+N36</f>
        <v>624590.15</v>
      </c>
      <c r="P36" s="346">
        <v>2148000</v>
      </c>
      <c r="Q36" s="344">
        <v>0</v>
      </c>
      <c r="R36" s="320">
        <f t="shared" si="9"/>
        <v>0.29077753724394789</v>
      </c>
      <c r="S36" s="327"/>
      <c r="T36" s="328"/>
      <c r="U36" s="329"/>
    </row>
    <row r="37" spans="1:21">
      <c r="A37" s="202" t="s">
        <v>187</v>
      </c>
      <c r="B37" s="537">
        <v>0</v>
      </c>
      <c r="C37" s="538">
        <v>0</v>
      </c>
      <c r="D37" s="538">
        <v>0</v>
      </c>
      <c r="E37" s="538">
        <v>0</v>
      </c>
      <c r="F37" s="538">
        <v>0</v>
      </c>
      <c r="G37" s="538">
        <v>0</v>
      </c>
      <c r="H37" s="538">
        <v>0</v>
      </c>
      <c r="I37" s="538">
        <v>0</v>
      </c>
      <c r="J37" s="538">
        <v>0</v>
      </c>
      <c r="K37" s="538">
        <v>0</v>
      </c>
      <c r="L37" s="538">
        <v>0</v>
      </c>
      <c r="M37" s="539">
        <v>0</v>
      </c>
      <c r="N37" s="344">
        <v>0</v>
      </c>
      <c r="O37" s="345">
        <f>36771.92+N37</f>
        <v>36771.919999999998</v>
      </c>
      <c r="P37" s="344">
        <v>340000</v>
      </c>
      <c r="Q37" s="344">
        <v>0</v>
      </c>
      <c r="R37" s="320">
        <f t="shared" si="9"/>
        <v>0.10815270588235294</v>
      </c>
      <c r="S37" s="327"/>
      <c r="T37" s="328"/>
      <c r="U37" s="329"/>
    </row>
    <row r="38" spans="1:21">
      <c r="A38" s="481" t="s">
        <v>188</v>
      </c>
      <c r="B38" s="347">
        <f t="shared" ref="B38:P38" si="10">SUM(B33:B37)</f>
        <v>52804.73</v>
      </c>
      <c r="C38" s="348">
        <f t="shared" si="10"/>
        <v>20264.77</v>
      </c>
      <c r="D38" s="348">
        <f t="shared" si="10"/>
        <v>20561.05</v>
      </c>
      <c r="E38" s="348">
        <f t="shared" si="10"/>
        <v>1103.21</v>
      </c>
      <c r="F38" s="348">
        <f t="shared" si="10"/>
        <v>1079.8499999999999</v>
      </c>
      <c r="G38" s="348">
        <f t="shared" si="10"/>
        <v>1014.8399999999999</v>
      </c>
      <c r="H38" s="348">
        <f t="shared" si="10"/>
        <v>51682.03</v>
      </c>
      <c r="I38" s="348">
        <f t="shared" si="10"/>
        <v>22211.029999999901</v>
      </c>
      <c r="J38" s="348">
        <f t="shared" si="10"/>
        <v>0</v>
      </c>
      <c r="K38" s="348">
        <f t="shared" si="10"/>
        <v>0</v>
      </c>
      <c r="L38" s="348">
        <f t="shared" si="10"/>
        <v>0</v>
      </c>
      <c r="M38" s="348">
        <f t="shared" si="10"/>
        <v>0</v>
      </c>
      <c r="N38" s="600">
        <f>SUM(N33:N37)</f>
        <v>170721.50999999992</v>
      </c>
      <c r="O38" s="658">
        <f>SUM(O33:O37)</f>
        <v>1056167.92</v>
      </c>
      <c r="P38" s="599">
        <f t="shared" si="10"/>
        <v>6203000</v>
      </c>
      <c r="Q38" s="600">
        <f>SUM(Q33:Q37)</f>
        <v>0</v>
      </c>
      <c r="R38" s="602">
        <f>O38/P38</f>
        <v>0.17026727712397227</v>
      </c>
      <c r="S38" s="327"/>
      <c r="T38" s="328"/>
      <c r="U38" s="329"/>
    </row>
    <row r="39" spans="1:21">
      <c r="A39" s="191"/>
      <c r="B39" s="343"/>
      <c r="C39" s="345"/>
      <c r="D39" s="345"/>
      <c r="E39" s="345"/>
      <c r="F39" s="296"/>
      <c r="G39" s="345"/>
      <c r="H39" s="296"/>
      <c r="I39" s="296"/>
      <c r="J39" s="296"/>
      <c r="K39" s="296"/>
      <c r="L39" s="296"/>
      <c r="M39" s="296"/>
      <c r="N39" s="344"/>
      <c r="O39" s="518"/>
      <c r="P39" s="346"/>
      <c r="Q39" s="344"/>
      <c r="R39" s="320"/>
      <c r="S39" s="327"/>
      <c r="T39" s="328"/>
      <c r="U39" s="329"/>
    </row>
    <row r="40" spans="1:21">
      <c r="A40" s="190" t="s">
        <v>189</v>
      </c>
      <c r="B40" s="343"/>
      <c r="C40" s="345"/>
      <c r="D40" s="345"/>
      <c r="E40" s="345"/>
      <c r="F40" s="296"/>
      <c r="G40" s="345"/>
      <c r="H40" s="296"/>
      <c r="I40" s="296"/>
      <c r="J40" s="296"/>
      <c r="K40" s="296"/>
      <c r="L40" s="296"/>
      <c r="M40" s="296"/>
      <c r="N40" s="344"/>
      <c r="O40" s="518"/>
      <c r="P40" s="346"/>
      <c r="Q40" s="344"/>
      <c r="R40" s="320"/>
      <c r="S40" s="327"/>
      <c r="T40" s="328"/>
      <c r="U40" s="329"/>
    </row>
    <row r="41" spans="1:21" ht="14.25">
      <c r="A41" s="191" t="s">
        <v>190</v>
      </c>
      <c r="B41" s="540">
        <v>43.29</v>
      </c>
      <c r="C41" s="541">
        <v>13543</v>
      </c>
      <c r="D41" s="541">
        <v>24450.560000000001</v>
      </c>
      <c r="E41" s="541">
        <v>29317.26</v>
      </c>
      <c r="F41" s="541">
        <v>5977.61</v>
      </c>
      <c r="G41" s="541">
        <v>209858.38</v>
      </c>
      <c r="H41" s="541">
        <v>-76678.89</v>
      </c>
      <c r="I41" s="541">
        <v>87614.080000000002</v>
      </c>
      <c r="J41" s="541">
        <v>0</v>
      </c>
      <c r="K41" s="541">
        <v>0</v>
      </c>
      <c r="L41" s="541">
        <v>0</v>
      </c>
      <c r="M41" s="542">
        <v>0</v>
      </c>
      <c r="N41" s="344">
        <f>SUM(B41:M41)</f>
        <v>294125.28999999998</v>
      </c>
      <c r="O41" s="345">
        <f>3425573.89+N41</f>
        <v>3719699.18</v>
      </c>
      <c r="P41" s="346">
        <v>4502000</v>
      </c>
      <c r="Q41" s="344">
        <v>0</v>
      </c>
      <c r="R41" s="320">
        <f t="shared" ref="R41" si="11">+O41/P41</f>
        <v>0.82623260328742787</v>
      </c>
      <c r="S41" s="327"/>
      <c r="T41" s="328"/>
      <c r="U41" s="329"/>
    </row>
    <row r="42" spans="1:21">
      <c r="A42" s="481" t="s">
        <v>191</v>
      </c>
      <c r="B42" s="347">
        <f t="shared" ref="B42:N42" si="12">SUM(B41:B41)</f>
        <v>43.29</v>
      </c>
      <c r="C42" s="348">
        <f t="shared" si="12"/>
        <v>13543</v>
      </c>
      <c r="D42" s="348">
        <f t="shared" si="12"/>
        <v>24450.560000000001</v>
      </c>
      <c r="E42" s="348">
        <f t="shared" si="12"/>
        <v>29317.26</v>
      </c>
      <c r="F42" s="349">
        <f t="shared" si="12"/>
        <v>5977.61</v>
      </c>
      <c r="G42" s="348">
        <f t="shared" si="12"/>
        <v>209858.38</v>
      </c>
      <c r="H42" s="349">
        <f t="shared" si="12"/>
        <v>-76678.89</v>
      </c>
      <c r="I42" s="349">
        <f t="shared" si="12"/>
        <v>87614.080000000002</v>
      </c>
      <c r="J42" s="349">
        <f t="shared" si="12"/>
        <v>0</v>
      </c>
      <c r="K42" s="349">
        <f t="shared" si="12"/>
        <v>0</v>
      </c>
      <c r="L42" s="349">
        <f t="shared" si="12"/>
        <v>0</v>
      </c>
      <c r="M42" s="349">
        <f t="shared" si="12"/>
        <v>0</v>
      </c>
      <c r="N42" s="600">
        <f t="shared" si="12"/>
        <v>294125.28999999998</v>
      </c>
      <c r="O42" s="658">
        <f>O41</f>
        <v>3719699.18</v>
      </c>
      <c r="P42" s="599">
        <f>SUM(P41)</f>
        <v>4502000</v>
      </c>
      <c r="Q42" s="600">
        <f>SUM(Q41:Q41)</f>
        <v>0</v>
      </c>
      <c r="R42" s="602">
        <f>O42/P42</f>
        <v>0.82623260328742787</v>
      </c>
      <c r="S42" s="327"/>
      <c r="T42" s="328"/>
      <c r="U42" s="329"/>
    </row>
    <row r="43" spans="1:21">
      <c r="A43" s="190"/>
      <c r="B43" s="343"/>
      <c r="C43" s="345"/>
      <c r="D43" s="345"/>
      <c r="E43" s="345"/>
      <c r="F43" s="296"/>
      <c r="G43" s="345"/>
      <c r="H43" s="296"/>
      <c r="I43" s="296"/>
      <c r="J43" s="296"/>
      <c r="K43" s="296"/>
      <c r="L43" s="296"/>
      <c r="M43" s="296"/>
      <c r="N43" s="344"/>
      <c r="O43" s="345"/>
      <c r="P43" s="484"/>
      <c r="Q43" s="344"/>
      <c r="R43" s="320"/>
      <c r="S43" s="327"/>
      <c r="T43" s="328"/>
      <c r="U43" s="329"/>
    </row>
    <row r="44" spans="1:21">
      <c r="A44" s="190" t="s">
        <v>192</v>
      </c>
      <c r="B44" s="343"/>
      <c r="C44" s="345"/>
      <c r="D44" s="345"/>
      <c r="E44" s="345"/>
      <c r="F44" s="296"/>
      <c r="G44" s="345"/>
      <c r="H44" s="296"/>
      <c r="I44" s="296"/>
      <c r="J44" s="296"/>
      <c r="K44" s="296"/>
      <c r="L44" s="296"/>
      <c r="M44" s="296"/>
      <c r="N44" s="344"/>
      <c r="O44" s="345"/>
      <c r="P44" s="346"/>
      <c r="Q44" s="344"/>
      <c r="R44" s="320"/>
      <c r="S44" s="327"/>
      <c r="T44" s="328"/>
      <c r="U44" s="329"/>
    </row>
    <row r="45" spans="1:21" ht="14.25">
      <c r="A45" s="191" t="s">
        <v>193</v>
      </c>
      <c r="B45" s="531">
        <v>34704.71</v>
      </c>
      <c r="C45" s="532">
        <v>52958.45</v>
      </c>
      <c r="D45" s="532">
        <v>48078.76</v>
      </c>
      <c r="E45" s="532">
        <v>40806.03</v>
      </c>
      <c r="F45" s="532">
        <v>52581.8</v>
      </c>
      <c r="G45" s="532">
        <v>54091.989999999903</v>
      </c>
      <c r="H45" s="532">
        <v>49074.07</v>
      </c>
      <c r="I45" s="532">
        <v>50402.45</v>
      </c>
      <c r="J45" s="532">
        <v>0</v>
      </c>
      <c r="K45" s="532">
        <v>0</v>
      </c>
      <c r="L45" s="532">
        <v>0</v>
      </c>
      <c r="M45" s="533">
        <v>0</v>
      </c>
      <c r="N45" s="344">
        <f>SUM(B45:M45)</f>
        <v>382698.25999999989</v>
      </c>
      <c r="O45" s="345">
        <f>2089189.09+N45</f>
        <v>2471887.35</v>
      </c>
      <c r="P45" s="350">
        <f>4095000+Q45</f>
        <v>3929000</v>
      </c>
      <c r="Q45" s="344">
        <v>-166000</v>
      </c>
      <c r="R45" s="320">
        <f t="shared" ref="R45:R48" si="13">+O45/P45</f>
        <v>0.6291390557393739</v>
      </c>
      <c r="S45" s="327"/>
      <c r="T45" s="328"/>
      <c r="U45" s="329"/>
    </row>
    <row r="46" spans="1:21" s="106" customFormat="1">
      <c r="A46" s="192" t="s">
        <v>194</v>
      </c>
      <c r="B46" s="534">
        <v>4184.74</v>
      </c>
      <c r="C46" s="535">
        <v>22572.85</v>
      </c>
      <c r="D46" s="535">
        <v>167185.47</v>
      </c>
      <c r="E46" s="535">
        <v>68229.87999999999</v>
      </c>
      <c r="F46" s="535">
        <v>85472.49</v>
      </c>
      <c r="G46" s="535">
        <v>204652.41</v>
      </c>
      <c r="H46" s="535">
        <v>16200.48</v>
      </c>
      <c r="I46" s="535">
        <v>149663.03999999899</v>
      </c>
      <c r="J46" s="535">
        <v>0</v>
      </c>
      <c r="K46" s="535">
        <v>0</v>
      </c>
      <c r="L46" s="535">
        <v>0</v>
      </c>
      <c r="M46" s="536">
        <v>0</v>
      </c>
      <c r="N46" s="346">
        <f>SUM(B46:M46)</f>
        <v>718161.35999999894</v>
      </c>
      <c r="O46" s="345">
        <f>7066059.65+N46</f>
        <v>7784221.0099999998</v>
      </c>
      <c r="P46" s="350">
        <f>7948000+Q46</f>
        <v>8514000</v>
      </c>
      <c r="Q46" s="346">
        <v>566000</v>
      </c>
      <c r="R46" s="322">
        <f t="shared" si="13"/>
        <v>0.91428482616866336</v>
      </c>
      <c r="S46" s="327"/>
      <c r="T46" s="328"/>
      <c r="U46" s="329"/>
    </row>
    <row r="47" spans="1:21" ht="14.25">
      <c r="A47" s="191" t="s">
        <v>195</v>
      </c>
      <c r="B47" s="534">
        <v>-9539.8700000000008</v>
      </c>
      <c r="C47" s="535">
        <v>68261.33</v>
      </c>
      <c r="D47" s="535">
        <v>71935.69</v>
      </c>
      <c r="E47" s="535">
        <v>75594.429999999993</v>
      </c>
      <c r="F47" s="535">
        <v>101524.069999999</v>
      </c>
      <c r="G47" s="535">
        <v>74753.53</v>
      </c>
      <c r="H47" s="535">
        <v>65000.639999999999</v>
      </c>
      <c r="I47" s="535">
        <v>85477.93</v>
      </c>
      <c r="J47" s="535">
        <v>0</v>
      </c>
      <c r="K47" s="535">
        <v>0</v>
      </c>
      <c r="L47" s="535">
        <v>0</v>
      </c>
      <c r="M47" s="536">
        <v>0</v>
      </c>
      <c r="N47" s="344">
        <f>SUM(B47:M47)</f>
        <v>533007.74999999907</v>
      </c>
      <c r="O47" s="345">
        <f>N47+2919923.57</f>
        <v>3452931.3199999989</v>
      </c>
      <c r="P47" s="351">
        <f>5600600+Q47</f>
        <v>5006200</v>
      </c>
      <c r="Q47" s="344">
        <v>-594400</v>
      </c>
      <c r="R47" s="320">
        <f t="shared" si="13"/>
        <v>0.68973099756302159</v>
      </c>
      <c r="S47" s="327"/>
      <c r="T47" s="328"/>
      <c r="U47" s="329"/>
    </row>
    <row r="48" spans="1:21">
      <c r="A48" s="191" t="s">
        <v>196</v>
      </c>
      <c r="B48" s="537">
        <v>0</v>
      </c>
      <c r="C48" s="538">
        <v>0</v>
      </c>
      <c r="D48" s="538">
        <v>35493.32</v>
      </c>
      <c r="E48" s="538">
        <v>0</v>
      </c>
      <c r="F48" s="538">
        <v>63154.47</v>
      </c>
      <c r="G48" s="538">
        <v>0</v>
      </c>
      <c r="H48" s="538">
        <v>47484.76</v>
      </c>
      <c r="I48" s="538">
        <v>0</v>
      </c>
      <c r="J48" s="538">
        <v>0</v>
      </c>
      <c r="K48" s="538">
        <v>0</v>
      </c>
      <c r="L48" s="538">
        <v>0</v>
      </c>
      <c r="M48" s="539">
        <v>0</v>
      </c>
      <c r="N48" s="344">
        <f>SUM(B48:M48)</f>
        <v>146132.55000000002</v>
      </c>
      <c r="O48" s="345">
        <f>597970.46+N48</f>
        <v>744103.01</v>
      </c>
      <c r="P48" s="352">
        <v>1000000</v>
      </c>
      <c r="Q48" s="344">
        <v>0</v>
      </c>
      <c r="R48" s="320">
        <f t="shared" si="13"/>
        <v>0.74410301000000001</v>
      </c>
      <c r="S48" s="327"/>
      <c r="T48" s="328"/>
      <c r="U48" s="329"/>
    </row>
    <row r="49" spans="1:21">
      <c r="A49" s="481" t="s">
        <v>197</v>
      </c>
      <c r="B49" s="347">
        <f>SUM(B45:B48)</f>
        <v>29349.579999999994</v>
      </c>
      <c r="C49" s="348">
        <f t="shared" ref="C49:M49" si="14">SUM(C45:C48)</f>
        <v>143792.63</v>
      </c>
      <c r="D49" s="348">
        <f t="shared" si="14"/>
        <v>322693.24000000005</v>
      </c>
      <c r="E49" s="348">
        <f t="shared" si="14"/>
        <v>184630.33999999997</v>
      </c>
      <c r="F49" s="348">
        <f t="shared" si="14"/>
        <v>302732.82999999903</v>
      </c>
      <c r="G49" s="348">
        <f>SUM(G45:G48)</f>
        <v>333497.92999999993</v>
      </c>
      <c r="H49" s="348">
        <f t="shared" si="14"/>
        <v>177759.95</v>
      </c>
      <c r="I49" s="348">
        <f t="shared" si="14"/>
        <v>285543.41999999899</v>
      </c>
      <c r="J49" s="348">
        <f t="shared" si="14"/>
        <v>0</v>
      </c>
      <c r="K49" s="348">
        <f t="shared" si="14"/>
        <v>0</v>
      </c>
      <c r="L49" s="348">
        <f t="shared" si="14"/>
        <v>0</v>
      </c>
      <c r="M49" s="348">
        <f t="shared" si="14"/>
        <v>0</v>
      </c>
      <c r="N49" s="600">
        <f>SUM(N45:N48)</f>
        <v>1779999.9199999978</v>
      </c>
      <c r="O49" s="658">
        <f>SUM(O45:O48)</f>
        <v>14453142.689999998</v>
      </c>
      <c r="P49" s="599">
        <f>SUM(P45:P48)</f>
        <v>18449200</v>
      </c>
      <c r="Q49" s="600">
        <f>SUM(Q45:Q48)</f>
        <v>-194400</v>
      </c>
      <c r="R49" s="602">
        <f>O49/P49</f>
        <v>0.78340213613598408</v>
      </c>
      <c r="S49" s="327"/>
      <c r="T49" s="328"/>
      <c r="U49" s="329"/>
    </row>
    <row r="50" spans="1:21">
      <c r="A50" s="190"/>
      <c r="B50" s="343"/>
      <c r="C50" s="345"/>
      <c r="D50" s="345"/>
      <c r="E50" s="345"/>
      <c r="F50" s="296"/>
      <c r="G50" s="345"/>
      <c r="H50" s="296"/>
      <c r="I50" s="296"/>
      <c r="J50" s="296"/>
      <c r="K50" s="296"/>
      <c r="L50" s="296"/>
      <c r="M50" s="296"/>
      <c r="N50" s="344"/>
      <c r="O50" s="518"/>
      <c r="P50" s="346"/>
      <c r="Q50" s="344"/>
      <c r="R50" s="320"/>
      <c r="S50" s="327"/>
      <c r="T50" s="328"/>
      <c r="U50" s="329"/>
    </row>
    <row r="51" spans="1:21" ht="15" customHeight="1" thickBot="1">
      <c r="A51" s="669" t="s">
        <v>198</v>
      </c>
      <c r="B51" s="670">
        <f>B49+B42+B38+B30+B24+B20+B16</f>
        <v>320209.31999999977</v>
      </c>
      <c r="C51" s="671">
        <f>C49+C42+C38+C30+C24+C20+C16</f>
        <v>389064.97</v>
      </c>
      <c r="D51" s="671">
        <f t="shared" ref="D51:M51" si="15">D49+D42+D38+D30+D24+D20+D16</f>
        <v>641654.23</v>
      </c>
      <c r="E51" s="671">
        <f t="shared" si="15"/>
        <v>465729.92</v>
      </c>
      <c r="F51" s="671">
        <f t="shared" si="15"/>
        <v>514506.01999999903</v>
      </c>
      <c r="G51" s="671">
        <f t="shared" si="15"/>
        <v>933707.77999999886</v>
      </c>
      <c r="H51" s="671">
        <f t="shared" si="15"/>
        <v>304701.56999999983</v>
      </c>
      <c r="I51" s="671">
        <f>I49+I42+I38+I30+I24+I20+I16</f>
        <v>740821.59999999893</v>
      </c>
      <c r="J51" s="671">
        <f t="shared" si="15"/>
        <v>0</v>
      </c>
      <c r="K51" s="671">
        <f t="shared" si="15"/>
        <v>0</v>
      </c>
      <c r="L51" s="671">
        <f t="shared" si="15"/>
        <v>0</v>
      </c>
      <c r="M51" s="671">
        <f t="shared" si="15"/>
        <v>0</v>
      </c>
      <c r="N51" s="672">
        <f>N49+N42+N38+N30+N24+N20+N16</f>
        <v>4310395.4099999964</v>
      </c>
      <c r="O51" s="673">
        <f>O49+O42+O38+O30+O24+O20+O16</f>
        <v>40032550.039999992</v>
      </c>
      <c r="P51" s="674">
        <f>P49+P42+P38+P30+P24+P20+P16</f>
        <v>82893002</v>
      </c>
      <c r="Q51" s="674">
        <f>Q16+Q30+Q49</f>
        <v>-1128898</v>
      </c>
      <c r="R51" s="675">
        <f>O51/P51</f>
        <v>0.4829424568312774</v>
      </c>
      <c r="S51" s="327"/>
      <c r="T51" s="328"/>
      <c r="U51" s="329"/>
    </row>
    <row r="52" spans="1:21" ht="15" customHeight="1">
      <c r="A52" s="668"/>
      <c r="B52" s="297"/>
      <c r="C52" s="296"/>
      <c r="D52" s="296"/>
      <c r="E52" s="296"/>
      <c r="F52" s="296"/>
      <c r="G52" s="298"/>
      <c r="H52" s="296"/>
      <c r="I52" s="296"/>
      <c r="J52" s="296"/>
      <c r="K52" s="296"/>
      <c r="L52" s="296"/>
      <c r="M52" s="296"/>
      <c r="N52" s="296"/>
      <c r="O52" s="296"/>
      <c r="P52" s="296" t="s">
        <v>67</v>
      </c>
      <c r="Q52" s="296"/>
      <c r="R52" s="318"/>
      <c r="S52" s="327"/>
      <c r="T52" s="328"/>
      <c r="U52" s="328"/>
    </row>
    <row r="53" spans="1:21" ht="10.5" customHeight="1" thickBot="1">
      <c r="A53" s="111"/>
      <c r="B53" s="109"/>
      <c r="C53" s="73"/>
      <c r="D53" s="73"/>
      <c r="E53" s="73"/>
      <c r="F53" s="73"/>
      <c r="G53" s="73"/>
      <c r="H53" s="73"/>
      <c r="I53" s="73"/>
      <c r="J53" s="73"/>
      <c r="K53" s="73"/>
      <c r="L53" s="73"/>
      <c r="M53" s="73"/>
      <c r="N53" s="73"/>
      <c r="O53" s="73"/>
      <c r="P53" s="74"/>
      <c r="Q53" s="74"/>
      <c r="R53" s="187"/>
    </row>
    <row r="54" spans="1:21">
      <c r="A54" s="106"/>
      <c r="G54" s="153"/>
      <c r="P54" s="153" t="s">
        <v>67</v>
      </c>
    </row>
    <row r="55" spans="1:21">
      <c r="A55" s="660" t="s">
        <v>68</v>
      </c>
      <c r="B55" s="106"/>
      <c r="N55" s="219"/>
      <c r="P55" s="66" t="s">
        <v>67</v>
      </c>
    </row>
    <row r="56" spans="1:21" ht="14.25">
      <c r="A56" s="661" t="s">
        <v>199</v>
      </c>
    </row>
    <row r="57" spans="1:21" ht="14.25">
      <c r="A57" s="688" t="s">
        <v>200</v>
      </c>
    </row>
    <row r="58" spans="1:21" ht="14.25">
      <c r="A58" s="66" t="s">
        <v>201</v>
      </c>
    </row>
    <row r="59" spans="1:21" ht="14.25">
      <c r="A59" s="66" t="s">
        <v>202</v>
      </c>
    </row>
    <row r="60" spans="1:21" ht="14.25">
      <c r="A60" s="66" t="s">
        <v>203</v>
      </c>
    </row>
    <row r="61" spans="1:21" ht="30.4" customHeight="1">
      <c r="A61" s="716" t="s">
        <v>204</v>
      </c>
      <c r="B61" s="716"/>
      <c r="C61" s="716"/>
      <c r="D61" s="716"/>
      <c r="E61" s="716"/>
      <c r="F61" s="716"/>
      <c r="G61" s="716"/>
      <c r="H61" s="716"/>
      <c r="I61" s="716"/>
      <c r="J61" s="716"/>
      <c r="K61" s="716"/>
      <c r="L61" s="716"/>
      <c r="M61" s="716"/>
      <c r="N61" s="716"/>
      <c r="O61" s="716"/>
      <c r="P61" s="716"/>
      <c r="Q61" s="716"/>
      <c r="R61" s="716"/>
    </row>
    <row r="62" spans="1:21" ht="30.4" customHeight="1">
      <c r="A62" s="689" t="s">
        <v>205</v>
      </c>
      <c r="B62" s="689"/>
      <c r="C62" s="689"/>
      <c r="D62" s="689"/>
      <c r="E62" s="689"/>
      <c r="F62" s="689"/>
      <c r="G62" s="689"/>
      <c r="H62" s="689"/>
      <c r="I62" s="689"/>
      <c r="J62" s="689"/>
      <c r="K62" s="689"/>
      <c r="L62" s="689"/>
      <c r="M62" s="689"/>
      <c r="N62" s="689"/>
      <c r="O62" s="689"/>
      <c r="P62" s="689"/>
      <c r="Q62" s="689"/>
      <c r="R62" s="689"/>
    </row>
    <row r="63" spans="1:21" ht="13.5" customHeight="1">
      <c r="A63" s="650" t="s">
        <v>206</v>
      </c>
    </row>
    <row r="64" spans="1:21">
      <c r="A64" s="655" t="s">
        <v>84</v>
      </c>
    </row>
  </sheetData>
  <mergeCells count="1">
    <mergeCell ref="A61:R61"/>
  </mergeCells>
  <printOptions horizontalCentered="1"/>
  <pageMargins left="0" right="0" top="0.55000000000000004" bottom="0.17" header="0.3" footer="0.15"/>
  <pageSetup paperSize="5" scale="43"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2:N48"/>
  <sheetViews>
    <sheetView showRuler="0" showWhiteSpace="0" topLeftCell="A4" zoomScale="80" zoomScaleNormal="80" workbookViewId="0">
      <selection activeCell="A35" sqref="A35"/>
    </sheetView>
  </sheetViews>
  <sheetFormatPr defaultColWidth="9.28515625" defaultRowHeight="12.75"/>
  <cols>
    <col min="1" max="1" width="48" style="38" customWidth="1"/>
    <col min="2" max="3" width="13" style="38" customWidth="1"/>
    <col min="4" max="13" width="13.28515625" style="38" customWidth="1"/>
    <col min="14" max="14" width="23.28515625" style="38" bestFit="1" customWidth="1"/>
    <col min="15" max="16384" width="9.28515625" style="38"/>
  </cols>
  <sheetData>
    <row r="2" spans="1:13" ht="20.25">
      <c r="B2" s="216" t="s">
        <v>39</v>
      </c>
      <c r="C2" s="37"/>
      <c r="D2" s="37"/>
      <c r="E2" s="217"/>
      <c r="F2" s="217"/>
      <c r="G2" s="217"/>
      <c r="H2" s="217"/>
      <c r="I2" s="217"/>
      <c r="J2" s="217"/>
      <c r="K2" s="217"/>
      <c r="L2" s="217"/>
      <c r="M2" s="217"/>
    </row>
    <row r="3" spans="1:13" ht="18">
      <c r="B3" s="717" t="s">
        <v>207</v>
      </c>
      <c r="C3" s="717"/>
      <c r="D3" s="717"/>
      <c r="E3" s="717"/>
      <c r="F3" s="717"/>
      <c r="G3" s="717"/>
      <c r="H3" s="717"/>
      <c r="I3" s="717"/>
      <c r="J3" s="717"/>
      <c r="K3" s="717"/>
      <c r="L3" s="717"/>
      <c r="M3" s="717"/>
    </row>
    <row r="4" spans="1:13" ht="18">
      <c r="A4" s="92"/>
      <c r="B4" s="37"/>
      <c r="C4" s="37"/>
      <c r="D4" s="37"/>
      <c r="E4" s="37"/>
      <c r="F4" s="218"/>
      <c r="G4" s="718">
        <f>'Program MW '!H3</f>
        <v>44774</v>
      </c>
      <c r="H4" s="718"/>
      <c r="I4" s="218"/>
      <c r="J4" s="37"/>
      <c r="K4" s="37"/>
      <c r="L4" s="37"/>
      <c r="M4" s="37"/>
    </row>
    <row r="5" spans="1:13">
      <c r="B5" s="108"/>
      <c r="C5" s="108"/>
      <c r="D5" s="108"/>
    </row>
    <row r="7" spans="1:13" ht="21.75" customHeight="1">
      <c r="A7" s="59"/>
      <c r="B7" s="455" t="s">
        <v>10</v>
      </c>
      <c r="C7" s="455" t="s">
        <v>28</v>
      </c>
      <c r="D7" s="455" t="s">
        <v>43</v>
      </c>
      <c r="E7" s="455" t="s">
        <v>44</v>
      </c>
      <c r="F7" s="455" t="s">
        <v>208</v>
      </c>
      <c r="G7" s="455" t="s">
        <v>45</v>
      </c>
      <c r="H7" s="455" t="s">
        <v>58</v>
      </c>
      <c r="I7" s="455" t="s">
        <v>59</v>
      </c>
      <c r="J7" s="455" t="s">
        <v>60</v>
      </c>
      <c r="K7" s="455" t="s">
        <v>61</v>
      </c>
      <c r="L7" s="455" t="s">
        <v>62</v>
      </c>
      <c r="M7" s="590" t="s">
        <v>63</v>
      </c>
    </row>
    <row r="8" spans="1:13" ht="38.25">
      <c r="A8" s="591" t="s">
        <v>209</v>
      </c>
      <c r="B8" s="456" t="s">
        <v>114</v>
      </c>
      <c r="C8" s="592" t="s">
        <v>114</v>
      </c>
      <c r="D8" s="592" t="s">
        <v>114</v>
      </c>
      <c r="E8" s="592" t="s">
        <v>114</v>
      </c>
      <c r="F8" s="592" t="s">
        <v>114</v>
      </c>
      <c r="G8" s="592" t="s">
        <v>114</v>
      </c>
      <c r="H8" s="592" t="s">
        <v>114</v>
      </c>
      <c r="I8" s="592" t="s">
        <v>114</v>
      </c>
      <c r="J8" s="592" t="s">
        <v>114</v>
      </c>
      <c r="K8" s="592" t="s">
        <v>114</v>
      </c>
      <c r="L8" s="592" t="s">
        <v>210</v>
      </c>
      <c r="M8" s="592" t="s">
        <v>210</v>
      </c>
    </row>
    <row r="9" spans="1:13">
      <c r="A9" s="457" t="s">
        <v>117</v>
      </c>
      <c r="B9" s="593">
        <v>1.23E-2</v>
      </c>
      <c r="C9" s="593">
        <v>1.23E-2</v>
      </c>
      <c r="D9" s="593">
        <v>1.23E-2</v>
      </c>
      <c r="E9" s="593">
        <v>1.23E-2</v>
      </c>
      <c r="F9" s="593">
        <v>1.23E-2</v>
      </c>
      <c r="G9" s="593">
        <v>1.23E-2</v>
      </c>
      <c r="H9" s="593">
        <v>1.23E-2</v>
      </c>
      <c r="I9" s="593">
        <v>1.23E-2</v>
      </c>
      <c r="J9" s="593"/>
      <c r="K9" s="593"/>
      <c r="L9" s="593"/>
      <c r="M9" s="593"/>
    </row>
    <row r="10" spans="1:13">
      <c r="A10" s="457" t="s">
        <v>118</v>
      </c>
      <c r="B10" s="593">
        <v>0</v>
      </c>
      <c r="C10" s="593">
        <v>0</v>
      </c>
      <c r="D10" s="593">
        <v>0</v>
      </c>
      <c r="E10" s="593">
        <v>0</v>
      </c>
      <c r="F10" s="593">
        <v>0</v>
      </c>
      <c r="G10" s="593">
        <v>0</v>
      </c>
      <c r="H10" s="593">
        <v>0</v>
      </c>
      <c r="I10" s="593">
        <v>0</v>
      </c>
      <c r="J10" s="593"/>
      <c r="K10" s="593"/>
      <c r="L10" s="593"/>
      <c r="M10" s="593"/>
    </row>
    <row r="11" spans="1:13">
      <c r="A11" s="594" t="s">
        <v>211</v>
      </c>
      <c r="B11" s="593">
        <v>0</v>
      </c>
      <c r="C11" s="593">
        <v>0</v>
      </c>
      <c r="D11" s="593">
        <v>0</v>
      </c>
      <c r="E11" s="593">
        <v>0</v>
      </c>
      <c r="F11" s="593">
        <v>0</v>
      </c>
      <c r="G11" s="593">
        <v>0</v>
      </c>
      <c r="H11" s="593">
        <v>0</v>
      </c>
      <c r="I11" s="593">
        <v>0</v>
      </c>
      <c r="J11" s="593"/>
      <c r="K11" s="593"/>
      <c r="L11" s="593"/>
      <c r="M11" s="593"/>
    </row>
    <row r="12" spans="1:13">
      <c r="A12" s="594" t="s">
        <v>212</v>
      </c>
      <c r="B12" s="593">
        <v>0</v>
      </c>
      <c r="C12" s="593">
        <v>0</v>
      </c>
      <c r="D12" s="593">
        <v>0</v>
      </c>
      <c r="E12" s="593">
        <v>0</v>
      </c>
      <c r="F12" s="593">
        <v>0</v>
      </c>
      <c r="G12" s="593">
        <v>0</v>
      </c>
      <c r="H12" s="593">
        <v>0</v>
      </c>
      <c r="I12" s="593">
        <v>0</v>
      </c>
      <c r="J12" s="593"/>
      <c r="K12" s="593"/>
      <c r="L12" s="593"/>
      <c r="M12" s="593"/>
    </row>
    <row r="13" spans="1:13" s="37" customFormat="1">
      <c r="A13" s="458" t="s">
        <v>119</v>
      </c>
      <c r="B13" s="430">
        <f t="shared" ref="B13:G13" si="0">SUM(B9:B12)</f>
        <v>1.23E-2</v>
      </c>
      <c r="C13" s="430">
        <f t="shared" si="0"/>
        <v>1.23E-2</v>
      </c>
      <c r="D13" s="430">
        <f t="shared" si="0"/>
        <v>1.23E-2</v>
      </c>
      <c r="E13" s="430">
        <f t="shared" si="0"/>
        <v>1.23E-2</v>
      </c>
      <c r="F13" s="430">
        <f>SUM(F9:F12)</f>
        <v>1.23E-2</v>
      </c>
      <c r="G13" s="430">
        <f t="shared" si="0"/>
        <v>1.23E-2</v>
      </c>
      <c r="H13" s="569">
        <f t="shared" ref="H13" si="1">SUM(H9:H12)</f>
        <v>1.23E-2</v>
      </c>
      <c r="I13" s="569">
        <f>SUM(I9:I12)</f>
        <v>1.23E-2</v>
      </c>
      <c r="J13" s="569">
        <f>SUM(J9:J12)</f>
        <v>0</v>
      </c>
      <c r="K13" s="569">
        <f>SUM(K9:K12)</f>
        <v>0</v>
      </c>
      <c r="L13" s="569">
        <f>SUM(L9:L12)</f>
        <v>0</v>
      </c>
      <c r="M13" s="569">
        <f>SUM(M9:M12)</f>
        <v>0</v>
      </c>
    </row>
    <row r="14" spans="1:13" s="45" customFormat="1">
      <c r="A14" s="37"/>
      <c r="B14" s="41"/>
      <c r="C14" s="43"/>
      <c r="D14" s="43"/>
      <c r="E14" s="43"/>
      <c r="F14" s="43"/>
      <c r="G14" s="43"/>
    </row>
    <row r="15" spans="1:13" ht="15">
      <c r="A15" s="151" t="s">
        <v>68</v>
      </c>
      <c r="G15" s="39"/>
    </row>
    <row r="16" spans="1:13" ht="15">
      <c r="A16" s="237" t="s">
        <v>213</v>
      </c>
      <c r="B16" s="108"/>
      <c r="C16" s="108"/>
      <c r="D16" s="182"/>
      <c r="E16" s="182"/>
      <c r="F16" s="182"/>
      <c r="G16" s="108"/>
      <c r="H16" s="108"/>
      <c r="I16" s="108"/>
      <c r="J16" s="108"/>
      <c r="K16" s="108"/>
    </row>
    <row r="17" spans="1:14" ht="15">
      <c r="A17" s="236"/>
    </row>
    <row r="20" spans="1:14" ht="21.75" customHeight="1">
      <c r="A20" s="59"/>
      <c r="B20" s="455" t="s">
        <v>10</v>
      </c>
      <c r="C20" s="455" t="s">
        <v>28</v>
      </c>
      <c r="D20" s="455" t="s">
        <v>43</v>
      </c>
      <c r="E20" s="455" t="s">
        <v>44</v>
      </c>
      <c r="F20" s="455" t="s">
        <v>208</v>
      </c>
      <c r="G20" s="455" t="s">
        <v>45</v>
      </c>
      <c r="H20" s="455" t="s">
        <v>58</v>
      </c>
      <c r="I20" s="455" t="s">
        <v>59</v>
      </c>
      <c r="J20" s="455" t="s">
        <v>60</v>
      </c>
      <c r="K20" s="455" t="s">
        <v>61</v>
      </c>
      <c r="L20" s="455" t="s">
        <v>62</v>
      </c>
      <c r="M20" s="590" t="s">
        <v>63</v>
      </c>
      <c r="N20" s="220"/>
    </row>
    <row r="21" spans="1:14" ht="51">
      <c r="A21" s="595" t="s">
        <v>209</v>
      </c>
      <c r="B21" s="592" t="s">
        <v>214</v>
      </c>
      <c r="C21" s="592" t="str">
        <f>B21</f>
        <v>Technology Deployment- Residential MWs</v>
      </c>
      <c r="D21" s="592" t="str">
        <f>B21</f>
        <v>Technology Deployment- Residential MWs</v>
      </c>
      <c r="E21" s="592" t="str">
        <f t="shared" ref="E21:M21" si="2">C21</f>
        <v>Technology Deployment- Residential MWs</v>
      </c>
      <c r="F21" s="592" t="str">
        <f t="shared" si="2"/>
        <v>Technology Deployment- Residential MWs</v>
      </c>
      <c r="G21" s="592" t="str">
        <f t="shared" si="2"/>
        <v>Technology Deployment- Residential MWs</v>
      </c>
      <c r="H21" s="592" t="str">
        <f t="shared" si="2"/>
        <v>Technology Deployment- Residential MWs</v>
      </c>
      <c r="I21" s="592" t="str">
        <f t="shared" si="2"/>
        <v>Technology Deployment- Residential MWs</v>
      </c>
      <c r="J21" s="592" t="str">
        <f t="shared" si="2"/>
        <v>Technology Deployment- Residential MWs</v>
      </c>
      <c r="K21" s="592" t="str">
        <f t="shared" si="2"/>
        <v>Technology Deployment- Residential MWs</v>
      </c>
      <c r="L21" s="592" t="str">
        <f t="shared" si="2"/>
        <v>Technology Deployment- Residential MWs</v>
      </c>
      <c r="M21" s="592" t="str">
        <f t="shared" si="2"/>
        <v>Technology Deployment- Residential MWs</v>
      </c>
      <c r="N21" s="220"/>
    </row>
    <row r="22" spans="1:14">
      <c r="A22" s="594" t="s">
        <v>17</v>
      </c>
      <c r="B22" s="616">
        <f>('Ex post LI &amp; Eligibility Stats'!B11*15879)/1000</f>
        <v>4.7682275910079479</v>
      </c>
      <c r="C22" s="616">
        <f>('Ex post LI &amp; Eligibility Stats'!C11*16220)/1000</f>
        <v>4.8706248205900193</v>
      </c>
      <c r="D22" s="565">
        <f>('Ex post LI &amp; Eligibility Stats'!D11*16662)/1000</f>
        <v>5.0033508483767513</v>
      </c>
      <c r="E22" s="565">
        <f>('Ex post LI &amp; Eligibility Stats'!E11*16958)/1000</f>
        <v>6.8814338406324387</v>
      </c>
      <c r="F22" s="565">
        <f>('Ex post LI &amp; Eligibility Stats'!F11*17137)/1000</f>
        <v>6.9540707469582559</v>
      </c>
      <c r="G22" s="565">
        <f>('Ex post LI &amp; Eligibility Stats'!G11*17219)/1000</f>
        <v>6.9873457543253901</v>
      </c>
      <c r="H22" s="565">
        <f>('Ex post LI &amp; Eligibility Stats'!H11*17808)/1000</f>
        <v>7.2263576974868773</v>
      </c>
      <c r="I22" s="565">
        <f>('Ex post LI &amp; Eligibility Stats'!I11*18625)/1000</f>
        <v>7.5578903928399086</v>
      </c>
      <c r="J22" s="565"/>
      <c r="K22" s="565"/>
      <c r="L22" s="565"/>
      <c r="M22" s="565"/>
      <c r="N22" s="220"/>
    </row>
    <row r="23" spans="1:14">
      <c r="A23" s="594" t="s">
        <v>27</v>
      </c>
      <c r="B23" s="616">
        <f>('Ex post LI &amp; Eligibility Stats'!B17*1045)/1000</f>
        <v>0.17463038755276492</v>
      </c>
      <c r="C23" s="616">
        <f>('Ex post LI &amp; Eligibility Stats'!C17*1058)/1000</f>
        <v>0.17680282299600505</v>
      </c>
      <c r="D23" s="565">
        <f>('Ex post LI &amp; Eligibility Stats'!D17*1071)/1000</f>
        <v>0.17897525843924522</v>
      </c>
      <c r="E23" s="565">
        <f>('Ex post LI &amp; Eligibility Stats'!E17*1073)/1000</f>
        <v>6.4164389141834879E-2</v>
      </c>
      <c r="F23" s="565">
        <f>('Ex post LI &amp; Eligibility Stats'!F17*1078)/1000</f>
        <v>6.4463384431405396E-2</v>
      </c>
      <c r="G23" s="565">
        <f>('Ex post LI &amp; Eligibility Stats'!G17*1042)/1000</f>
        <v>6.2310618346497613E-2</v>
      </c>
      <c r="H23" s="565">
        <f>('Ex post LI &amp; Eligibility Stats'!H17*1056)/1000</f>
        <v>6.3147805157295095E-2</v>
      </c>
      <c r="I23" s="565">
        <f>('Ex post LI &amp; Eligibility Stats'!I17*1083)/1000</f>
        <v>6.4762379720975927E-2</v>
      </c>
      <c r="J23" s="565"/>
      <c r="K23" s="565"/>
      <c r="L23" s="565"/>
      <c r="M23" s="565"/>
    </row>
    <row r="24" spans="1:14">
      <c r="A24" s="594" t="s">
        <v>212</v>
      </c>
      <c r="B24" s="616">
        <f>('Ex post LI &amp; Eligibility Stats'!B11*897)/1000</f>
        <v>0.26935576227307317</v>
      </c>
      <c r="C24" s="616">
        <f>('Ex post LI &amp; Eligibility Stats'!C11*917)/1000</f>
        <v>0.27536146488785745</v>
      </c>
      <c r="D24" s="615">
        <f>('Ex post LI &amp; Eligibility Stats'!D11*946)/1000</f>
        <v>0.28406973367929461</v>
      </c>
      <c r="E24" s="615">
        <f>('Ex post LI &amp; Eligibility Stats'!E11*983)/1000</f>
        <v>0.39889429563283918</v>
      </c>
      <c r="F24" s="626">
        <f>('Ex post LI &amp; Eligibility Stats'!F11*1016)/1000</f>
        <v>0.4122854571342468</v>
      </c>
      <c r="G24" s="627">
        <f>('Ex post LI &amp; Eligibility Stats'!G11*1052)/1000</f>
        <v>0.42689399695396424</v>
      </c>
      <c r="H24" s="627">
        <f>('Ex post LI &amp; Eligibility Stats'!H11*1146)/1000</f>
        <v>0.46503851759433745</v>
      </c>
      <c r="I24" s="627">
        <f>('Ex post LI &amp; Eligibility Stats'!I11*1236)/1000</f>
        <v>0.50155986714363099</v>
      </c>
      <c r="J24" s="565"/>
      <c r="K24" s="565"/>
      <c r="L24" s="565"/>
      <c r="M24" s="565"/>
    </row>
    <row r="25" spans="1:14" s="37" customFormat="1">
      <c r="A25" s="458" t="s">
        <v>119</v>
      </c>
      <c r="B25" s="430">
        <f t="shared" ref="B25:H25" si="3">SUM(B22:B24)</f>
        <v>5.2122137408337856</v>
      </c>
      <c r="C25" s="569">
        <f t="shared" si="3"/>
        <v>5.3227891084738816</v>
      </c>
      <c r="D25" s="569">
        <f t="shared" si="3"/>
        <v>5.4663958404952915</v>
      </c>
      <c r="E25" s="569">
        <f t="shared" ref="E25" si="4">SUM(E22:E24)</f>
        <v>7.3444925254071132</v>
      </c>
      <c r="F25" s="569">
        <f t="shared" ref="F25" si="5">SUM(F22:F24)</f>
        <v>7.4308195885239083</v>
      </c>
      <c r="G25" s="569">
        <f t="shared" si="3"/>
        <v>7.4765503696258522</v>
      </c>
      <c r="H25" s="569">
        <f t="shared" si="3"/>
        <v>7.7545440202385105</v>
      </c>
      <c r="I25" s="569">
        <f t="shared" ref="I25:J25" si="6">SUM(I22:I24)</f>
        <v>8.1242126397045151</v>
      </c>
      <c r="J25" s="569">
        <f t="shared" si="6"/>
        <v>0</v>
      </c>
      <c r="K25" s="569">
        <f>SUM(K22:K24)</f>
        <v>0</v>
      </c>
      <c r="L25" s="569">
        <f>SUM(L22:L24)</f>
        <v>0</v>
      </c>
      <c r="M25" s="569">
        <f>SUM(M22:M24)</f>
        <v>0</v>
      </c>
    </row>
    <row r="26" spans="1:14" s="45" customFormat="1">
      <c r="A26" s="37"/>
      <c r="B26" s="41"/>
      <c r="C26" s="43"/>
      <c r="D26" s="43"/>
      <c r="E26" s="43"/>
      <c r="F26" s="43"/>
      <c r="G26" s="43"/>
    </row>
    <row r="27" spans="1:14" ht="15">
      <c r="A27" s="151" t="s">
        <v>68</v>
      </c>
      <c r="G27" s="39"/>
    </row>
    <row r="28" spans="1:14" ht="15">
      <c r="A28" s="235" t="s">
        <v>215</v>
      </c>
      <c r="G28" s="39"/>
    </row>
    <row r="29" spans="1:14" ht="15">
      <c r="A29" s="236"/>
      <c r="C29" s="39"/>
      <c r="D29" s="39"/>
      <c r="E29" s="39"/>
      <c r="F29" s="39"/>
      <c r="G29" s="39"/>
    </row>
    <row r="30" spans="1:14">
      <c r="C30" s="39"/>
      <c r="D30" s="39"/>
      <c r="E30" s="39"/>
      <c r="F30" s="39"/>
      <c r="G30" s="39"/>
    </row>
    <row r="31" spans="1:14" ht="21.75" customHeight="1">
      <c r="A31" s="59"/>
      <c r="B31" s="455" t="s">
        <v>10</v>
      </c>
      <c r="C31" s="455" t="s">
        <v>28</v>
      </c>
      <c r="D31" s="455" t="s">
        <v>43</v>
      </c>
      <c r="E31" s="455" t="s">
        <v>44</v>
      </c>
      <c r="F31" s="455" t="s">
        <v>208</v>
      </c>
      <c r="G31" s="455" t="s">
        <v>45</v>
      </c>
      <c r="H31" s="455" t="s">
        <v>58</v>
      </c>
      <c r="I31" s="455" t="s">
        <v>59</v>
      </c>
      <c r="J31" s="455" t="s">
        <v>60</v>
      </c>
      <c r="K31" s="455" t="s">
        <v>61</v>
      </c>
      <c r="L31" s="455" t="s">
        <v>62</v>
      </c>
      <c r="M31" s="590" t="s">
        <v>63</v>
      </c>
    </row>
    <row r="32" spans="1:14" ht="51">
      <c r="A32" s="595" t="s">
        <v>209</v>
      </c>
      <c r="B32" s="592" t="s">
        <v>216</v>
      </c>
      <c r="C32" s="592" t="str">
        <f>B32</f>
        <v>Technology Deployment- Commercial MWs</v>
      </c>
      <c r="D32" s="592" t="str">
        <f>B32</f>
        <v>Technology Deployment- Commercial MWs</v>
      </c>
      <c r="E32" s="592" t="str">
        <f t="shared" ref="E32" si="7">C32</f>
        <v>Technology Deployment- Commercial MWs</v>
      </c>
      <c r="F32" s="592" t="str">
        <f t="shared" ref="F32" si="8">D32</f>
        <v>Technology Deployment- Commercial MWs</v>
      </c>
      <c r="G32" s="592" t="str">
        <f t="shared" ref="G32" si="9">E32</f>
        <v>Technology Deployment- Commercial MWs</v>
      </c>
      <c r="H32" s="592" t="str">
        <f t="shared" ref="H32" si="10">F32</f>
        <v>Technology Deployment- Commercial MWs</v>
      </c>
      <c r="I32" s="592" t="s">
        <v>217</v>
      </c>
      <c r="J32" s="592" t="str">
        <f t="shared" ref="J32" si="11">H32</f>
        <v>Technology Deployment- Commercial MWs</v>
      </c>
      <c r="K32" s="592" t="str">
        <f>B32</f>
        <v>Technology Deployment- Commercial MWs</v>
      </c>
      <c r="L32" s="592" t="s">
        <v>217</v>
      </c>
      <c r="M32" s="592" t="str">
        <f t="shared" ref="M32" si="12">K32</f>
        <v>Technology Deployment- Commercial MWs</v>
      </c>
    </row>
    <row r="33" spans="1:13">
      <c r="A33" s="594" t="s">
        <v>20</v>
      </c>
      <c r="B33" s="616">
        <f>('Ex post LI &amp; Eligibility Stats'!B12*296)/1000</f>
        <v>0.13729801845550538</v>
      </c>
      <c r="C33" s="616">
        <f>('Ex post LI &amp; Eligibility Stats'!C12*295)/1000</f>
        <v>0.13683417379856111</v>
      </c>
      <c r="D33" s="565">
        <f>('Ex post LI &amp; Eligibility Stats'!D12*295)/1000</f>
        <v>0.13683417379856111</v>
      </c>
      <c r="E33" s="565">
        <f>('Ex post LI &amp; Eligibility Stats'!E12*293)/1000</f>
        <v>0.27325568330287936</v>
      </c>
      <c r="F33" s="565">
        <f>('Ex post LI &amp; Eligibility Stats'!F12*291)/1000</f>
        <v>0.27139045679569246</v>
      </c>
      <c r="G33" s="565">
        <f>('Ex post LI &amp; Eligibility Stats'!G12*272)/1000</f>
        <v>0.25367080497741701</v>
      </c>
      <c r="H33" s="565">
        <f>('Ex post LI &amp; Eligibility Stats'!H12*164)/1000</f>
        <v>0.15294857358932495</v>
      </c>
      <c r="I33" s="565">
        <f>('Ex post LI &amp; Eligibility Stats'!I12*164)/1000</f>
        <v>0.15294857358932495</v>
      </c>
      <c r="J33" s="565"/>
      <c r="K33" s="565"/>
      <c r="L33" s="565"/>
      <c r="M33" s="565"/>
    </row>
    <row r="34" spans="1:13">
      <c r="A34" s="594" t="s">
        <v>26</v>
      </c>
      <c r="B34" s="616">
        <f>('Ex post LI &amp; Eligibility Stats'!B18*386)/1000</f>
        <v>1.9286180694548325E-2</v>
      </c>
      <c r="C34" s="616">
        <f>('Ex post LI &amp; Eligibility Stats'!C18*382)/1000</f>
        <v>1.9086323899786165E-2</v>
      </c>
      <c r="D34" s="565">
        <f>('Ex post LI &amp; Eligibility Stats'!D18*375)/1000</f>
        <v>1.8736574508952386E-2</v>
      </c>
      <c r="E34" s="565">
        <f>('Ex post LI &amp; Eligibility Stats'!E18*374)/1000</f>
        <v>1.7241725598209636E-3</v>
      </c>
      <c r="F34" s="565">
        <f>('Ex post LI &amp; Eligibility Stats'!F18*372)/1000</f>
        <v>1.7149523857042741E-3</v>
      </c>
      <c r="G34" s="565">
        <f>('Ex post LI &amp; Eligibility Stats'!G18*349)/1000</f>
        <v>1.6089203833623432E-3</v>
      </c>
      <c r="H34" s="565">
        <f>('Ex post LI &amp; Eligibility Stats'!H18*302)/1000</f>
        <v>1.3922462916201364E-3</v>
      </c>
      <c r="I34" s="565">
        <f>('Ex post LI &amp; Eligibility Stats'!I18*302)/1000</f>
        <v>1.3922462916201364E-3</v>
      </c>
      <c r="J34" s="565"/>
      <c r="K34" s="565"/>
      <c r="L34" s="565"/>
      <c r="M34" s="565"/>
    </row>
    <row r="35" spans="1:13">
      <c r="A35" s="596" t="s">
        <v>55</v>
      </c>
      <c r="B35" s="616">
        <f>('Ex post LI &amp; Eligibility Stats'!B19*0)/1000</f>
        <v>0</v>
      </c>
      <c r="C35" s="616">
        <f>('Ex post LI &amp; Eligibility Stats'!C19*0)/1000</f>
        <v>0</v>
      </c>
      <c r="D35" s="565">
        <f>'Ex post LI &amp; Eligibility Stats'!D19*0/1000</f>
        <v>0</v>
      </c>
      <c r="E35" s="565">
        <f>'Ex post LI &amp; Eligibility Stats'!E19*0/1000</f>
        <v>0</v>
      </c>
      <c r="F35" s="565">
        <f>'Ex post LI &amp; Eligibility Stats'!F19*0/1000</f>
        <v>0</v>
      </c>
      <c r="G35" s="565">
        <f>'Ex post LI &amp; Eligibility Stats'!G19*0/1000</f>
        <v>0</v>
      </c>
      <c r="H35" s="565">
        <f>'Ex post LI &amp; Eligibility Stats'!H19*0/1000</f>
        <v>0</v>
      </c>
      <c r="I35" s="565">
        <f>'Ex post LI &amp; Eligibility Stats'!I19*0/1000</f>
        <v>0</v>
      </c>
      <c r="J35" s="565"/>
      <c r="K35" s="565"/>
      <c r="L35" s="565"/>
      <c r="M35" s="565"/>
    </row>
    <row r="36" spans="1:13">
      <c r="A36" s="594" t="s">
        <v>117</v>
      </c>
      <c r="B36" s="616">
        <f>('Ex post LI &amp; Eligibility Stats'!B12*223)/1000</f>
        <v>0.1034373584985733</v>
      </c>
      <c r="C36" s="616">
        <f>('Ex post LI &amp; Eligibility Stats'!C12*222)/1000</f>
        <v>0.10297351384162903</v>
      </c>
      <c r="D36" s="565">
        <f>('Ex post LI &amp; Eligibility Stats'!D12*222)/1000</f>
        <v>0.10297351384162903</v>
      </c>
      <c r="E36" s="565">
        <f>('Ex post LI &amp; Eligibility Stats'!E12*222)/1000</f>
        <v>0.20704014229774476</v>
      </c>
      <c r="F36" s="565">
        <f>('Ex post LI &amp; Eligibility Stats'!F12*220)/1000</f>
        <v>0.20517491579055785</v>
      </c>
      <c r="G36" s="565">
        <f>('Ex post LI &amp; Eligibility Stats'!G12*181)/1000</f>
        <v>0.1688029989004135</v>
      </c>
      <c r="H36" s="565">
        <f>('Ex post LI &amp; Eligibility Stats'!H12*88)/1000</f>
        <v>8.2069966316223139E-2</v>
      </c>
      <c r="I36" s="565">
        <f>('Ex post LI &amp; Eligibility Stats'!I12*88)/1000</f>
        <v>8.2069966316223139E-2</v>
      </c>
      <c r="J36" s="565"/>
      <c r="K36" s="565"/>
      <c r="L36" s="565"/>
      <c r="M36" s="565"/>
    </row>
    <row r="37" spans="1:13">
      <c r="A37" s="594" t="s">
        <v>118</v>
      </c>
      <c r="B37" s="616">
        <f>('Ex post LI &amp; Eligibility Stats'!B12*0)/1000</f>
        <v>0</v>
      </c>
      <c r="C37" s="616">
        <f>('Ex post LI &amp; Eligibility Stats'!C12*0)/1000</f>
        <v>0</v>
      </c>
      <c r="D37" s="565">
        <f>('Ex post LI &amp; Eligibility Stats'!D12*0)/1000</f>
        <v>0</v>
      </c>
      <c r="E37" s="565">
        <f>('Ex post LI &amp; Eligibility Stats'!E12*0)/1000</f>
        <v>0</v>
      </c>
      <c r="F37" s="565">
        <f>('Ex post LI &amp; Eligibility Stats'!F12*0)/1000</f>
        <v>0</v>
      </c>
      <c r="G37" s="565">
        <f>('Ex post LI &amp; Eligibility Stats'!G12*0)/1000</f>
        <v>0</v>
      </c>
      <c r="H37" s="565">
        <f>('Ex post LI &amp; Eligibility Stats'!H12*0)/1000</f>
        <v>0</v>
      </c>
      <c r="I37" s="565">
        <f>('Ex post LI &amp; Eligibility Stats'!I12*0)/1000</f>
        <v>0</v>
      </c>
      <c r="J37" s="565"/>
      <c r="K37" s="565"/>
      <c r="L37" s="565"/>
      <c r="M37" s="565"/>
    </row>
    <row r="38" spans="1:13">
      <c r="A38" s="594" t="s">
        <v>211</v>
      </c>
      <c r="B38" s="615" t="s">
        <v>218</v>
      </c>
      <c r="C38" s="615" t="s">
        <v>218</v>
      </c>
      <c r="D38" s="615" t="s">
        <v>218</v>
      </c>
      <c r="E38" s="615" t="s">
        <v>218</v>
      </c>
      <c r="F38" s="615" t="s">
        <v>218</v>
      </c>
      <c r="G38" s="615" t="s">
        <v>218</v>
      </c>
      <c r="H38" s="615" t="s">
        <v>218</v>
      </c>
      <c r="I38" s="615" t="s">
        <v>218</v>
      </c>
      <c r="J38" s="615" t="s">
        <v>218</v>
      </c>
      <c r="K38" s="615" t="s">
        <v>218</v>
      </c>
      <c r="L38" s="615" t="s">
        <v>218</v>
      </c>
      <c r="M38" s="615" t="s">
        <v>218</v>
      </c>
    </row>
    <row r="39" spans="1:13">
      <c r="A39" s="594" t="s">
        <v>212</v>
      </c>
      <c r="B39" s="616">
        <f>('Ex post LI &amp; Eligibility Stats'!B12*0)/1000</f>
        <v>0</v>
      </c>
      <c r="C39" s="616">
        <f>('Ex post LI &amp; Eligibility Stats'!C12*0)/1000</f>
        <v>0</v>
      </c>
      <c r="D39" s="615">
        <f>('Ex post LI &amp; Eligibility Stats'!D12*0)/1000</f>
        <v>0</v>
      </c>
      <c r="E39" s="615">
        <f>('Ex post LI &amp; Eligibility Stats'!E12*0)/1000</f>
        <v>0</v>
      </c>
      <c r="F39" s="615">
        <f>('Ex post LI &amp; Eligibility Stats'!F12*0)/1000</f>
        <v>0</v>
      </c>
      <c r="G39" s="565">
        <f>('Ex post LI &amp; Eligibility Stats'!G12*0)/1000</f>
        <v>0</v>
      </c>
      <c r="H39" s="565">
        <f>('Ex post LI &amp; Eligibility Stats'!H12*0)/1000</f>
        <v>0</v>
      </c>
      <c r="I39" s="565">
        <f>('Ex post LI &amp; Eligibility Stats'!I12*0)/1000</f>
        <v>0</v>
      </c>
      <c r="J39" s="565"/>
      <c r="K39" s="565"/>
      <c r="L39" s="565"/>
      <c r="M39" s="565"/>
    </row>
    <row r="40" spans="1:13" s="37" customFormat="1">
      <c r="A40" s="458" t="s">
        <v>119</v>
      </c>
      <c r="B40" s="430">
        <f t="shared" ref="B40:C40" si="13">SUM(B33:B39)</f>
        <v>0.260021557648627</v>
      </c>
      <c r="C40" s="430">
        <f t="shared" si="13"/>
        <v>0.25889401153997627</v>
      </c>
      <c r="D40" s="430">
        <f t="shared" ref="D40:I40" si="14">SUM(D33:D39)</f>
        <v>0.2585442621491425</v>
      </c>
      <c r="E40" s="430">
        <f t="shared" ref="E40" si="15">SUM(E33:E39)</f>
        <v>0.48201999816044511</v>
      </c>
      <c r="F40" s="430">
        <f t="shared" ref="F40" si="16">SUM(F33:F39)</f>
        <v>0.47828032497195461</v>
      </c>
      <c r="G40" s="430">
        <f t="shared" si="14"/>
        <v>0.42408272426119287</v>
      </c>
      <c r="H40" s="430">
        <f t="shared" si="14"/>
        <v>0.23641078619716821</v>
      </c>
      <c r="I40" s="430">
        <f t="shared" si="14"/>
        <v>0.23641078619716821</v>
      </c>
      <c r="J40" s="430">
        <f t="shared" ref="J40" si="17">SUM(J33:J39)</f>
        <v>0</v>
      </c>
      <c r="K40" s="430">
        <f>SUM(K33:K39)</f>
        <v>0</v>
      </c>
      <c r="L40" s="430">
        <f>SUM(L33:L39)</f>
        <v>0</v>
      </c>
      <c r="M40" s="430">
        <f>SUM(M33:M39)</f>
        <v>0</v>
      </c>
    </row>
    <row r="41" spans="1:13">
      <c r="C41" s="39"/>
      <c r="D41" s="39"/>
      <c r="E41" s="39"/>
      <c r="F41" s="39"/>
      <c r="G41" s="39"/>
    </row>
    <row r="42" spans="1:13" ht="15">
      <c r="A42" s="151" t="s">
        <v>68</v>
      </c>
      <c r="G42" s="39"/>
    </row>
    <row r="43" spans="1:13" ht="14.25">
      <c r="A43" s="277" t="s">
        <v>219</v>
      </c>
      <c r="B43" s="108"/>
      <c r="C43" s="108"/>
      <c r="D43" s="182"/>
      <c r="E43" s="182"/>
      <c r="F43" s="182"/>
      <c r="G43" s="108"/>
      <c r="H43" s="108"/>
      <c r="I43" s="108"/>
      <c r="J43" s="108"/>
      <c r="K43" s="108"/>
    </row>
    <row r="44" spans="1:13" ht="15">
      <c r="A44" s="152" t="s">
        <v>84</v>
      </c>
    </row>
    <row r="46" spans="1:13" ht="15">
      <c r="A46" s="78" t="s">
        <v>67</v>
      </c>
    </row>
    <row r="48" spans="1:13">
      <c r="A48" s="116"/>
    </row>
  </sheetData>
  <mergeCells count="2">
    <mergeCell ref="B3:M3"/>
    <mergeCell ref="G4:H4"/>
  </mergeCells>
  <printOptions horizontalCentered="1"/>
  <pageMargins left="0" right="0" top="0.55000000000000004" bottom="0.17" header="0.3" footer="0.15"/>
  <pageSetup paperSize="5" scale="67"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5"/>
  <sheetViews>
    <sheetView zoomScaleNormal="100" workbookViewId="0">
      <pane xSplit="1" ySplit="7" topLeftCell="D28" activePane="bottomRight" state="frozen"/>
      <selection pane="topRight" activeCell="B1" sqref="B1"/>
      <selection pane="bottomLeft" activeCell="A8" sqref="A8"/>
      <selection pane="bottomRight" activeCell="D39" sqref="D39"/>
    </sheetView>
  </sheetViews>
  <sheetFormatPr defaultRowHeight="12"/>
  <cols>
    <col min="1" max="1" width="84.28515625" style="165" customWidth="1"/>
    <col min="2" max="3" width="12.7109375" style="165" customWidth="1"/>
    <col min="4" max="4" width="12.28515625" style="165" bestFit="1" customWidth="1"/>
    <col min="5" max="6" width="12.7109375" style="165" customWidth="1"/>
    <col min="7" max="7" width="14.85546875" style="165" bestFit="1" customWidth="1"/>
    <col min="8" max="10" width="12.7109375" style="165" customWidth="1"/>
    <col min="11" max="11" width="10.7109375" style="165" customWidth="1"/>
    <col min="12" max="13" width="12.7109375" style="165" customWidth="1"/>
    <col min="14" max="15" width="16.5703125" style="165" customWidth="1"/>
    <col min="16" max="16" width="16.5703125" style="165" hidden="1" customWidth="1"/>
    <col min="17" max="17" width="16.5703125" style="165" customWidth="1"/>
    <col min="18" max="256" width="9.28515625" style="165"/>
    <col min="257" max="257" width="70" style="165" customWidth="1"/>
    <col min="258" max="269" width="12.7109375" style="165" customWidth="1"/>
    <col min="270" max="270" width="11" style="165" customWidth="1"/>
    <col min="271" max="271" width="0" style="165" hidden="1" customWidth="1"/>
    <col min="272" max="273" width="11.7109375" style="165" customWidth="1"/>
    <col min="274" max="512" width="9.28515625" style="165"/>
    <col min="513" max="513" width="70" style="165" customWidth="1"/>
    <col min="514" max="525" width="12.7109375" style="165" customWidth="1"/>
    <col min="526" max="526" width="11" style="165" customWidth="1"/>
    <col min="527" max="527" width="0" style="165" hidden="1" customWidth="1"/>
    <col min="528" max="529" width="11.7109375" style="165" customWidth="1"/>
    <col min="530" max="768" width="9.28515625" style="165"/>
    <col min="769" max="769" width="70" style="165" customWidth="1"/>
    <col min="770" max="781" width="12.7109375" style="165" customWidth="1"/>
    <col min="782" max="782" width="11" style="165" customWidth="1"/>
    <col min="783" max="783" width="0" style="165" hidden="1" customWidth="1"/>
    <col min="784" max="785" width="11.7109375" style="165" customWidth="1"/>
    <col min="786" max="1024" width="9.28515625" style="165"/>
    <col min="1025" max="1025" width="70" style="165" customWidth="1"/>
    <col min="1026" max="1037" width="12.7109375" style="165" customWidth="1"/>
    <col min="1038" max="1038" width="11" style="165" customWidth="1"/>
    <col min="1039" max="1039" width="0" style="165" hidden="1" customWidth="1"/>
    <col min="1040" max="1041" width="11.7109375" style="165" customWidth="1"/>
    <col min="1042" max="1280" width="9.28515625" style="165"/>
    <col min="1281" max="1281" width="70" style="165" customWidth="1"/>
    <col min="1282" max="1293" width="12.7109375" style="165" customWidth="1"/>
    <col min="1294" max="1294" width="11" style="165" customWidth="1"/>
    <col min="1295" max="1295" width="0" style="165" hidden="1" customWidth="1"/>
    <col min="1296" max="1297" width="11.7109375" style="165" customWidth="1"/>
    <col min="1298" max="1536" width="9.28515625" style="165"/>
    <col min="1537" max="1537" width="70" style="165" customWidth="1"/>
    <col min="1538" max="1549" width="12.7109375" style="165" customWidth="1"/>
    <col min="1550" max="1550" width="11" style="165" customWidth="1"/>
    <col min="1551" max="1551" width="0" style="165" hidden="1" customWidth="1"/>
    <col min="1552" max="1553" width="11.7109375" style="165" customWidth="1"/>
    <col min="1554" max="1792" width="9.28515625" style="165"/>
    <col min="1793" max="1793" width="70" style="165" customWidth="1"/>
    <col min="1794" max="1805" width="12.7109375" style="165" customWidth="1"/>
    <col min="1806" max="1806" width="11" style="165" customWidth="1"/>
    <col min="1807" max="1807" width="0" style="165" hidden="1" customWidth="1"/>
    <col min="1808" max="1809" width="11.7109375" style="165" customWidth="1"/>
    <col min="1810" max="2048" width="9.28515625" style="165"/>
    <col min="2049" max="2049" width="70" style="165" customWidth="1"/>
    <col min="2050" max="2061" width="12.7109375" style="165" customWidth="1"/>
    <col min="2062" max="2062" width="11" style="165" customWidth="1"/>
    <col min="2063" max="2063" width="0" style="165" hidden="1" customWidth="1"/>
    <col min="2064" max="2065" width="11.7109375" style="165" customWidth="1"/>
    <col min="2066" max="2304" width="9.28515625" style="165"/>
    <col min="2305" max="2305" width="70" style="165" customWidth="1"/>
    <col min="2306" max="2317" width="12.7109375" style="165" customWidth="1"/>
    <col min="2318" max="2318" width="11" style="165" customWidth="1"/>
    <col min="2319" max="2319" width="0" style="165" hidden="1" customWidth="1"/>
    <col min="2320" max="2321" width="11.7109375" style="165" customWidth="1"/>
    <col min="2322" max="2560" width="9.28515625" style="165"/>
    <col min="2561" max="2561" width="70" style="165" customWidth="1"/>
    <col min="2562" max="2573" width="12.7109375" style="165" customWidth="1"/>
    <col min="2574" max="2574" width="11" style="165" customWidth="1"/>
    <col min="2575" max="2575" width="0" style="165" hidden="1" customWidth="1"/>
    <col min="2576" max="2577" width="11.7109375" style="165" customWidth="1"/>
    <col min="2578" max="2816" width="9.28515625" style="165"/>
    <col min="2817" max="2817" width="70" style="165" customWidth="1"/>
    <col min="2818" max="2829" width="12.7109375" style="165" customWidth="1"/>
    <col min="2830" max="2830" width="11" style="165" customWidth="1"/>
    <col min="2831" max="2831" width="0" style="165" hidden="1" customWidth="1"/>
    <col min="2832" max="2833" width="11.7109375" style="165" customWidth="1"/>
    <col min="2834" max="3072" width="9.28515625" style="165"/>
    <col min="3073" max="3073" width="70" style="165" customWidth="1"/>
    <col min="3074" max="3085" width="12.7109375" style="165" customWidth="1"/>
    <col min="3086" max="3086" width="11" style="165" customWidth="1"/>
    <col min="3087" max="3087" width="0" style="165" hidden="1" customWidth="1"/>
    <col min="3088" max="3089" width="11.7109375" style="165" customWidth="1"/>
    <col min="3090" max="3328" width="9.28515625" style="165"/>
    <col min="3329" max="3329" width="70" style="165" customWidth="1"/>
    <col min="3330" max="3341" width="12.7109375" style="165" customWidth="1"/>
    <col min="3342" max="3342" width="11" style="165" customWidth="1"/>
    <col min="3343" max="3343" width="0" style="165" hidden="1" customWidth="1"/>
    <col min="3344" max="3345" width="11.7109375" style="165" customWidth="1"/>
    <col min="3346" max="3584" width="9.28515625" style="165"/>
    <col min="3585" max="3585" width="70" style="165" customWidth="1"/>
    <col min="3586" max="3597" width="12.7109375" style="165" customWidth="1"/>
    <col min="3598" max="3598" width="11" style="165" customWidth="1"/>
    <col min="3599" max="3599" width="0" style="165" hidden="1" customWidth="1"/>
    <col min="3600" max="3601" width="11.7109375" style="165" customWidth="1"/>
    <col min="3602" max="3840" width="9.28515625" style="165"/>
    <col min="3841" max="3841" width="70" style="165" customWidth="1"/>
    <col min="3842" max="3853" width="12.7109375" style="165" customWidth="1"/>
    <col min="3854" max="3854" width="11" style="165" customWidth="1"/>
    <col min="3855" max="3855" width="0" style="165" hidden="1" customWidth="1"/>
    <col min="3856" max="3857" width="11.7109375" style="165" customWidth="1"/>
    <col min="3858" max="4096" width="9.28515625" style="165"/>
    <col min="4097" max="4097" width="70" style="165" customWidth="1"/>
    <col min="4098" max="4109" width="12.7109375" style="165" customWidth="1"/>
    <col min="4110" max="4110" width="11" style="165" customWidth="1"/>
    <col min="4111" max="4111" width="0" style="165" hidden="1" customWidth="1"/>
    <col min="4112" max="4113" width="11.7109375" style="165" customWidth="1"/>
    <col min="4114" max="4352" width="9.28515625" style="165"/>
    <col min="4353" max="4353" width="70" style="165" customWidth="1"/>
    <col min="4354" max="4365" width="12.7109375" style="165" customWidth="1"/>
    <col min="4366" max="4366" width="11" style="165" customWidth="1"/>
    <col min="4367" max="4367" width="0" style="165" hidden="1" customWidth="1"/>
    <col min="4368" max="4369" width="11.7109375" style="165" customWidth="1"/>
    <col min="4370" max="4608" width="9.28515625" style="165"/>
    <col min="4609" max="4609" width="70" style="165" customWidth="1"/>
    <col min="4610" max="4621" width="12.7109375" style="165" customWidth="1"/>
    <col min="4622" max="4622" width="11" style="165" customWidth="1"/>
    <col min="4623" max="4623" width="0" style="165" hidden="1" customWidth="1"/>
    <col min="4624" max="4625" width="11.7109375" style="165" customWidth="1"/>
    <col min="4626" max="4864" width="9.28515625" style="165"/>
    <col min="4865" max="4865" width="70" style="165" customWidth="1"/>
    <col min="4866" max="4877" width="12.7109375" style="165" customWidth="1"/>
    <col min="4878" max="4878" width="11" style="165" customWidth="1"/>
    <col min="4879" max="4879" width="0" style="165" hidden="1" customWidth="1"/>
    <col min="4880" max="4881" width="11.7109375" style="165" customWidth="1"/>
    <col min="4882" max="5120" width="9.28515625" style="165"/>
    <col min="5121" max="5121" width="70" style="165" customWidth="1"/>
    <col min="5122" max="5133" width="12.7109375" style="165" customWidth="1"/>
    <col min="5134" max="5134" width="11" style="165" customWidth="1"/>
    <col min="5135" max="5135" width="0" style="165" hidden="1" customWidth="1"/>
    <col min="5136" max="5137" width="11.7109375" style="165" customWidth="1"/>
    <col min="5138" max="5376" width="9.28515625" style="165"/>
    <col min="5377" max="5377" width="70" style="165" customWidth="1"/>
    <col min="5378" max="5389" width="12.7109375" style="165" customWidth="1"/>
    <col min="5390" max="5390" width="11" style="165" customWidth="1"/>
    <col min="5391" max="5391" width="0" style="165" hidden="1" customWidth="1"/>
    <col min="5392" max="5393" width="11.7109375" style="165" customWidth="1"/>
    <col min="5394" max="5632" width="9.28515625" style="165"/>
    <col min="5633" max="5633" width="70" style="165" customWidth="1"/>
    <col min="5634" max="5645" width="12.7109375" style="165" customWidth="1"/>
    <col min="5646" max="5646" width="11" style="165" customWidth="1"/>
    <col min="5647" max="5647" width="0" style="165" hidden="1" customWidth="1"/>
    <col min="5648" max="5649" width="11.7109375" style="165" customWidth="1"/>
    <col min="5650" max="5888" width="9.28515625" style="165"/>
    <col min="5889" max="5889" width="70" style="165" customWidth="1"/>
    <col min="5890" max="5901" width="12.7109375" style="165" customWidth="1"/>
    <col min="5902" max="5902" width="11" style="165" customWidth="1"/>
    <col min="5903" max="5903" width="0" style="165" hidden="1" customWidth="1"/>
    <col min="5904" max="5905" width="11.7109375" style="165" customWidth="1"/>
    <col min="5906" max="6144" width="9.28515625" style="165"/>
    <col min="6145" max="6145" width="70" style="165" customWidth="1"/>
    <col min="6146" max="6157" width="12.7109375" style="165" customWidth="1"/>
    <col min="6158" max="6158" width="11" style="165" customWidth="1"/>
    <col min="6159" max="6159" width="0" style="165" hidden="1" customWidth="1"/>
    <col min="6160" max="6161" width="11.7109375" style="165" customWidth="1"/>
    <col min="6162" max="6400" width="9.28515625" style="165"/>
    <col min="6401" max="6401" width="70" style="165" customWidth="1"/>
    <col min="6402" max="6413" width="12.7109375" style="165" customWidth="1"/>
    <col min="6414" max="6414" width="11" style="165" customWidth="1"/>
    <col min="6415" max="6415" width="0" style="165" hidden="1" customWidth="1"/>
    <col min="6416" max="6417" width="11.7109375" style="165" customWidth="1"/>
    <col min="6418" max="6656" width="9.28515625" style="165"/>
    <col min="6657" max="6657" width="70" style="165" customWidth="1"/>
    <col min="6658" max="6669" width="12.7109375" style="165" customWidth="1"/>
    <col min="6670" max="6670" width="11" style="165" customWidth="1"/>
    <col min="6671" max="6671" width="0" style="165" hidden="1" customWidth="1"/>
    <col min="6672" max="6673" width="11.7109375" style="165" customWidth="1"/>
    <col min="6674" max="6912" width="9.28515625" style="165"/>
    <col min="6913" max="6913" width="70" style="165" customWidth="1"/>
    <col min="6914" max="6925" width="12.7109375" style="165" customWidth="1"/>
    <col min="6926" max="6926" width="11" style="165" customWidth="1"/>
    <col min="6927" max="6927" width="0" style="165" hidden="1" customWidth="1"/>
    <col min="6928" max="6929" width="11.7109375" style="165" customWidth="1"/>
    <col min="6930" max="7168" width="9.28515625" style="165"/>
    <col min="7169" max="7169" width="70" style="165" customWidth="1"/>
    <col min="7170" max="7181" width="12.7109375" style="165" customWidth="1"/>
    <col min="7182" max="7182" width="11" style="165" customWidth="1"/>
    <col min="7183" max="7183" width="0" style="165" hidden="1" customWidth="1"/>
    <col min="7184" max="7185" width="11.7109375" style="165" customWidth="1"/>
    <col min="7186" max="7424" width="9.28515625" style="165"/>
    <col min="7425" max="7425" width="70" style="165" customWidth="1"/>
    <col min="7426" max="7437" width="12.7109375" style="165" customWidth="1"/>
    <col min="7438" max="7438" width="11" style="165" customWidth="1"/>
    <col min="7439" max="7439" width="0" style="165" hidden="1" customWidth="1"/>
    <col min="7440" max="7441" width="11.7109375" style="165" customWidth="1"/>
    <col min="7442" max="7680" width="9.28515625" style="165"/>
    <col min="7681" max="7681" width="70" style="165" customWidth="1"/>
    <col min="7682" max="7693" width="12.7109375" style="165" customWidth="1"/>
    <col min="7694" max="7694" width="11" style="165" customWidth="1"/>
    <col min="7695" max="7695" width="0" style="165" hidden="1" customWidth="1"/>
    <col min="7696" max="7697" width="11.7109375" style="165" customWidth="1"/>
    <col min="7698" max="7936" width="9.28515625" style="165"/>
    <col min="7937" max="7937" width="70" style="165" customWidth="1"/>
    <col min="7938" max="7949" width="12.7109375" style="165" customWidth="1"/>
    <col min="7950" max="7950" width="11" style="165" customWidth="1"/>
    <col min="7951" max="7951" width="0" style="165" hidden="1" customWidth="1"/>
    <col min="7952" max="7953" width="11.7109375" style="165" customWidth="1"/>
    <col min="7954" max="8192" width="9.28515625" style="165"/>
    <col min="8193" max="8193" width="70" style="165" customWidth="1"/>
    <col min="8194" max="8205" width="12.7109375" style="165" customWidth="1"/>
    <col min="8206" max="8206" width="11" style="165" customWidth="1"/>
    <col min="8207" max="8207" width="0" style="165" hidden="1" customWidth="1"/>
    <col min="8208" max="8209" width="11.7109375" style="165" customWidth="1"/>
    <col min="8210" max="8448" width="9.28515625" style="165"/>
    <col min="8449" max="8449" width="70" style="165" customWidth="1"/>
    <col min="8450" max="8461" width="12.7109375" style="165" customWidth="1"/>
    <col min="8462" max="8462" width="11" style="165" customWidth="1"/>
    <col min="8463" max="8463" width="0" style="165" hidden="1" customWidth="1"/>
    <col min="8464" max="8465" width="11.7109375" style="165" customWidth="1"/>
    <col min="8466" max="8704" width="9.28515625" style="165"/>
    <col min="8705" max="8705" width="70" style="165" customWidth="1"/>
    <col min="8706" max="8717" width="12.7109375" style="165" customWidth="1"/>
    <col min="8718" max="8718" width="11" style="165" customWidth="1"/>
    <col min="8719" max="8719" width="0" style="165" hidden="1" customWidth="1"/>
    <col min="8720" max="8721" width="11.7109375" style="165" customWidth="1"/>
    <col min="8722" max="8960" width="9.28515625" style="165"/>
    <col min="8961" max="8961" width="70" style="165" customWidth="1"/>
    <col min="8962" max="8973" width="12.7109375" style="165" customWidth="1"/>
    <col min="8974" max="8974" width="11" style="165" customWidth="1"/>
    <col min="8975" max="8975" width="0" style="165" hidden="1" customWidth="1"/>
    <col min="8976" max="8977" width="11.7109375" style="165" customWidth="1"/>
    <col min="8978" max="9216" width="9.28515625" style="165"/>
    <col min="9217" max="9217" width="70" style="165" customWidth="1"/>
    <col min="9218" max="9229" width="12.7109375" style="165" customWidth="1"/>
    <col min="9230" max="9230" width="11" style="165" customWidth="1"/>
    <col min="9231" max="9231" width="0" style="165" hidden="1" customWidth="1"/>
    <col min="9232" max="9233" width="11.7109375" style="165" customWidth="1"/>
    <col min="9234" max="9472" width="9.28515625" style="165"/>
    <col min="9473" max="9473" width="70" style="165" customWidth="1"/>
    <col min="9474" max="9485" width="12.7109375" style="165" customWidth="1"/>
    <col min="9486" max="9486" width="11" style="165" customWidth="1"/>
    <col min="9487" max="9487" width="0" style="165" hidden="1" customWidth="1"/>
    <col min="9488" max="9489" width="11.7109375" style="165" customWidth="1"/>
    <col min="9490" max="9728" width="9.28515625" style="165"/>
    <col min="9729" max="9729" width="70" style="165" customWidth="1"/>
    <col min="9730" max="9741" width="12.7109375" style="165" customWidth="1"/>
    <col min="9742" max="9742" width="11" style="165" customWidth="1"/>
    <col min="9743" max="9743" width="0" style="165" hidden="1" customWidth="1"/>
    <col min="9744" max="9745" width="11.7109375" style="165" customWidth="1"/>
    <col min="9746" max="9984" width="9.28515625" style="165"/>
    <col min="9985" max="9985" width="70" style="165" customWidth="1"/>
    <col min="9986" max="9997" width="12.7109375" style="165" customWidth="1"/>
    <col min="9998" max="9998" width="11" style="165" customWidth="1"/>
    <col min="9999" max="9999" width="0" style="165" hidden="1" customWidth="1"/>
    <col min="10000" max="10001" width="11.7109375" style="165" customWidth="1"/>
    <col min="10002" max="10240" width="9.28515625" style="165"/>
    <col min="10241" max="10241" width="70" style="165" customWidth="1"/>
    <col min="10242" max="10253" width="12.7109375" style="165" customWidth="1"/>
    <col min="10254" max="10254" width="11" style="165" customWidth="1"/>
    <col min="10255" max="10255" width="0" style="165" hidden="1" customWidth="1"/>
    <col min="10256" max="10257" width="11.7109375" style="165" customWidth="1"/>
    <col min="10258" max="10496" width="9.28515625" style="165"/>
    <col min="10497" max="10497" width="70" style="165" customWidth="1"/>
    <col min="10498" max="10509" width="12.7109375" style="165" customWidth="1"/>
    <col min="10510" max="10510" width="11" style="165" customWidth="1"/>
    <col min="10511" max="10511" width="0" style="165" hidden="1" customWidth="1"/>
    <col min="10512" max="10513" width="11.7109375" style="165" customWidth="1"/>
    <col min="10514" max="10752" width="9.28515625" style="165"/>
    <col min="10753" max="10753" width="70" style="165" customWidth="1"/>
    <col min="10754" max="10765" width="12.7109375" style="165" customWidth="1"/>
    <col min="10766" max="10766" width="11" style="165" customWidth="1"/>
    <col min="10767" max="10767" width="0" style="165" hidden="1" customWidth="1"/>
    <col min="10768" max="10769" width="11.7109375" style="165" customWidth="1"/>
    <col min="10770" max="11008" width="9.28515625" style="165"/>
    <col min="11009" max="11009" width="70" style="165" customWidth="1"/>
    <col min="11010" max="11021" width="12.7109375" style="165" customWidth="1"/>
    <col min="11022" max="11022" width="11" style="165" customWidth="1"/>
    <col min="11023" max="11023" width="0" style="165" hidden="1" customWidth="1"/>
    <col min="11024" max="11025" width="11.7109375" style="165" customWidth="1"/>
    <col min="11026" max="11264" width="9.28515625" style="165"/>
    <col min="11265" max="11265" width="70" style="165" customWidth="1"/>
    <col min="11266" max="11277" width="12.7109375" style="165" customWidth="1"/>
    <col min="11278" max="11278" width="11" style="165" customWidth="1"/>
    <col min="11279" max="11279" width="0" style="165" hidden="1" customWidth="1"/>
    <col min="11280" max="11281" width="11.7109375" style="165" customWidth="1"/>
    <col min="11282" max="11520" width="9.28515625" style="165"/>
    <col min="11521" max="11521" width="70" style="165" customWidth="1"/>
    <col min="11522" max="11533" width="12.7109375" style="165" customWidth="1"/>
    <col min="11534" max="11534" width="11" style="165" customWidth="1"/>
    <col min="11535" max="11535" width="0" style="165" hidden="1" customWidth="1"/>
    <col min="11536" max="11537" width="11.7109375" style="165" customWidth="1"/>
    <col min="11538" max="11776" width="9.28515625" style="165"/>
    <col min="11777" max="11777" width="70" style="165" customWidth="1"/>
    <col min="11778" max="11789" width="12.7109375" style="165" customWidth="1"/>
    <col min="11790" max="11790" width="11" style="165" customWidth="1"/>
    <col min="11791" max="11791" width="0" style="165" hidden="1" customWidth="1"/>
    <col min="11792" max="11793" width="11.7109375" style="165" customWidth="1"/>
    <col min="11794" max="12032" width="9.28515625" style="165"/>
    <col min="12033" max="12033" width="70" style="165" customWidth="1"/>
    <col min="12034" max="12045" width="12.7109375" style="165" customWidth="1"/>
    <col min="12046" max="12046" width="11" style="165" customWidth="1"/>
    <col min="12047" max="12047" width="0" style="165" hidden="1" customWidth="1"/>
    <col min="12048" max="12049" width="11.7109375" style="165" customWidth="1"/>
    <col min="12050" max="12288" width="9.28515625" style="165"/>
    <col min="12289" max="12289" width="70" style="165" customWidth="1"/>
    <col min="12290" max="12301" width="12.7109375" style="165" customWidth="1"/>
    <col min="12302" max="12302" width="11" style="165" customWidth="1"/>
    <col min="12303" max="12303" width="0" style="165" hidden="1" customWidth="1"/>
    <col min="12304" max="12305" width="11.7109375" style="165" customWidth="1"/>
    <col min="12306" max="12544" width="9.28515625" style="165"/>
    <col min="12545" max="12545" width="70" style="165" customWidth="1"/>
    <col min="12546" max="12557" width="12.7109375" style="165" customWidth="1"/>
    <col min="12558" max="12558" width="11" style="165" customWidth="1"/>
    <col min="12559" max="12559" width="0" style="165" hidden="1" customWidth="1"/>
    <col min="12560" max="12561" width="11.7109375" style="165" customWidth="1"/>
    <col min="12562" max="12800" width="9.28515625" style="165"/>
    <col min="12801" max="12801" width="70" style="165" customWidth="1"/>
    <col min="12802" max="12813" width="12.7109375" style="165" customWidth="1"/>
    <col min="12814" max="12814" width="11" style="165" customWidth="1"/>
    <col min="12815" max="12815" width="0" style="165" hidden="1" customWidth="1"/>
    <col min="12816" max="12817" width="11.7109375" style="165" customWidth="1"/>
    <col min="12818" max="13056" width="9.28515625" style="165"/>
    <col min="13057" max="13057" width="70" style="165" customWidth="1"/>
    <col min="13058" max="13069" width="12.7109375" style="165" customWidth="1"/>
    <col min="13070" max="13070" width="11" style="165" customWidth="1"/>
    <col min="13071" max="13071" width="0" style="165" hidden="1" customWidth="1"/>
    <col min="13072" max="13073" width="11.7109375" style="165" customWidth="1"/>
    <col min="13074" max="13312" width="9.28515625" style="165"/>
    <col min="13313" max="13313" width="70" style="165" customWidth="1"/>
    <col min="13314" max="13325" width="12.7109375" style="165" customWidth="1"/>
    <col min="13326" max="13326" width="11" style="165" customWidth="1"/>
    <col min="13327" max="13327" width="0" style="165" hidden="1" customWidth="1"/>
    <col min="13328" max="13329" width="11.7109375" style="165" customWidth="1"/>
    <col min="13330" max="13568" width="9.28515625" style="165"/>
    <col min="13569" max="13569" width="70" style="165" customWidth="1"/>
    <col min="13570" max="13581" width="12.7109375" style="165" customWidth="1"/>
    <col min="13582" max="13582" width="11" style="165" customWidth="1"/>
    <col min="13583" max="13583" width="0" style="165" hidden="1" customWidth="1"/>
    <col min="13584" max="13585" width="11.7109375" style="165" customWidth="1"/>
    <col min="13586" max="13824" width="9.28515625" style="165"/>
    <col min="13825" max="13825" width="70" style="165" customWidth="1"/>
    <col min="13826" max="13837" width="12.7109375" style="165" customWidth="1"/>
    <col min="13838" max="13838" width="11" style="165" customWidth="1"/>
    <col min="13839" max="13839" width="0" style="165" hidden="1" customWidth="1"/>
    <col min="13840" max="13841" width="11.7109375" style="165" customWidth="1"/>
    <col min="13842" max="14080" width="9.28515625" style="165"/>
    <col min="14081" max="14081" width="70" style="165" customWidth="1"/>
    <col min="14082" max="14093" width="12.7109375" style="165" customWidth="1"/>
    <col min="14094" max="14094" width="11" style="165" customWidth="1"/>
    <col min="14095" max="14095" width="0" style="165" hidden="1" customWidth="1"/>
    <col min="14096" max="14097" width="11.7109375" style="165" customWidth="1"/>
    <col min="14098" max="14336" width="9.28515625" style="165"/>
    <col min="14337" max="14337" width="70" style="165" customWidth="1"/>
    <col min="14338" max="14349" width="12.7109375" style="165" customWidth="1"/>
    <col min="14350" max="14350" width="11" style="165" customWidth="1"/>
    <col min="14351" max="14351" width="0" style="165" hidden="1" customWidth="1"/>
    <col min="14352" max="14353" width="11.7109375" style="165" customWidth="1"/>
    <col min="14354" max="14592" width="9.28515625" style="165"/>
    <col min="14593" max="14593" width="70" style="165" customWidth="1"/>
    <col min="14594" max="14605" width="12.7109375" style="165" customWidth="1"/>
    <col min="14606" max="14606" width="11" style="165" customWidth="1"/>
    <col min="14607" max="14607" width="0" style="165" hidden="1" customWidth="1"/>
    <col min="14608" max="14609" width="11.7109375" style="165" customWidth="1"/>
    <col min="14610" max="14848" width="9.28515625" style="165"/>
    <col min="14849" max="14849" width="70" style="165" customWidth="1"/>
    <col min="14850" max="14861" width="12.7109375" style="165" customWidth="1"/>
    <col min="14862" max="14862" width="11" style="165" customWidth="1"/>
    <col min="14863" max="14863" width="0" style="165" hidden="1" customWidth="1"/>
    <col min="14864" max="14865" width="11.7109375" style="165" customWidth="1"/>
    <col min="14866" max="15104" width="9.28515625" style="165"/>
    <col min="15105" max="15105" width="70" style="165" customWidth="1"/>
    <col min="15106" max="15117" width="12.7109375" style="165" customWidth="1"/>
    <col min="15118" max="15118" width="11" style="165" customWidth="1"/>
    <col min="15119" max="15119" width="0" style="165" hidden="1" customWidth="1"/>
    <col min="15120" max="15121" width="11.7109375" style="165" customWidth="1"/>
    <col min="15122" max="15360" width="9.28515625" style="165"/>
    <col min="15361" max="15361" width="70" style="165" customWidth="1"/>
    <col min="15362" max="15373" width="12.7109375" style="165" customWidth="1"/>
    <col min="15374" max="15374" width="11" style="165" customWidth="1"/>
    <col min="15375" max="15375" width="0" style="165" hidden="1" customWidth="1"/>
    <col min="15376" max="15377" width="11.7109375" style="165" customWidth="1"/>
    <col min="15378" max="15616" width="9.28515625" style="165"/>
    <col min="15617" max="15617" width="70" style="165" customWidth="1"/>
    <col min="15618" max="15629" width="12.7109375" style="165" customWidth="1"/>
    <col min="15630" max="15630" width="11" style="165" customWidth="1"/>
    <col min="15631" max="15631" width="0" style="165" hidden="1" customWidth="1"/>
    <col min="15632" max="15633" width="11.7109375" style="165" customWidth="1"/>
    <col min="15634" max="15872" width="9.28515625" style="165"/>
    <col min="15873" max="15873" width="70" style="165" customWidth="1"/>
    <col min="15874" max="15885" width="12.7109375" style="165" customWidth="1"/>
    <col min="15886" max="15886" width="11" style="165" customWidth="1"/>
    <col min="15887" max="15887" width="0" style="165" hidden="1" customWidth="1"/>
    <col min="15888" max="15889" width="11.7109375" style="165" customWidth="1"/>
    <col min="15890" max="16128" width="9.28515625" style="165"/>
    <col min="16129" max="16129" width="70" style="165" customWidth="1"/>
    <col min="16130" max="16141" width="12.7109375" style="165" customWidth="1"/>
    <col min="16142" max="16142" width="11" style="165" customWidth="1"/>
    <col min="16143" max="16143" width="0" style="165" hidden="1" customWidth="1"/>
    <col min="16144" max="16145" width="11.7109375" style="165" customWidth="1"/>
    <col min="16146" max="16384" width="9.28515625" style="165"/>
  </cols>
  <sheetData>
    <row r="1" spans="1:17" ht="13.5" customHeight="1">
      <c r="L1" s="166"/>
      <c r="O1" s="166"/>
      <c r="P1" s="166"/>
      <c r="Q1" s="166"/>
    </row>
    <row r="2" spans="1:17" ht="13.5" customHeight="1">
      <c r="C2" s="686" t="s">
        <v>39</v>
      </c>
      <c r="L2" s="166"/>
      <c r="O2" s="166"/>
      <c r="P2" s="166"/>
      <c r="Q2" s="166"/>
    </row>
    <row r="3" spans="1:17" ht="13.5" customHeight="1">
      <c r="C3" s="686" t="s">
        <v>220</v>
      </c>
      <c r="L3" s="166"/>
      <c r="O3" s="166"/>
      <c r="P3" s="166"/>
      <c r="Q3" s="166"/>
    </row>
    <row r="4" spans="1:17" ht="13.5" customHeight="1">
      <c r="C4" s="687">
        <f>'Program MW '!H3</f>
        <v>44774</v>
      </c>
      <c r="L4" s="166"/>
      <c r="O4" s="166"/>
      <c r="P4" s="166"/>
      <c r="Q4" s="166"/>
    </row>
    <row r="5" spans="1:17" ht="13.5" customHeight="1">
      <c r="L5" s="166"/>
      <c r="O5" s="166"/>
      <c r="P5" s="166"/>
      <c r="Q5" s="166"/>
    </row>
    <row r="6" spans="1:17" s="175" customFormat="1" ht="13.5" customHeight="1"/>
    <row r="7" spans="1:17" s="175" customFormat="1" ht="18" customHeight="1">
      <c r="A7" s="459"/>
      <c r="B7" s="460" t="s">
        <v>221</v>
      </c>
      <c r="C7" s="459"/>
      <c r="D7" s="459"/>
      <c r="E7" s="459"/>
      <c r="F7" s="459"/>
      <c r="G7" s="459"/>
      <c r="H7" s="459"/>
      <c r="I7" s="459"/>
      <c r="J7" s="459"/>
      <c r="K7" s="459"/>
      <c r="L7" s="459"/>
      <c r="M7" s="459"/>
      <c r="N7" s="721" t="s">
        <v>160</v>
      </c>
      <c r="O7" s="719" t="s">
        <v>222</v>
      </c>
      <c r="P7" s="461"/>
      <c r="Q7" s="721" t="s">
        <v>223</v>
      </c>
    </row>
    <row r="8" spans="1:17" s="175" customFormat="1" ht="39" customHeight="1">
      <c r="A8" s="234"/>
      <c r="B8" s="462" t="s">
        <v>41</v>
      </c>
      <c r="C8" s="238" t="s">
        <v>42</v>
      </c>
      <c r="D8" s="238" t="s">
        <v>43</v>
      </c>
      <c r="E8" s="238" t="s">
        <v>44</v>
      </c>
      <c r="F8" s="238" t="s">
        <v>31</v>
      </c>
      <c r="G8" s="238" t="s">
        <v>45</v>
      </c>
      <c r="H8" s="258" t="s">
        <v>224</v>
      </c>
      <c r="I8" s="238" t="s">
        <v>59</v>
      </c>
      <c r="J8" s="238" t="s">
        <v>60</v>
      </c>
      <c r="K8" s="258" t="s">
        <v>61</v>
      </c>
      <c r="L8" s="238" t="s">
        <v>62</v>
      </c>
      <c r="M8" s="238" t="s">
        <v>63</v>
      </c>
      <c r="N8" s="722"/>
      <c r="O8" s="720"/>
      <c r="P8" s="176" t="s">
        <v>225</v>
      </c>
      <c r="Q8" s="722"/>
    </row>
    <row r="9" spans="1:17" s="175" customFormat="1" ht="15.75">
      <c r="A9" s="242" t="s">
        <v>226</v>
      </c>
      <c r="N9" s="199"/>
      <c r="Q9" s="183"/>
    </row>
    <row r="10" spans="1:17" s="175" customFormat="1" ht="14.25">
      <c r="A10" s="239" t="s">
        <v>227</v>
      </c>
      <c r="N10" s="199"/>
      <c r="O10" s="177"/>
      <c r="P10" s="178"/>
      <c r="Q10" s="184"/>
    </row>
    <row r="11" spans="1:17" s="175" customFormat="1" ht="14.25">
      <c r="A11" s="240" t="s">
        <v>228</v>
      </c>
      <c r="B11" s="522">
        <v>-323.7</v>
      </c>
      <c r="C11" s="522">
        <v>0</v>
      </c>
      <c r="D11" s="522">
        <v>0</v>
      </c>
      <c r="E11" s="522">
        <v>0</v>
      </c>
      <c r="F11" s="522">
        <v>0</v>
      </c>
      <c r="G11" s="522">
        <v>0</v>
      </c>
      <c r="H11" s="522">
        <v>0</v>
      </c>
      <c r="I11" s="522">
        <v>0</v>
      </c>
      <c r="J11" s="522">
        <v>0</v>
      </c>
      <c r="K11" s="522">
        <v>0</v>
      </c>
      <c r="L11" s="522">
        <v>0</v>
      </c>
      <c r="M11" s="522">
        <v>0</v>
      </c>
      <c r="N11" s="463">
        <f t="shared" ref="N11:N25" si="0">SUM(B11:M11)</f>
        <v>-323.7</v>
      </c>
      <c r="O11" s="464">
        <f>1766447.09+N11</f>
        <v>1766123.3900000001</v>
      </c>
      <c r="P11" s="287"/>
      <c r="Q11" s="285">
        <f>848010+857842+857842+250000</f>
        <v>2813694</v>
      </c>
    </row>
    <row r="12" spans="1:17" s="175" customFormat="1" ht="13.5">
      <c r="A12" s="240" t="s">
        <v>229</v>
      </c>
      <c r="B12" s="522">
        <v>0</v>
      </c>
      <c r="C12" s="522">
        <v>0</v>
      </c>
      <c r="D12" s="522">
        <v>525.78</v>
      </c>
      <c r="E12" s="522">
        <v>-64.900000000000006</v>
      </c>
      <c r="F12" s="522">
        <v>0</v>
      </c>
      <c r="G12" s="522">
        <v>2103.2400000000002</v>
      </c>
      <c r="H12" s="522">
        <v>-1075.96</v>
      </c>
      <c r="I12" s="522">
        <v>586.4</v>
      </c>
      <c r="J12" s="522">
        <v>0</v>
      </c>
      <c r="K12" s="522">
        <v>0</v>
      </c>
      <c r="L12" s="522">
        <v>0</v>
      </c>
      <c r="M12" s="522">
        <v>0</v>
      </c>
      <c r="N12" s="295">
        <f t="shared" si="0"/>
        <v>2074.5600000000004</v>
      </c>
      <c r="O12" s="285">
        <f>30581.57+N12</f>
        <v>32656.13</v>
      </c>
      <c r="P12" s="284"/>
      <c r="Q12" s="285">
        <v>35302</v>
      </c>
    </row>
    <row r="13" spans="1:17" s="175" customFormat="1" ht="12.75">
      <c r="A13" s="240" t="s">
        <v>230</v>
      </c>
      <c r="B13" s="522">
        <v>0</v>
      </c>
      <c r="C13" s="522">
        <v>0</v>
      </c>
      <c r="D13" s="522">
        <v>0</v>
      </c>
      <c r="E13" s="522">
        <v>0</v>
      </c>
      <c r="F13" s="522">
        <v>0</v>
      </c>
      <c r="G13" s="522">
        <v>0</v>
      </c>
      <c r="H13" s="522">
        <v>0</v>
      </c>
      <c r="I13" s="522">
        <v>0</v>
      </c>
      <c r="J13" s="522">
        <v>0</v>
      </c>
      <c r="K13" s="522">
        <v>0</v>
      </c>
      <c r="L13" s="522">
        <v>0</v>
      </c>
      <c r="M13" s="522">
        <v>0</v>
      </c>
      <c r="N13" s="295">
        <f t="shared" si="0"/>
        <v>0</v>
      </c>
      <c r="O13" s="285">
        <f>0+N13</f>
        <v>0</v>
      </c>
      <c r="P13" s="284"/>
      <c r="Q13" s="285">
        <v>1000</v>
      </c>
    </row>
    <row r="14" spans="1:17" s="175" customFormat="1" ht="12.75">
      <c r="A14" s="240" t="s">
        <v>231</v>
      </c>
      <c r="B14" s="522">
        <v>0</v>
      </c>
      <c r="C14" s="522">
        <v>0</v>
      </c>
      <c r="D14" s="522">
        <v>525.78</v>
      </c>
      <c r="E14" s="522">
        <v>395.98</v>
      </c>
      <c r="F14" s="522">
        <v>0</v>
      </c>
      <c r="G14" s="522">
        <v>4206.4299999999994</v>
      </c>
      <c r="H14" s="522">
        <v>-2151.91</v>
      </c>
      <c r="I14" s="522">
        <v>1172.83</v>
      </c>
      <c r="J14" s="522">
        <v>0</v>
      </c>
      <c r="K14" s="522">
        <v>0</v>
      </c>
      <c r="L14" s="522">
        <v>0</v>
      </c>
      <c r="M14" s="522">
        <v>0</v>
      </c>
      <c r="N14" s="295">
        <f t="shared" si="0"/>
        <v>4149.1099999999997</v>
      </c>
      <c r="O14" s="285">
        <f>46486.35+N14</f>
        <v>50635.46</v>
      </c>
      <c r="P14" s="284"/>
      <c r="Q14" s="285">
        <v>78149</v>
      </c>
    </row>
    <row r="15" spans="1:17" s="175" customFormat="1" ht="14.25">
      <c r="A15" s="240" t="s">
        <v>232</v>
      </c>
      <c r="B15" s="522">
        <v>0</v>
      </c>
      <c r="C15" s="522">
        <v>4135</v>
      </c>
      <c r="D15" s="522">
        <v>4206.24</v>
      </c>
      <c r="E15" s="522">
        <v>-2362.7199999999998</v>
      </c>
      <c r="F15" s="522">
        <v>351.05</v>
      </c>
      <c r="G15" s="522">
        <v>12537.890000000001</v>
      </c>
      <c r="H15" s="522">
        <v>-4303.83</v>
      </c>
      <c r="I15" s="522">
        <v>5131.1499999999996</v>
      </c>
      <c r="J15" s="522">
        <v>0</v>
      </c>
      <c r="K15" s="522">
        <v>0</v>
      </c>
      <c r="L15" s="522">
        <v>0</v>
      </c>
      <c r="M15" s="522">
        <v>0</v>
      </c>
      <c r="N15" s="295">
        <f t="shared" si="0"/>
        <v>19694.780000000002</v>
      </c>
      <c r="O15" s="285">
        <f>161809.87+N15</f>
        <v>181504.65</v>
      </c>
      <c r="P15" s="284"/>
      <c r="Q15" s="285">
        <f>606299/2</f>
        <v>303149.5</v>
      </c>
    </row>
    <row r="16" spans="1:17" s="175" customFormat="1" ht="12.75">
      <c r="A16" s="240" t="s">
        <v>233</v>
      </c>
      <c r="B16" s="522">
        <v>0</v>
      </c>
      <c r="C16" s="522">
        <v>0</v>
      </c>
      <c r="D16" s="522">
        <v>0</v>
      </c>
      <c r="E16" s="522">
        <v>4608.8</v>
      </c>
      <c r="F16" s="522">
        <v>5019.8500000000004</v>
      </c>
      <c r="G16" s="522">
        <v>21032.22</v>
      </c>
      <c r="H16" s="522">
        <v>-10759.59</v>
      </c>
      <c r="I16" s="522">
        <v>9843.42</v>
      </c>
      <c r="J16" s="522">
        <v>0</v>
      </c>
      <c r="K16" s="522">
        <v>0</v>
      </c>
      <c r="L16" s="522">
        <v>0</v>
      </c>
      <c r="M16" s="522">
        <v>0</v>
      </c>
      <c r="N16" s="295">
        <f t="shared" si="0"/>
        <v>29744.700000000004</v>
      </c>
      <c r="O16" s="285">
        <f>310006.48+N16</f>
        <v>339751.18</v>
      </c>
      <c r="P16" s="284"/>
      <c r="Q16" s="285">
        <v>303150</v>
      </c>
    </row>
    <row r="17" spans="1:122" s="175" customFormat="1" ht="12.75">
      <c r="A17" s="240" t="s">
        <v>234</v>
      </c>
      <c r="B17" s="522">
        <v>43.29</v>
      </c>
      <c r="C17" s="522">
        <v>2752.0299999999997</v>
      </c>
      <c r="D17" s="522">
        <v>6416.59</v>
      </c>
      <c r="E17" s="522">
        <v>1080.95</v>
      </c>
      <c r="F17" s="522">
        <v>475.1</v>
      </c>
      <c r="G17" s="522">
        <v>14601.85</v>
      </c>
      <c r="H17" s="522">
        <v>807.11</v>
      </c>
      <c r="I17" s="522">
        <v>21132.01</v>
      </c>
      <c r="J17" s="522">
        <v>0</v>
      </c>
      <c r="K17" s="522">
        <v>0</v>
      </c>
      <c r="L17" s="522">
        <v>0</v>
      </c>
      <c r="M17" s="522">
        <v>0</v>
      </c>
      <c r="N17" s="295">
        <f t="shared" si="0"/>
        <v>47308.93</v>
      </c>
      <c r="O17" s="285">
        <f>443810.62+N17</f>
        <v>491119.55</v>
      </c>
      <c r="P17" s="284"/>
      <c r="Q17" s="285">
        <v>643043</v>
      </c>
    </row>
    <row r="18" spans="1:122" s="175" customFormat="1" ht="12.75">
      <c r="A18" s="241" t="s">
        <v>235</v>
      </c>
      <c r="B18" s="522">
        <v>0</v>
      </c>
      <c r="C18" s="522">
        <v>0</v>
      </c>
      <c r="D18" s="522">
        <v>3154.68</v>
      </c>
      <c r="E18" s="522">
        <v>71.48</v>
      </c>
      <c r="F18" s="522">
        <v>0</v>
      </c>
      <c r="G18" s="522">
        <v>18697.550000000003</v>
      </c>
      <c r="H18" s="522">
        <v>-7531.71</v>
      </c>
      <c r="I18" s="522">
        <v>9277.98</v>
      </c>
      <c r="J18" s="522">
        <v>0</v>
      </c>
      <c r="K18" s="522">
        <v>0</v>
      </c>
      <c r="L18" s="522">
        <v>0</v>
      </c>
      <c r="M18" s="522">
        <v>0</v>
      </c>
      <c r="N18" s="295">
        <f t="shared" si="0"/>
        <v>23669.980000000003</v>
      </c>
      <c r="O18" s="285">
        <f>222520.28+N18</f>
        <v>246190.26</v>
      </c>
      <c r="P18" s="284"/>
      <c r="Q18" s="285">
        <v>383701</v>
      </c>
    </row>
    <row r="19" spans="1:122" s="175" customFormat="1" ht="12.75">
      <c r="A19" s="241" t="s">
        <v>129</v>
      </c>
      <c r="B19" s="522">
        <v>0</v>
      </c>
      <c r="C19" s="522">
        <v>3327.98</v>
      </c>
      <c r="D19" s="522">
        <v>4206.24</v>
      </c>
      <c r="E19" s="522">
        <v>9835.7800000000007</v>
      </c>
      <c r="F19" s="522">
        <v>51.48</v>
      </c>
      <c r="G19" s="522">
        <v>52739.3</v>
      </c>
      <c r="H19" s="522">
        <v>-26385.26</v>
      </c>
      <c r="I19" s="522">
        <v>19047.810000000001</v>
      </c>
      <c r="J19" s="522">
        <v>0</v>
      </c>
      <c r="K19" s="522">
        <v>0</v>
      </c>
      <c r="L19" s="522">
        <v>0</v>
      </c>
      <c r="M19" s="522">
        <v>0</v>
      </c>
      <c r="N19" s="295">
        <f t="shared" si="0"/>
        <v>62823.33</v>
      </c>
      <c r="O19" s="285">
        <f>877131.2+N19</f>
        <v>939954.52999999991</v>
      </c>
      <c r="P19" s="284"/>
      <c r="Q19" s="285">
        <v>1102357</v>
      </c>
    </row>
    <row r="20" spans="1:122" s="175" customFormat="1" ht="12.75">
      <c r="A20" s="241" t="s">
        <v>236</v>
      </c>
      <c r="B20" s="522">
        <v>0</v>
      </c>
      <c r="C20" s="522">
        <v>3327.99</v>
      </c>
      <c r="D20" s="522">
        <v>5415.25</v>
      </c>
      <c r="E20" s="522">
        <v>15751.89</v>
      </c>
      <c r="F20" s="522">
        <v>80.13</v>
      </c>
      <c r="G20" s="522">
        <v>83939.900000000009</v>
      </c>
      <c r="H20" s="522">
        <v>-25277.7399999999</v>
      </c>
      <c r="I20" s="522">
        <v>21422.48</v>
      </c>
      <c r="J20" s="522">
        <v>0</v>
      </c>
      <c r="K20" s="522">
        <v>0</v>
      </c>
      <c r="L20" s="522">
        <v>0</v>
      </c>
      <c r="M20" s="522">
        <v>0</v>
      </c>
      <c r="N20" s="295">
        <f t="shared" si="0"/>
        <v>104659.9000000001</v>
      </c>
      <c r="O20" s="285">
        <f>1330368.43+N20</f>
        <v>1435028.33</v>
      </c>
      <c r="P20" s="284"/>
      <c r="Q20" s="285">
        <v>1653537</v>
      </c>
    </row>
    <row r="21" spans="1:122" s="175" customFormat="1" ht="12.75">
      <c r="A21" s="241" t="s">
        <v>237</v>
      </c>
      <c r="B21" s="522">
        <v>0</v>
      </c>
      <c r="C21" s="522">
        <v>0</v>
      </c>
      <c r="D21" s="522">
        <v>7360.92</v>
      </c>
      <c r="E21" s="522">
        <v>26551.08</v>
      </c>
      <c r="F21" s="522">
        <v>33000</v>
      </c>
      <c r="G21" s="522">
        <v>179782.13999999998</v>
      </c>
      <c r="H21" s="522">
        <v>-123124.319999999</v>
      </c>
      <c r="I21" s="522">
        <v>81831.269999999902</v>
      </c>
      <c r="J21" s="522">
        <v>0</v>
      </c>
      <c r="K21" s="522">
        <v>0</v>
      </c>
      <c r="L21" s="522">
        <v>0</v>
      </c>
      <c r="M21" s="522">
        <v>0</v>
      </c>
      <c r="N21" s="295">
        <f t="shared" si="0"/>
        <v>205401.0900000009</v>
      </c>
      <c r="O21" s="285">
        <f>N21</f>
        <v>205401.0900000009</v>
      </c>
      <c r="P21" s="284"/>
      <c r="Q21" s="285">
        <v>0</v>
      </c>
    </row>
    <row r="22" spans="1:122" s="175" customFormat="1" ht="12.75">
      <c r="A22" s="241" t="s">
        <v>238</v>
      </c>
      <c r="B22" s="522">
        <v>0</v>
      </c>
      <c r="C22" s="522">
        <v>0</v>
      </c>
      <c r="D22" s="522">
        <v>0</v>
      </c>
      <c r="E22" s="522">
        <v>0</v>
      </c>
      <c r="F22" s="522">
        <v>0</v>
      </c>
      <c r="G22" s="522">
        <v>0</v>
      </c>
      <c r="H22" s="522">
        <v>0</v>
      </c>
      <c r="I22" s="522">
        <v>0</v>
      </c>
      <c r="J22" s="522">
        <v>0</v>
      </c>
      <c r="K22" s="522">
        <v>0</v>
      </c>
      <c r="L22" s="522">
        <v>0</v>
      </c>
      <c r="M22" s="522">
        <v>0</v>
      </c>
      <c r="N22" s="295">
        <f t="shared" si="0"/>
        <v>0</v>
      </c>
      <c r="O22" s="285">
        <v>2328.7199999999998</v>
      </c>
      <c r="P22" s="284"/>
      <c r="Q22" s="285">
        <v>0</v>
      </c>
    </row>
    <row r="23" spans="1:122" s="175" customFormat="1" ht="12.75">
      <c r="A23" s="241" t="s">
        <v>239</v>
      </c>
      <c r="B23" s="522">
        <v>0</v>
      </c>
      <c r="C23" s="522">
        <v>0</v>
      </c>
      <c r="D23" s="522">
        <v>0</v>
      </c>
      <c r="E23" s="522">
        <v>0</v>
      </c>
      <c r="F23" s="522">
        <v>0</v>
      </c>
      <c r="G23" s="522">
        <v>0</v>
      </c>
      <c r="H23" s="522">
        <v>0</v>
      </c>
      <c r="I23" s="522">
        <v>0</v>
      </c>
      <c r="J23" s="522">
        <v>0</v>
      </c>
      <c r="K23" s="522">
        <v>0</v>
      </c>
      <c r="L23" s="522">
        <v>0</v>
      </c>
      <c r="M23" s="522">
        <v>0</v>
      </c>
      <c r="N23" s="295">
        <f t="shared" si="0"/>
        <v>0</v>
      </c>
      <c r="O23" s="285">
        <v>530.37</v>
      </c>
      <c r="P23" s="284"/>
      <c r="Q23" s="285">
        <v>0</v>
      </c>
    </row>
    <row r="24" spans="1:122" s="175" customFormat="1" ht="14.25">
      <c r="A24" s="241" t="s">
        <v>240</v>
      </c>
      <c r="B24" s="522">
        <v>264050.84999999998</v>
      </c>
      <c r="C24" s="522">
        <v>0</v>
      </c>
      <c r="D24" s="522">
        <v>0</v>
      </c>
      <c r="E24" s="522">
        <v>266164.06</v>
      </c>
      <c r="F24" s="522">
        <v>0</v>
      </c>
      <c r="G24" s="522">
        <v>594540.99</v>
      </c>
      <c r="H24" s="522">
        <v>0</v>
      </c>
      <c r="I24" s="522">
        <v>0</v>
      </c>
      <c r="J24" s="522">
        <v>0</v>
      </c>
      <c r="K24" s="522">
        <v>0</v>
      </c>
      <c r="L24" s="522">
        <v>0</v>
      </c>
      <c r="M24" s="522">
        <v>0</v>
      </c>
      <c r="N24" s="295">
        <f t="shared" si="0"/>
        <v>1124755.8999999999</v>
      </c>
      <c r="O24" s="285">
        <f>632846.09+N24</f>
        <v>1757601.9899999998</v>
      </c>
      <c r="P24" s="284"/>
      <c r="Q24" s="285">
        <v>0</v>
      </c>
    </row>
    <row r="25" spans="1:122" s="175" customFormat="1" ht="14.25">
      <c r="A25" s="241" t="s">
        <v>241</v>
      </c>
      <c r="B25" s="522">
        <v>0</v>
      </c>
      <c r="C25" s="522">
        <v>0</v>
      </c>
      <c r="D25" s="522">
        <v>0</v>
      </c>
      <c r="E25" s="522">
        <v>0</v>
      </c>
      <c r="F25" s="522">
        <v>0</v>
      </c>
      <c r="G25" s="522">
        <v>19575</v>
      </c>
      <c r="H25" s="522">
        <v>-6075</v>
      </c>
      <c r="I25" s="522">
        <v>6225</v>
      </c>
      <c r="J25" s="522">
        <v>0</v>
      </c>
      <c r="K25" s="522">
        <v>0</v>
      </c>
      <c r="L25" s="522">
        <v>0</v>
      </c>
      <c r="M25" s="522">
        <v>0</v>
      </c>
      <c r="N25" s="295">
        <f t="shared" si="0"/>
        <v>19725</v>
      </c>
      <c r="O25" s="285">
        <f>N25</f>
        <v>19725</v>
      </c>
      <c r="P25" s="284"/>
      <c r="Q25" s="285">
        <v>50000</v>
      </c>
    </row>
    <row r="26" spans="1:122" s="179" customFormat="1" ht="15.75">
      <c r="A26" s="465" t="s">
        <v>242</v>
      </c>
      <c r="B26" s="466">
        <f t="shared" ref="B26:O26" si="1">SUM(B11:B25)</f>
        <v>263770.44</v>
      </c>
      <c r="C26" s="466">
        <f t="shared" si="1"/>
        <v>13543</v>
      </c>
      <c r="D26" s="466">
        <f t="shared" si="1"/>
        <v>31811.479999999996</v>
      </c>
      <c r="E26" s="466">
        <f t="shared" si="1"/>
        <v>322032.40000000002</v>
      </c>
      <c r="F26" s="466">
        <f t="shared" si="1"/>
        <v>38977.61</v>
      </c>
      <c r="G26" s="466">
        <f t="shared" si="1"/>
        <v>1003756.51</v>
      </c>
      <c r="H26" s="466">
        <f t="shared" si="1"/>
        <v>-205878.20999999892</v>
      </c>
      <c r="I26" s="466">
        <f t="shared" si="1"/>
        <v>175670.34999999989</v>
      </c>
      <c r="J26" s="466">
        <f t="shared" si="1"/>
        <v>0</v>
      </c>
      <c r="K26" s="466">
        <f t="shared" si="1"/>
        <v>0</v>
      </c>
      <c r="L26" s="466">
        <f t="shared" si="1"/>
        <v>0</v>
      </c>
      <c r="M26" s="466">
        <f t="shared" si="1"/>
        <v>0</v>
      </c>
      <c r="N26" s="597">
        <f t="shared" si="1"/>
        <v>1643683.580000001</v>
      </c>
      <c r="O26" s="467">
        <f t="shared" si="1"/>
        <v>7468550.6500000004</v>
      </c>
      <c r="P26" s="468"/>
      <c r="Q26" s="467">
        <f>SUM(Q11:Q25)</f>
        <v>7367082.5</v>
      </c>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row>
    <row r="27" spans="1:122" s="175" customFormat="1" ht="12.75">
      <c r="A27" s="185"/>
      <c r="B27" s="286"/>
      <c r="C27" s="287"/>
      <c r="D27" s="287"/>
      <c r="E27" s="287"/>
      <c r="F27" s="287"/>
      <c r="G27" s="287"/>
      <c r="H27" s="287"/>
      <c r="I27" s="287"/>
      <c r="J27" s="287"/>
      <c r="K27" s="287"/>
      <c r="L27" s="287"/>
      <c r="M27" s="287"/>
      <c r="N27" s="287"/>
      <c r="O27" s="287"/>
      <c r="P27" s="287"/>
      <c r="Q27" s="288"/>
    </row>
    <row r="28" spans="1:122" s="175" customFormat="1" ht="15.75">
      <c r="A28" s="243" t="s">
        <v>243</v>
      </c>
      <c r="B28" s="286"/>
      <c r="C28" s="287"/>
      <c r="D28" s="287"/>
      <c r="E28" s="287"/>
      <c r="F28" s="287"/>
      <c r="G28" s="287"/>
      <c r="H28" s="287"/>
      <c r="I28" s="287"/>
      <c r="J28" s="287"/>
      <c r="K28" s="287"/>
      <c r="L28" s="287"/>
      <c r="M28" s="287"/>
      <c r="N28" s="289"/>
      <c r="O28" s="287"/>
      <c r="P28" s="287"/>
      <c r="Q28" s="290"/>
    </row>
    <row r="29" spans="1:122" s="175" customFormat="1" ht="12.75">
      <c r="A29" s="241" t="s">
        <v>244</v>
      </c>
      <c r="B29" s="523">
        <v>0</v>
      </c>
      <c r="C29" s="523">
        <v>0</v>
      </c>
      <c r="D29" s="523">
        <v>0</v>
      </c>
      <c r="E29" s="523">
        <v>0</v>
      </c>
      <c r="F29" s="523">
        <v>0</v>
      </c>
      <c r="G29" s="523">
        <v>0</v>
      </c>
      <c r="H29" s="523">
        <v>0</v>
      </c>
      <c r="I29" s="523">
        <v>0</v>
      </c>
      <c r="J29" s="523">
        <v>0</v>
      </c>
      <c r="K29" s="523">
        <v>0</v>
      </c>
      <c r="L29" s="523">
        <v>0</v>
      </c>
      <c r="M29" s="524">
        <v>0</v>
      </c>
      <c r="N29" s="464">
        <f t="shared" ref="N29:N33" si="2">SUM(B29:M29)</f>
        <v>0</v>
      </c>
      <c r="O29" s="464">
        <f>0+N29</f>
        <v>0</v>
      </c>
      <c r="P29" s="287"/>
      <c r="Q29" s="288"/>
    </row>
    <row r="30" spans="1:122" s="175" customFormat="1" ht="12.75">
      <c r="A30" s="240" t="s">
        <v>245</v>
      </c>
      <c r="B30" s="522">
        <v>0</v>
      </c>
      <c r="C30" s="522">
        <v>0</v>
      </c>
      <c r="D30" s="522">
        <v>1209.01</v>
      </c>
      <c r="E30" s="522">
        <v>0</v>
      </c>
      <c r="F30" s="522">
        <v>28.650000000000002</v>
      </c>
      <c r="G30" s="522">
        <v>326.2</v>
      </c>
      <c r="H30" s="522">
        <v>5707.7300000000005</v>
      </c>
      <c r="I30" s="522">
        <v>0</v>
      </c>
      <c r="J30" s="522">
        <v>0</v>
      </c>
      <c r="K30" s="522">
        <v>0</v>
      </c>
      <c r="L30" s="522">
        <v>0</v>
      </c>
      <c r="M30" s="525">
        <v>0</v>
      </c>
      <c r="N30" s="285">
        <f t="shared" si="2"/>
        <v>7271.59</v>
      </c>
      <c r="O30" s="285">
        <f>250549.97+N30</f>
        <v>257821.56</v>
      </c>
      <c r="P30" s="287"/>
      <c r="Q30" s="288"/>
    </row>
    <row r="31" spans="1:122" s="175" customFormat="1" ht="14.25">
      <c r="A31" s="240" t="s">
        <v>246</v>
      </c>
      <c r="B31" s="522">
        <v>-323.7</v>
      </c>
      <c r="C31" s="522">
        <v>0</v>
      </c>
      <c r="D31" s="522">
        <v>0</v>
      </c>
      <c r="E31" s="522">
        <v>0</v>
      </c>
      <c r="F31" s="522">
        <v>0</v>
      </c>
      <c r="G31" s="522">
        <v>0</v>
      </c>
      <c r="H31" s="522">
        <v>0</v>
      </c>
      <c r="I31" s="522">
        <v>0</v>
      </c>
      <c r="J31" s="522">
        <v>0</v>
      </c>
      <c r="K31" s="522">
        <v>0</v>
      </c>
      <c r="L31" s="522">
        <v>0</v>
      </c>
      <c r="M31" s="525">
        <v>0</v>
      </c>
      <c r="N31" s="285">
        <f t="shared" si="2"/>
        <v>-323.7</v>
      </c>
      <c r="O31" s="285">
        <f>1158654.99+N31</f>
        <v>1158331.29</v>
      </c>
      <c r="P31" s="287"/>
      <c r="Q31" s="288"/>
    </row>
    <row r="32" spans="1:122" s="175" customFormat="1" ht="14.25">
      <c r="A32" s="240" t="s">
        <v>247</v>
      </c>
      <c r="B32" s="522">
        <v>264094.13999999996</v>
      </c>
      <c r="C32" s="522">
        <v>13543</v>
      </c>
      <c r="D32" s="522">
        <v>30602.469999999994</v>
      </c>
      <c r="E32" s="522">
        <f>55868.34+266164.06</f>
        <v>322032.40000000002</v>
      </c>
      <c r="F32" s="522">
        <v>38948.959999999999</v>
      </c>
      <c r="G32" s="522">
        <v>984038.76</v>
      </c>
      <c r="H32" s="522">
        <v>-205510.94</v>
      </c>
      <c r="I32" s="522">
        <v>169445.35</v>
      </c>
      <c r="J32" s="522">
        <v>0</v>
      </c>
      <c r="K32" s="522">
        <v>0</v>
      </c>
      <c r="L32" s="522">
        <v>0</v>
      </c>
      <c r="M32" s="525">
        <v>0</v>
      </c>
      <c r="N32" s="285">
        <f t="shared" si="2"/>
        <v>1617194.1400000001</v>
      </c>
      <c r="O32" s="285">
        <f>3762838.63+N32</f>
        <v>5380032.7699999996</v>
      </c>
      <c r="P32" s="287"/>
      <c r="Q32" s="288"/>
    </row>
    <row r="33" spans="1:17" s="175" customFormat="1" ht="12.75">
      <c r="A33" s="240" t="s">
        <v>248</v>
      </c>
      <c r="B33" s="522">
        <v>0</v>
      </c>
      <c r="C33" s="522">
        <v>0</v>
      </c>
      <c r="D33" s="522">
        <v>0</v>
      </c>
      <c r="E33" s="522">
        <v>0</v>
      </c>
      <c r="F33" s="522">
        <v>0</v>
      </c>
      <c r="G33" s="522">
        <v>19391.55</v>
      </c>
      <c r="H33" s="522">
        <v>-6075</v>
      </c>
      <c r="I33" s="522">
        <v>6225</v>
      </c>
      <c r="J33" s="522">
        <v>0</v>
      </c>
      <c r="K33" s="522">
        <v>0</v>
      </c>
      <c r="L33" s="522">
        <v>0</v>
      </c>
      <c r="M33" s="526">
        <v>0</v>
      </c>
      <c r="N33" s="285">
        <f t="shared" si="2"/>
        <v>19541.55</v>
      </c>
      <c r="O33" s="291">
        <f>652823.48+N33</f>
        <v>672365.03</v>
      </c>
      <c r="P33" s="287"/>
      <c r="Q33" s="288"/>
    </row>
    <row r="34" spans="1:17" s="175" customFormat="1" ht="15.75">
      <c r="A34" s="465" t="s">
        <v>249</v>
      </c>
      <c r="B34" s="517">
        <f>SUM(B29:B33)</f>
        <v>263770.43999999994</v>
      </c>
      <c r="C34" s="466">
        <f t="shared" ref="C34:M34" si="3">SUM(C29:C33)</f>
        <v>13543</v>
      </c>
      <c r="D34" s="466">
        <f t="shared" si="3"/>
        <v>31811.479999999992</v>
      </c>
      <c r="E34" s="466">
        <f t="shared" si="3"/>
        <v>322032.40000000002</v>
      </c>
      <c r="F34" s="466">
        <f t="shared" si="3"/>
        <v>38977.61</v>
      </c>
      <c r="G34" s="466">
        <f t="shared" si="3"/>
        <v>1003756.51</v>
      </c>
      <c r="H34" s="466">
        <f t="shared" si="3"/>
        <v>-205878.21</v>
      </c>
      <c r="I34" s="466">
        <f t="shared" si="3"/>
        <v>175670.35</v>
      </c>
      <c r="J34" s="466">
        <f t="shared" si="3"/>
        <v>0</v>
      </c>
      <c r="K34" s="466">
        <f t="shared" si="3"/>
        <v>0</v>
      </c>
      <c r="L34" s="466">
        <f t="shared" si="3"/>
        <v>0</v>
      </c>
      <c r="M34" s="467">
        <f t="shared" si="3"/>
        <v>0</v>
      </c>
      <c r="N34" s="597">
        <f>SUM(N29:N33)</f>
        <v>1643683.58</v>
      </c>
      <c r="O34" s="293">
        <f>SUM(O29:O33)</f>
        <v>7468550.6499999994</v>
      </c>
      <c r="P34" s="468"/>
      <c r="Q34" s="469"/>
    </row>
    <row r="35" spans="1:17" s="175" customFormat="1" ht="12.75">
      <c r="A35" s="470"/>
      <c r="B35" s="471"/>
      <c r="C35" s="472"/>
      <c r="D35" s="472"/>
      <c r="E35" s="472"/>
      <c r="F35" s="472"/>
      <c r="G35" s="472"/>
      <c r="H35" s="472"/>
      <c r="I35" s="472"/>
      <c r="J35" s="472"/>
      <c r="K35" s="472"/>
      <c r="L35" s="472"/>
      <c r="M35" s="472"/>
      <c r="N35" s="472"/>
      <c r="O35" s="472"/>
      <c r="P35" s="294"/>
      <c r="Q35" s="473"/>
    </row>
    <row r="36" spans="1:17" s="175" customFormat="1" ht="15.75">
      <c r="A36" s="243" t="s">
        <v>250</v>
      </c>
      <c r="B36" s="286"/>
      <c r="C36" s="287"/>
      <c r="D36" s="287"/>
      <c r="E36" s="287"/>
      <c r="F36" s="287"/>
      <c r="G36" s="287"/>
      <c r="H36" s="287"/>
      <c r="I36" s="287"/>
      <c r="J36" s="287"/>
      <c r="K36" s="287"/>
      <c r="L36" s="287"/>
      <c r="M36" s="287"/>
      <c r="N36" s="289"/>
      <c r="O36" s="289"/>
      <c r="P36" s="287"/>
      <c r="Q36" s="290"/>
    </row>
    <row r="37" spans="1:17" s="175" customFormat="1" ht="14.25">
      <c r="A37" s="240" t="s">
        <v>251</v>
      </c>
      <c r="B37" s="527">
        <v>66012.712499999994</v>
      </c>
      <c r="C37" s="523">
        <v>0</v>
      </c>
      <c r="D37" s="523">
        <v>0</v>
      </c>
      <c r="E37" s="523">
        <v>66541.02</v>
      </c>
      <c r="F37" s="523">
        <v>0</v>
      </c>
      <c r="G37" s="523">
        <v>153528.9975</v>
      </c>
      <c r="H37" s="523">
        <v>-1518.75</v>
      </c>
      <c r="I37" s="523">
        <v>1556.25</v>
      </c>
      <c r="J37" s="523">
        <v>0</v>
      </c>
      <c r="K37" s="523">
        <v>0</v>
      </c>
      <c r="L37" s="523">
        <v>0</v>
      </c>
      <c r="M37" s="524">
        <v>0</v>
      </c>
      <c r="N37" s="464">
        <f t="shared" ref="N37:N40" si="4">SUM(B37:M37)</f>
        <v>286120.23</v>
      </c>
      <c r="O37" s="464">
        <f>158211.52+N37</f>
        <v>444331.75</v>
      </c>
      <c r="P37" s="287"/>
      <c r="Q37" s="288"/>
    </row>
    <row r="38" spans="1:17" s="175" customFormat="1" ht="12.75">
      <c r="A38" s="241" t="s">
        <v>252</v>
      </c>
      <c r="B38" s="528">
        <v>66012.712499999994</v>
      </c>
      <c r="C38" s="522">
        <v>5395.48</v>
      </c>
      <c r="D38" s="522">
        <v>9989.82</v>
      </c>
      <c r="E38" s="522">
        <f>8661+66541.02</f>
        <v>75202.02</v>
      </c>
      <c r="F38" s="522">
        <v>227.01</v>
      </c>
      <c r="G38" s="522">
        <v>233338.00750000001</v>
      </c>
      <c r="H38" s="522">
        <v>-38663.600000000006</v>
      </c>
      <c r="I38" s="522">
        <v>30468.440000000002</v>
      </c>
      <c r="J38" s="522">
        <v>0</v>
      </c>
      <c r="K38" s="522">
        <v>0</v>
      </c>
      <c r="L38" s="522">
        <v>0</v>
      </c>
      <c r="M38" s="525">
        <v>0</v>
      </c>
      <c r="N38" s="285">
        <f t="shared" si="4"/>
        <v>381969.88999999996</v>
      </c>
      <c r="O38" s="285">
        <f>1799700+N38</f>
        <v>2181669.89</v>
      </c>
      <c r="P38" s="287"/>
      <c r="Q38" s="288"/>
    </row>
    <row r="39" spans="1:17" s="175" customFormat="1" ht="14.25" customHeight="1">
      <c r="A39" s="240" t="s">
        <v>253</v>
      </c>
      <c r="B39" s="528">
        <v>65850.862499999988</v>
      </c>
      <c r="C39" s="522">
        <v>3731.5</v>
      </c>
      <c r="D39" s="522">
        <v>4810.74</v>
      </c>
      <c r="E39" s="522">
        <f>6694.58+66541.02</f>
        <v>73235.600000000006</v>
      </c>
      <c r="F39" s="522">
        <v>215.59</v>
      </c>
      <c r="G39" s="522">
        <v>201767.91750000001</v>
      </c>
      <c r="H39" s="522">
        <v>-16309.529999999999</v>
      </c>
      <c r="I39" s="522">
        <v>14833.059999999998</v>
      </c>
      <c r="J39" s="522">
        <v>0</v>
      </c>
      <c r="K39" s="522">
        <v>0</v>
      </c>
      <c r="L39" s="522">
        <v>0</v>
      </c>
      <c r="M39" s="525">
        <v>0</v>
      </c>
      <c r="N39" s="285">
        <f t="shared" si="4"/>
        <v>348135.74000000005</v>
      </c>
      <c r="O39" s="285">
        <f>1432270.28+N39</f>
        <v>1780406.02</v>
      </c>
      <c r="P39" s="287"/>
      <c r="Q39" s="288"/>
    </row>
    <row r="40" spans="1:17" s="175" customFormat="1" ht="14.25">
      <c r="A40" s="240" t="s">
        <v>254</v>
      </c>
      <c r="B40" s="529">
        <v>65894.152499999997</v>
      </c>
      <c r="C40" s="530">
        <v>4416.0199999999995</v>
      </c>
      <c r="D40" s="530">
        <v>17010.919999999998</v>
      </c>
      <c r="E40" s="530">
        <f>40512.76+66541.02</f>
        <v>107053.78</v>
      </c>
      <c r="F40" s="530">
        <v>38535.01</v>
      </c>
      <c r="G40" s="530">
        <v>415121.58750000002</v>
      </c>
      <c r="H40" s="530">
        <v>-149386.32999999999</v>
      </c>
      <c r="I40" s="530">
        <v>128812.59999999998</v>
      </c>
      <c r="J40" s="530">
        <v>0</v>
      </c>
      <c r="K40" s="530">
        <v>0</v>
      </c>
      <c r="L40" s="530">
        <v>0</v>
      </c>
      <c r="M40" s="526">
        <v>0</v>
      </c>
      <c r="N40" s="285">
        <f t="shared" si="4"/>
        <v>627457.74</v>
      </c>
      <c r="O40" s="291">
        <f>2434685.26+N40</f>
        <v>3062143</v>
      </c>
      <c r="P40" s="287"/>
      <c r="Q40" s="288"/>
    </row>
    <row r="41" spans="1:17" s="175" customFormat="1" ht="15.75">
      <c r="A41" s="465" t="s">
        <v>255</v>
      </c>
      <c r="B41" s="292">
        <f t="shared" ref="B41:M41" si="5">SUM(B37:B40)</f>
        <v>263770.43999999994</v>
      </c>
      <c r="C41" s="293">
        <f t="shared" si="5"/>
        <v>13543</v>
      </c>
      <c r="D41" s="293">
        <f>SUM(D37:D40)</f>
        <v>31811.479999999996</v>
      </c>
      <c r="E41" s="293">
        <f t="shared" si="5"/>
        <v>322032.42000000004</v>
      </c>
      <c r="F41" s="293">
        <f t="shared" si="5"/>
        <v>38977.61</v>
      </c>
      <c r="G41" s="293">
        <f>SUM(G37:G40)</f>
        <v>1003756.51</v>
      </c>
      <c r="H41" s="293">
        <f t="shared" si="5"/>
        <v>-205878.21</v>
      </c>
      <c r="I41" s="293">
        <f t="shared" si="5"/>
        <v>175670.34999999998</v>
      </c>
      <c r="J41" s="293">
        <f t="shared" si="5"/>
        <v>0</v>
      </c>
      <c r="K41" s="293">
        <f t="shared" si="5"/>
        <v>0</v>
      </c>
      <c r="L41" s="293">
        <f t="shared" si="5"/>
        <v>0</v>
      </c>
      <c r="M41" s="293">
        <f t="shared" si="5"/>
        <v>0</v>
      </c>
      <c r="N41" s="597">
        <f>SUM(N37:N40)</f>
        <v>1643683.5999999999</v>
      </c>
      <c r="O41" s="466">
        <f>SUM(O37:O40)</f>
        <v>7468550.6600000001</v>
      </c>
      <c r="P41" s="468">
        <f>SUM(P37:P40)</f>
        <v>0</v>
      </c>
      <c r="Q41" s="469"/>
    </row>
    <row r="42" spans="1:17" s="175" customFormat="1" ht="12.75">
      <c r="B42" s="287"/>
      <c r="C42" s="287"/>
      <c r="D42" s="287"/>
      <c r="E42" s="287"/>
      <c r="F42" s="287"/>
      <c r="G42" s="287"/>
      <c r="H42" s="287"/>
      <c r="I42" s="287"/>
      <c r="J42" s="287"/>
      <c r="K42" s="287"/>
      <c r="L42" s="287"/>
      <c r="M42" s="287"/>
      <c r="N42" s="287"/>
      <c r="O42" s="177"/>
      <c r="P42" s="177"/>
      <c r="Q42" s="177"/>
    </row>
    <row r="43" spans="1:17" s="175" customFormat="1" ht="12.75">
      <c r="A43" s="654" t="s">
        <v>68</v>
      </c>
      <c r="B43" s="181"/>
      <c r="C43" s="181"/>
      <c r="D43" s="181"/>
      <c r="E43" s="181"/>
      <c r="F43" s="181"/>
      <c r="G43" s="181"/>
      <c r="H43" s="181"/>
      <c r="I43" s="181"/>
      <c r="J43" s="181"/>
      <c r="K43" s="181"/>
      <c r="L43" s="181"/>
      <c r="M43" s="181"/>
      <c r="N43" s="180"/>
      <c r="O43" s="323"/>
      <c r="P43" s="181"/>
      <c r="Q43" s="181"/>
    </row>
    <row r="44" spans="1:17" s="310" customFormat="1" ht="14.25">
      <c r="A44" s="66" t="s">
        <v>256</v>
      </c>
      <c r="D44" s="311"/>
      <c r="E44" s="312"/>
      <c r="F44" s="311"/>
      <c r="N44" s="685"/>
    </row>
    <row r="45" spans="1:17" ht="14.25">
      <c r="A45" s="66" t="s">
        <v>257</v>
      </c>
      <c r="D45" s="164"/>
      <c r="E45" s="118"/>
      <c r="F45" s="164"/>
      <c r="N45" s="685"/>
    </row>
    <row r="46" spans="1:17" ht="14.25">
      <c r="A46" s="66" t="s">
        <v>258</v>
      </c>
      <c r="C46" s="66"/>
      <c r="D46" s="164"/>
      <c r="E46" s="118"/>
      <c r="F46" s="164"/>
      <c r="N46" s="685"/>
    </row>
    <row r="47" spans="1:17" ht="14.25">
      <c r="A47" s="66" t="s">
        <v>259</v>
      </c>
      <c r="B47" s="66"/>
      <c r="D47" s="164"/>
      <c r="E47" s="118"/>
      <c r="F47" s="164"/>
      <c r="N47" s="685"/>
    </row>
    <row r="48" spans="1:17" ht="14.25">
      <c r="A48" s="688" t="s">
        <v>260</v>
      </c>
      <c r="D48" s="164"/>
      <c r="E48" s="118"/>
      <c r="F48" s="164"/>
      <c r="N48" s="685"/>
    </row>
    <row r="49" spans="1:15" s="200" customFormat="1" ht="14.25">
      <c r="A49" s="66" t="s">
        <v>261</v>
      </c>
    </row>
    <row r="50" spans="1:15" ht="14.25">
      <c r="A50" s="688" t="s">
        <v>262</v>
      </c>
      <c r="E50" s="167"/>
      <c r="F50" s="164"/>
      <c r="O50" s="310"/>
    </row>
    <row r="51" spans="1:15" s="66" customFormat="1" ht="13.5" customHeight="1">
      <c r="O51" s="165"/>
    </row>
    <row r="52" spans="1:15" s="66" customFormat="1" ht="13.5" customHeight="1">
      <c r="A52" s="650" t="s">
        <v>206</v>
      </c>
    </row>
    <row r="53" spans="1:15" ht="12.75">
      <c r="A53" s="655" t="s">
        <v>84</v>
      </c>
    </row>
    <row r="54" spans="1:15" ht="14.25">
      <c r="C54" s="313"/>
    </row>
    <row r="55" spans="1:15" ht="14.25">
      <c r="A55" s="66"/>
      <c r="C55" s="315"/>
    </row>
  </sheetData>
  <mergeCells count="3">
    <mergeCell ref="O7:O8"/>
    <mergeCell ref="Q7:Q8"/>
    <mergeCell ref="N7:N8"/>
  </mergeCells>
  <printOptions horizontalCentered="1"/>
  <pageMargins left="0" right="0" top="0.55000000000000004" bottom="0.17" header="0.3" footer="0.15"/>
  <pageSetup paperSize="5" scale="48"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7RCVYNPDDY4V-1526832976-148</_dlc_DocId>
    <_dlc_DocIdUrl xmlns="9bf079a2-8838-46e4-a25e-754293e27338">
      <Url>https://sempra.sharepoint.com/teams/sdgecp/po/drps/_layouts/15/DocIdRedir.aspx?ID=7RCVYNPDDY4V-1526832976-148</Url>
      <Description>7RCVYNPDDY4V-1526832976-148</Description>
    </_dlc_DocIdUrl>
    <SharedWithUsers xmlns="9bf079a2-8838-46e4-a25e-754293e27338">
      <UserInfo>
        <DisplayName>Valdivieso, Guillermo</DisplayName>
        <AccountId>212</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3" ma:contentTypeDescription="Create a new document." ma:contentTypeScope="" ma:versionID="f03f3fb50594f1ca4be9b67cacc566f6">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b63f42fbf8a6295edfde7bedbafa4ccd"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0486D6-920A-4B96-82F8-54628C0563E2}">
  <ds:schemaRefs>
    <ds:schemaRef ds:uri="http://schemas.microsoft.com/sharepoint/events"/>
  </ds:schemaRefs>
</ds:datastoreItem>
</file>

<file path=customXml/itemProps2.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3.xml><?xml version="1.0" encoding="utf-8"?>
<ds:datastoreItem xmlns:ds="http://schemas.openxmlformats.org/officeDocument/2006/customXml" ds:itemID="{5B9CE5A5-034A-44C5-96B1-1FD952A1C468}">
  <ds:schemaRefs>
    <ds:schemaRef ds:uri="9bf079a2-8838-46e4-a25e-754293e27338"/>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3186f035-0cdb-442a-b3b5-e1bf8686ba54"/>
    <ds:schemaRef ds:uri="http://schemas.microsoft.com/office/2006/metadata/properties"/>
  </ds:schemaRefs>
</ds:datastoreItem>
</file>

<file path=customXml/itemProps4.xml><?xml version="1.0" encoding="utf-8"?>
<ds:datastoreItem xmlns:ds="http://schemas.openxmlformats.org/officeDocument/2006/customXml" ds:itemID="{53F042AA-8501-43B8-A0B2-A6DDA6F37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Business Unit Reporting</vt:lpstr>
      <vt:lpstr>Program MW </vt:lpstr>
      <vt:lpstr>Ex ante LI &amp; Eligibility Stats</vt:lpstr>
      <vt:lpstr>Ex post LI &amp; Eligibility Stats</vt:lpstr>
      <vt:lpstr>TA-TI Distribution@</vt:lpstr>
      <vt:lpstr>Event Summary</vt:lpstr>
      <vt:lpstr>DRP Expenditures</vt:lpstr>
      <vt:lpstr>Auto DR (TI) &amp; Tech Deployment</vt:lpstr>
      <vt:lpstr>Marketing</vt:lpstr>
      <vt:lpstr>Fund Shift Log</vt:lpstr>
      <vt:lpstr>SDGE Costs -AMDRMA Balance</vt:lpstr>
      <vt:lpstr>SDGE Costs -GRC </vt:lpstr>
      <vt:lpstr>SDGE Costs -DPDRMA</vt:lpstr>
      <vt:lpstr>SDGE Costs -ELRP</vt:lpstr>
      <vt:lpstr>SDGE Costs -FABA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-ELRP'!Print_Area</vt:lpstr>
      <vt:lpstr>'SDGE Costs -FABA'!Print_Area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2022-09-20T17:12:31Z</cp:lastPrinted>
  <dcterms:created xsi:type="dcterms:W3CDTF">2013-01-03T17:03:43Z</dcterms:created>
  <dcterms:modified xsi:type="dcterms:W3CDTF">2022-09-20T17:12:32Z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b5ae6d8f-79ba-4070-8c27-a1f70268d694</vt:lpwstr>
  </property>
  <property fmtid="{D5CDD505-2E9C-101B-9397-08002B2CF9AE}" pid="8" name="SharedWithUsers">
    <vt:lpwstr>212;#Valdivieso, Guillermo</vt:lpwstr>
  </property>
  <property fmtid="{D5CDD505-2E9C-101B-9397-08002B2CF9AE}" pid="9" name="CofWorkbookId">
    <vt:lpwstr>68a33022-c291-4d65-9f1a-1db5154619fc</vt:lpwstr>
  </property>
</Properties>
</file>