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drawings/drawing1.xml" ContentType="application/vnd.openxmlformats-officedocument.drawing+xml"/>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15.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https://sempra-my.sharepoint.com/personal/tschavrien_semprautilities_com/Documents/Desktop/"/>
    </mc:Choice>
  </mc:AlternateContent>
  <xr:revisionPtr revIDLastSave="2" documentId="8_{29AC35C0-E325-46E6-BE5C-7BC14584FC99}" xr6:coauthVersionLast="47" xr6:coauthVersionMax="47" xr10:uidLastSave="{FD08F8C1-103F-475C-94D6-C7EB3895AB10}"/>
  <bookViews>
    <workbookView xWindow="-120" yWindow="-120" windowWidth="29040" windowHeight="15840" tabRatio="873" firstSheet="7" activeTab="16" xr2:uid="{00000000-000D-0000-FFFF-FFFF00000000}"/>
  </bookViews>
  <sheets>
    <sheet name="Business Unit Reporting" sheetId="136" state="hidden" r:id="rId1"/>
    <sheet name="Program MW " sheetId="33" r:id="rId2"/>
    <sheet name="Sheet1" sheetId="139" r:id="rId3"/>
    <sheet name="Ex ante LI &amp; Eligibility Stats" sheetId="34" r:id="rId4"/>
    <sheet name="Ex post LI &amp; Eligibility Stats" sheetId="35" r:id="rId5"/>
    <sheet name="TA-TI Distribution@" sheetId="36" state="hidden" r:id="rId6"/>
    <sheet name="Event Summary" sheetId="57" r:id="rId7"/>
    <sheet name="Auto DR (TI) &amp; Tech Deployment" sheetId="131" r:id="rId8"/>
    <sheet name="Marketing" sheetId="134" r:id="rId9"/>
    <sheet name="DRP Expenditures" sheetId="117" r:id="rId10"/>
    <sheet name="Fund Shift Log" sheetId="29" r:id="rId11"/>
    <sheet name="SDGE Costs - AMDRMA Balance" sheetId="119" r:id="rId12"/>
    <sheet name="SDGE Costs -GRC " sheetId="120" r:id="rId13"/>
    <sheet name="SDGE Costs -DPDRMA" sheetId="129" r:id="rId14"/>
    <sheet name="SDGE Costs -ELRP" sheetId="138" r:id="rId15"/>
    <sheet name="SDGE Costs -CSEP" sheetId="137" r:id="rId16"/>
    <sheet name="SDGE Costs -FABA" sheetId="140" r:id="rId17"/>
  </sheets>
  <externalReferences>
    <externalReference r:id="rId18"/>
    <externalReference r:id="rId19"/>
  </externalReferences>
  <definedNames>
    <definedName name="_AMO_UniqueIdentifier" hidden="1">"'149b2d1a-72c1-44e5-bc61-8e647e92c66a'"</definedName>
    <definedName name="_DAT1" localSheetId="9">#REF!</definedName>
    <definedName name="_DAT1" localSheetId="8">#REF!</definedName>
    <definedName name="_DAT1" localSheetId="11">#REF!</definedName>
    <definedName name="_DAT1" localSheetId="15">'SDGE Costs -CSEP'!#REF!</definedName>
    <definedName name="_DAT1" localSheetId="13">#REF!</definedName>
    <definedName name="_DAT1" localSheetId="14">'SDGE Costs -ELRP'!#REF!</definedName>
    <definedName name="_DAT1" localSheetId="16">'SDGE Costs -FABA'!#REF!</definedName>
    <definedName name="_DAT1">#REF!</definedName>
    <definedName name="_DAT10" localSheetId="9">#REF!</definedName>
    <definedName name="_DAT10" localSheetId="8">#REF!</definedName>
    <definedName name="_DAT10" localSheetId="15">'SDGE Costs -CSEP'!#REF!</definedName>
    <definedName name="_DAT10" localSheetId="13">#REF!</definedName>
    <definedName name="_DAT10" localSheetId="14">'SDGE Costs -ELRP'!#REF!</definedName>
    <definedName name="_DAT10" localSheetId="16">'SDGE Costs -FABA'!#REF!</definedName>
    <definedName name="_DAT10">#REF!</definedName>
    <definedName name="_DAT11" localSheetId="9">#REF!</definedName>
    <definedName name="_DAT11" localSheetId="8">#REF!</definedName>
    <definedName name="_DAT11" localSheetId="15">'SDGE Costs -CSEP'!#REF!</definedName>
    <definedName name="_DAT11" localSheetId="13">#REF!</definedName>
    <definedName name="_DAT11" localSheetId="14">'SDGE Costs -ELRP'!#REF!</definedName>
    <definedName name="_DAT11" localSheetId="16">'SDGE Costs -FABA'!#REF!</definedName>
    <definedName name="_DAT11">#REF!</definedName>
    <definedName name="_DAT12" localSheetId="9">#REF!</definedName>
    <definedName name="_DAT12" localSheetId="15">'SDGE Costs -CSEP'!#REF!</definedName>
    <definedName name="_DAT12" localSheetId="13">#REF!</definedName>
    <definedName name="_DAT12" localSheetId="14">'SDGE Costs -ELRP'!#REF!</definedName>
    <definedName name="_DAT12" localSheetId="16">'SDGE Costs -FABA'!#REF!</definedName>
    <definedName name="_DAT12">#REF!</definedName>
    <definedName name="_DAT13" localSheetId="9">#REF!</definedName>
    <definedName name="_DAT13" localSheetId="15">'SDGE Costs -CSEP'!#REF!</definedName>
    <definedName name="_DAT13" localSheetId="13">#REF!</definedName>
    <definedName name="_DAT13" localSheetId="14">'SDGE Costs -ELRP'!#REF!</definedName>
    <definedName name="_DAT13" localSheetId="16">'SDGE Costs -FABA'!#REF!</definedName>
    <definedName name="_DAT13">#REF!</definedName>
    <definedName name="_DAT14" localSheetId="9">#REF!</definedName>
    <definedName name="_DAT14" localSheetId="15">'SDGE Costs -CSEP'!#REF!</definedName>
    <definedName name="_DAT14" localSheetId="13">#REF!</definedName>
    <definedName name="_DAT14" localSheetId="14">'SDGE Costs -ELRP'!#REF!</definedName>
    <definedName name="_DAT14" localSheetId="16">'SDGE Costs -FABA'!#REF!</definedName>
    <definedName name="_DAT14">#REF!</definedName>
    <definedName name="_DAT15" localSheetId="9">#REF!</definedName>
    <definedName name="_DAT15" localSheetId="15">'SDGE Costs -CSEP'!#REF!</definedName>
    <definedName name="_DAT15" localSheetId="13">#REF!</definedName>
    <definedName name="_DAT15" localSheetId="14">'SDGE Costs -ELRP'!#REF!</definedName>
    <definedName name="_DAT15" localSheetId="16">'SDGE Costs -FABA'!#REF!</definedName>
    <definedName name="_DAT15">#REF!</definedName>
    <definedName name="_DAT16" localSheetId="9">#REF!</definedName>
    <definedName name="_DAT16" localSheetId="15">'SDGE Costs -CSEP'!#REF!</definedName>
    <definedName name="_DAT16" localSheetId="13">#REF!</definedName>
    <definedName name="_DAT16" localSheetId="14">'SDGE Costs -ELRP'!#REF!</definedName>
    <definedName name="_DAT16" localSheetId="16">'SDGE Costs -FABA'!#REF!</definedName>
    <definedName name="_DAT16">#REF!</definedName>
    <definedName name="_DAT17" localSheetId="9">#REF!</definedName>
    <definedName name="_DAT17" localSheetId="15">'SDGE Costs -CSEP'!#REF!</definedName>
    <definedName name="_DAT17" localSheetId="13">#REF!</definedName>
    <definedName name="_DAT17" localSheetId="14">'SDGE Costs -ELRP'!#REF!</definedName>
    <definedName name="_DAT17" localSheetId="16">'SDGE Costs -FABA'!#REF!</definedName>
    <definedName name="_DAT17">#REF!</definedName>
    <definedName name="_DAT2" localSheetId="9">#REF!</definedName>
    <definedName name="_DAT2" localSheetId="15">'SDGE Costs -CSEP'!#REF!</definedName>
    <definedName name="_DAT2" localSheetId="13">#REF!</definedName>
    <definedName name="_DAT2" localSheetId="14">'SDGE Costs -ELRP'!#REF!</definedName>
    <definedName name="_DAT2" localSheetId="16">'SDGE Costs -FABA'!#REF!</definedName>
    <definedName name="_DAT2">#REF!</definedName>
    <definedName name="_DAT3" localSheetId="9">#REF!</definedName>
    <definedName name="_DAT3" localSheetId="15">'SDGE Costs -CSEP'!#REF!</definedName>
    <definedName name="_DAT3" localSheetId="13">#REF!</definedName>
    <definedName name="_DAT3" localSheetId="14">'SDGE Costs -ELRP'!#REF!</definedName>
    <definedName name="_DAT3" localSheetId="16">'SDGE Costs -FABA'!#REF!</definedName>
    <definedName name="_DAT3">#REF!</definedName>
    <definedName name="_DAT4" localSheetId="9">#REF!</definedName>
    <definedName name="_DAT4" localSheetId="15">'SDGE Costs -CSEP'!#REF!</definedName>
    <definedName name="_DAT4" localSheetId="13">#REF!</definedName>
    <definedName name="_DAT4" localSheetId="14">'SDGE Costs -ELRP'!#REF!</definedName>
    <definedName name="_DAT4" localSheetId="16">'SDGE Costs -FABA'!#REF!</definedName>
    <definedName name="_DAT4">#REF!</definedName>
    <definedName name="_DAT5" localSheetId="9">#REF!</definedName>
    <definedName name="_DAT5" localSheetId="15">'SDGE Costs -CSEP'!#REF!</definedName>
    <definedName name="_DAT5" localSheetId="13">#REF!</definedName>
    <definedName name="_DAT5" localSheetId="14">'SDGE Costs -ELRP'!#REF!</definedName>
    <definedName name="_DAT5" localSheetId="16">'SDGE Costs -FABA'!#REF!</definedName>
    <definedName name="_DAT5">#REF!</definedName>
    <definedName name="_DAT6" localSheetId="9">#REF!</definedName>
    <definedName name="_DAT6" localSheetId="15">'SDGE Costs -CSEP'!#REF!</definedName>
    <definedName name="_DAT6" localSheetId="13">#REF!</definedName>
    <definedName name="_DAT6" localSheetId="14">'SDGE Costs -ELRP'!#REF!</definedName>
    <definedName name="_DAT6" localSheetId="16">'SDGE Costs -FABA'!#REF!</definedName>
    <definedName name="_DAT6">#REF!</definedName>
    <definedName name="_DAT7" localSheetId="9">#REF!</definedName>
    <definedName name="_DAT7" localSheetId="15">'SDGE Costs -CSEP'!#REF!</definedName>
    <definedName name="_DAT7" localSheetId="13">#REF!</definedName>
    <definedName name="_DAT7" localSheetId="14">'SDGE Costs -ELRP'!#REF!</definedName>
    <definedName name="_DAT7" localSheetId="16">'SDGE Costs -FABA'!#REF!</definedName>
    <definedName name="_DAT7">#REF!</definedName>
    <definedName name="_DAT8" localSheetId="9">#REF!</definedName>
    <definedName name="_DAT8" localSheetId="15">'SDGE Costs -CSEP'!#REF!</definedName>
    <definedName name="_DAT8" localSheetId="13">#REF!</definedName>
    <definedName name="_DAT8" localSheetId="14">'SDGE Costs -ELRP'!#REF!</definedName>
    <definedName name="_DAT8" localSheetId="16">'SDGE Costs -FABA'!#REF!</definedName>
    <definedName name="_DAT8">#REF!</definedName>
    <definedName name="_DAT9" localSheetId="9">#REF!</definedName>
    <definedName name="_DAT9" localSheetId="15">'SDGE Costs -CSEP'!#REF!</definedName>
    <definedName name="_DAT9" localSheetId="13">#REF!</definedName>
    <definedName name="_DAT9" localSheetId="14">'SDGE Costs -ELRP'!#REF!</definedName>
    <definedName name="_DAT9" localSheetId="16">'SDGE Costs -FABA'!#REF!</definedName>
    <definedName name="_DAT9">#REF!</definedName>
    <definedName name="_xlnm._FilterDatabase" localSheetId="6" hidden="1">'Event Summary'!$A$8:$G$10</definedName>
    <definedName name="Achieve_GRC" localSheetId="9">#REF!</definedName>
    <definedName name="Achieve_GRC" localSheetId="3">#REF!</definedName>
    <definedName name="Achieve_GRC" localSheetId="4">#REF!</definedName>
    <definedName name="Achieve_GRC" localSheetId="1">#REF!</definedName>
    <definedName name="Achieve_GRC" localSheetId="15">'SDGE Costs -CSEP'!#REF!</definedName>
    <definedName name="Achieve_GRC" localSheetId="13">#REF!</definedName>
    <definedName name="Achieve_GRC" localSheetId="14">'SDGE Costs -ELRP'!#REF!</definedName>
    <definedName name="Achieve_GRC" localSheetId="16">'SDGE Costs -FABA'!#REF!</definedName>
    <definedName name="Achieve_GRC" localSheetId="5">#REF!</definedName>
    <definedName name="Achieve_GRC">#REF!</definedName>
    <definedName name="Achieve_Service_Excellenc" localSheetId="9">#REF!</definedName>
    <definedName name="Achieve_Service_Excellenc" localSheetId="3">#REF!</definedName>
    <definedName name="Achieve_Service_Excellenc" localSheetId="4">#REF!</definedName>
    <definedName name="Achieve_Service_Excellenc" localSheetId="1">#REF!</definedName>
    <definedName name="Achieve_Service_Excellenc" localSheetId="15">'SDGE Costs -CSEP'!#REF!</definedName>
    <definedName name="Achieve_Service_Excellenc" localSheetId="13">#REF!</definedName>
    <definedName name="Achieve_Service_Excellenc" localSheetId="14">'SDGE Costs -ELRP'!#REF!</definedName>
    <definedName name="Achieve_Service_Excellenc" localSheetId="16">'SDGE Costs -FABA'!#REF!</definedName>
    <definedName name="Achieve_Service_Excellenc" localSheetId="5">#REF!</definedName>
    <definedName name="Achieve_Service_Excellenc">#REF!</definedName>
    <definedName name="Achieve_Service_Excellence" localSheetId="9">#REF!</definedName>
    <definedName name="Achieve_Service_Excellence" localSheetId="3">#REF!</definedName>
    <definedName name="Achieve_Service_Excellence" localSheetId="4">#REF!</definedName>
    <definedName name="Achieve_Service_Excellence" localSheetId="1">#REF!</definedName>
    <definedName name="Achieve_Service_Excellence" localSheetId="15">'SDGE Costs -CSEP'!#REF!</definedName>
    <definedName name="Achieve_Service_Excellence" localSheetId="13">#REF!</definedName>
    <definedName name="Achieve_Service_Excellence" localSheetId="14">'SDGE Costs -ELRP'!#REF!</definedName>
    <definedName name="Achieve_Service_Excellence" localSheetId="16">'SDGE Costs -FABA'!#REF!</definedName>
    <definedName name="Achieve_Service_Excellence" localSheetId="5">#REF!</definedName>
    <definedName name="Achieve_Service_Excellence">#REF!</definedName>
    <definedName name="Collect_Revenue" localSheetId="9">#REF!</definedName>
    <definedName name="Collect_Revenue" localSheetId="3">#REF!</definedName>
    <definedName name="Collect_Revenue" localSheetId="4">#REF!</definedName>
    <definedName name="Collect_Revenue" localSheetId="1">#REF!</definedName>
    <definedName name="Collect_Revenue" localSheetId="15">'SDGE Costs -CSEP'!#REF!</definedName>
    <definedName name="Collect_Revenue" localSheetId="13">#REF!</definedName>
    <definedName name="Collect_Revenue" localSheetId="14">'SDGE Costs -ELRP'!#REF!</definedName>
    <definedName name="Collect_Revenue" localSheetId="16">'SDGE Costs -FABA'!#REF!</definedName>
    <definedName name="Collect_Revenue" localSheetId="5">#REF!</definedName>
    <definedName name="Collect_Revenue">#REF!</definedName>
    <definedName name="DATA1" localSheetId="9">#REF!</definedName>
    <definedName name="DATA1" localSheetId="15">'SDGE Costs -CSEP'!#REF!</definedName>
    <definedName name="DATA1" localSheetId="13">#REF!</definedName>
    <definedName name="DATA1" localSheetId="14">'SDGE Costs -ELRP'!#REF!</definedName>
    <definedName name="DATA1" localSheetId="16">'SDGE Costs -FABA'!#REF!</definedName>
    <definedName name="DATA1">#REF!</definedName>
    <definedName name="DATA10" localSheetId="9">#REF!</definedName>
    <definedName name="DATA10" localSheetId="15">'SDGE Costs -CSEP'!#REF!</definedName>
    <definedName name="DATA10" localSheetId="13">#REF!</definedName>
    <definedName name="DATA10" localSheetId="14">'SDGE Costs -ELRP'!#REF!</definedName>
    <definedName name="DATA10" localSheetId="16">'SDGE Costs -FABA'!#REF!</definedName>
    <definedName name="DATA10">#REF!</definedName>
    <definedName name="DATA11" localSheetId="9">#REF!</definedName>
    <definedName name="DATA11" localSheetId="15">'SDGE Costs -CSEP'!#REF!</definedName>
    <definedName name="DATA11" localSheetId="13">#REF!</definedName>
    <definedName name="DATA11" localSheetId="14">'SDGE Costs -ELRP'!#REF!</definedName>
    <definedName name="DATA11" localSheetId="16">'SDGE Costs -FABA'!#REF!</definedName>
    <definedName name="DATA11">#REF!</definedName>
    <definedName name="DATA12" localSheetId="9">#REF!</definedName>
    <definedName name="DATA12" localSheetId="15">'SDGE Costs -CSEP'!#REF!</definedName>
    <definedName name="DATA12" localSheetId="13">#REF!</definedName>
    <definedName name="DATA12" localSheetId="14">'SDGE Costs -ELRP'!#REF!</definedName>
    <definedName name="DATA12" localSheetId="16">'SDGE Costs -FABA'!#REF!</definedName>
    <definedName name="DATA12">#REF!</definedName>
    <definedName name="DATA13" localSheetId="9">#REF!</definedName>
    <definedName name="DATA13" localSheetId="15">'SDGE Costs -CSEP'!#REF!</definedName>
    <definedName name="DATA13" localSheetId="13">#REF!</definedName>
    <definedName name="DATA13" localSheetId="14">'SDGE Costs -ELRP'!#REF!</definedName>
    <definedName name="DATA13" localSheetId="16">'SDGE Costs -FABA'!#REF!</definedName>
    <definedName name="DATA13">#REF!</definedName>
    <definedName name="DATA14" localSheetId="9">#REF!</definedName>
    <definedName name="DATA14" localSheetId="15">'SDGE Costs -CSEP'!#REF!</definedName>
    <definedName name="DATA14" localSheetId="13">#REF!</definedName>
    <definedName name="DATA14" localSheetId="14">'SDGE Costs -ELRP'!#REF!</definedName>
    <definedName name="DATA14" localSheetId="16">'SDGE Costs -FABA'!#REF!</definedName>
    <definedName name="DATA14">#REF!</definedName>
    <definedName name="DATA15" localSheetId="9">#REF!</definedName>
    <definedName name="DATA15" localSheetId="15">'SDGE Costs -CSEP'!#REF!</definedName>
    <definedName name="DATA15" localSheetId="13">#REF!</definedName>
    <definedName name="DATA15" localSheetId="14">'SDGE Costs -ELRP'!#REF!</definedName>
    <definedName name="DATA15" localSheetId="16">'SDGE Costs -FABA'!#REF!</definedName>
    <definedName name="DATA15">#REF!</definedName>
    <definedName name="DATA16" localSheetId="9">#REF!</definedName>
    <definedName name="DATA16" localSheetId="15">'SDGE Costs -CSEP'!#REF!</definedName>
    <definedName name="DATA16" localSheetId="13">#REF!</definedName>
    <definedName name="DATA16" localSheetId="14">'SDGE Costs -ELRP'!#REF!</definedName>
    <definedName name="DATA16" localSheetId="16">'SDGE Costs -FABA'!#REF!</definedName>
    <definedName name="DATA16">#REF!</definedName>
    <definedName name="DATA17" localSheetId="9">#REF!</definedName>
    <definedName name="DATA17" localSheetId="15">'SDGE Costs -CSEP'!#REF!</definedName>
    <definedName name="DATA17" localSheetId="13">#REF!</definedName>
    <definedName name="DATA17" localSheetId="14">'SDGE Costs -ELRP'!#REF!</definedName>
    <definedName name="DATA17" localSheetId="16">'SDGE Costs -FABA'!#REF!</definedName>
    <definedName name="DATA17">#REF!</definedName>
    <definedName name="DATA18" localSheetId="9">#REF!</definedName>
    <definedName name="DATA18" localSheetId="15">'SDGE Costs -CSEP'!#REF!</definedName>
    <definedName name="DATA18" localSheetId="13">#REF!</definedName>
    <definedName name="DATA18" localSheetId="14">'SDGE Costs -ELRP'!#REF!</definedName>
    <definedName name="DATA18" localSheetId="16">'SDGE Costs -FABA'!#REF!</definedName>
    <definedName name="DATA18">#REF!</definedName>
    <definedName name="DATA19" localSheetId="9">#REF!</definedName>
    <definedName name="DATA19" localSheetId="15">'SDGE Costs -CSEP'!#REF!</definedName>
    <definedName name="DATA19" localSheetId="13">#REF!</definedName>
    <definedName name="DATA19" localSheetId="14">'SDGE Costs -ELRP'!#REF!</definedName>
    <definedName name="DATA19" localSheetId="16">'SDGE Costs -FABA'!#REF!</definedName>
    <definedName name="DATA19">#REF!</definedName>
    <definedName name="DATA2" localSheetId="9">#REF!</definedName>
    <definedName name="DATA2" localSheetId="15">'SDGE Costs -CSEP'!#REF!</definedName>
    <definedName name="DATA2" localSheetId="13">#REF!</definedName>
    <definedName name="DATA2" localSheetId="14">'SDGE Costs -ELRP'!#REF!</definedName>
    <definedName name="DATA2" localSheetId="16">'SDGE Costs -FABA'!#REF!</definedName>
    <definedName name="DATA2">#REF!</definedName>
    <definedName name="DATA20" localSheetId="9">#REF!</definedName>
    <definedName name="DATA20" localSheetId="15">'SDGE Costs -CSEP'!#REF!</definedName>
    <definedName name="DATA20" localSheetId="13">#REF!</definedName>
    <definedName name="DATA20" localSheetId="14">'SDGE Costs -ELRP'!#REF!</definedName>
    <definedName name="DATA20" localSheetId="16">'SDGE Costs -FABA'!#REF!</definedName>
    <definedName name="DATA20">#REF!</definedName>
    <definedName name="DATA3" localSheetId="9">#REF!</definedName>
    <definedName name="DATA3" localSheetId="15">'SDGE Costs -CSEP'!#REF!</definedName>
    <definedName name="DATA3" localSheetId="13">#REF!</definedName>
    <definedName name="DATA3" localSheetId="14">'SDGE Costs -ELRP'!#REF!</definedName>
    <definedName name="DATA3" localSheetId="16">'SDGE Costs -FABA'!#REF!</definedName>
    <definedName name="DATA3">#REF!</definedName>
    <definedName name="DATA4" localSheetId="9">#REF!</definedName>
    <definedName name="DATA4" localSheetId="15">'SDGE Costs -CSEP'!#REF!</definedName>
    <definedName name="DATA4" localSheetId="13">#REF!</definedName>
    <definedName name="DATA4" localSheetId="14">'SDGE Costs -ELRP'!#REF!</definedName>
    <definedName name="DATA4" localSheetId="16">'SDGE Costs -FABA'!#REF!</definedName>
    <definedName name="DATA4">#REF!</definedName>
    <definedName name="DATA5" localSheetId="9">#REF!</definedName>
    <definedName name="DATA5" localSheetId="15">'SDGE Costs -CSEP'!#REF!</definedName>
    <definedName name="DATA5" localSheetId="13">#REF!</definedName>
    <definedName name="DATA5" localSheetId="14">'SDGE Costs -ELRP'!#REF!</definedName>
    <definedName name="DATA5" localSheetId="16">'SDGE Costs -FABA'!#REF!</definedName>
    <definedName name="DATA5">#REF!</definedName>
    <definedName name="data5000">'[1]ACTMA Detail'!$N$2:$N$102</definedName>
    <definedName name="DATA6" localSheetId="9">#REF!</definedName>
    <definedName name="DATA6" localSheetId="8">#REF!</definedName>
    <definedName name="DATA6" localSheetId="15">'SDGE Costs -CSEP'!#REF!</definedName>
    <definedName name="DATA6" localSheetId="13">#REF!</definedName>
    <definedName name="DATA6" localSheetId="14">'SDGE Costs -ELRP'!#REF!</definedName>
    <definedName name="DATA6" localSheetId="16">'SDGE Costs -FABA'!#REF!</definedName>
    <definedName name="DATA6">#REF!</definedName>
    <definedName name="DATA7" localSheetId="9">#REF!</definedName>
    <definedName name="DATA7" localSheetId="8">#REF!</definedName>
    <definedName name="DATA7" localSheetId="15">'SDGE Costs -CSEP'!#REF!</definedName>
    <definedName name="DATA7" localSheetId="13">#REF!</definedName>
    <definedName name="DATA7" localSheetId="14">'SDGE Costs -ELRP'!#REF!</definedName>
    <definedName name="DATA7" localSheetId="16">'SDGE Costs -FABA'!#REF!</definedName>
    <definedName name="DATA7">#REF!</definedName>
    <definedName name="DATA8" localSheetId="9">#REF!</definedName>
    <definedName name="DATA8" localSheetId="8">#REF!</definedName>
    <definedName name="DATA8" localSheetId="15">'SDGE Costs -CSEP'!#REF!</definedName>
    <definedName name="DATA8" localSheetId="13">#REF!</definedName>
    <definedName name="DATA8" localSheetId="14">'SDGE Costs -ELRP'!#REF!</definedName>
    <definedName name="DATA8" localSheetId="16">'SDGE Costs -FABA'!#REF!</definedName>
    <definedName name="DATA8">#REF!</definedName>
    <definedName name="DATA9" localSheetId="9">#REF!</definedName>
    <definedName name="DATA9" localSheetId="15">'SDGE Costs -CSEP'!#REF!</definedName>
    <definedName name="DATA9" localSheetId="13">#REF!</definedName>
    <definedName name="DATA9" localSheetId="14">'SDGE Costs -ELRP'!#REF!</definedName>
    <definedName name="DATA9" localSheetId="16">'SDGE Costs -FABA'!#REF!</definedName>
    <definedName name="DATA9">#REF!</definedName>
    <definedName name="DayTypeList" localSheetId="9">[2]LOOKUP!$E$2:$E$14</definedName>
    <definedName name="DayTypeList" localSheetId="11">[2]LOOKUP!$E$2:$E$14</definedName>
    <definedName name="DayTypeList" localSheetId="15">[2]LOOKUP!$E$2:$E$14</definedName>
    <definedName name="DayTypeList" localSheetId="13">[2]LOOKUP!$E$2:$E$14</definedName>
    <definedName name="DayTypeList" localSheetId="14">[2]LOOKUP!$E$2:$E$14</definedName>
    <definedName name="DayTypeList" localSheetId="16">[2]LOOKUP!$E$2:$E$14</definedName>
    <definedName name="DayTypeList" localSheetId="12">[2]LOOKUP!$E$2:$E$14</definedName>
    <definedName name="DayTypeList">[2]LOOKUP!$E$2:$E$14</definedName>
    <definedName name="Enhance_Delivery_Channels" localSheetId="9">#REF!</definedName>
    <definedName name="Enhance_Delivery_Channels" localSheetId="3">#REF!</definedName>
    <definedName name="Enhance_Delivery_Channels" localSheetId="4">#REF!</definedName>
    <definedName name="Enhance_Delivery_Channels" localSheetId="1">#REF!</definedName>
    <definedName name="Enhance_Delivery_Channels" localSheetId="15">'SDGE Costs -CSEP'!#REF!</definedName>
    <definedName name="Enhance_Delivery_Channels" localSheetId="13">#REF!</definedName>
    <definedName name="Enhance_Delivery_Channels" localSheetId="14">'SDGE Costs -ELRP'!#REF!</definedName>
    <definedName name="Enhance_Delivery_Channels" localSheetId="16">'SDGE Costs -FABA'!#REF!</definedName>
    <definedName name="Enhance_Delivery_Channels" localSheetId="5">#REF!</definedName>
    <definedName name="Enhance_Delivery_Channels">#REF!</definedName>
    <definedName name="Ethics_and_Compliance" localSheetId="9">#REF!</definedName>
    <definedName name="Ethics_and_Compliance" localSheetId="3">#REF!</definedName>
    <definedName name="Ethics_and_Compliance" localSheetId="4">#REF!</definedName>
    <definedName name="Ethics_and_Compliance" localSheetId="1">#REF!</definedName>
    <definedName name="Ethics_and_Compliance" localSheetId="15">'SDGE Costs -CSEP'!#REF!</definedName>
    <definedName name="Ethics_and_Compliance" localSheetId="13">#REF!</definedName>
    <definedName name="Ethics_and_Compliance" localSheetId="14">'SDGE Costs -ELRP'!#REF!</definedName>
    <definedName name="Ethics_and_Compliance" localSheetId="16">'SDGE Costs -FABA'!#REF!</definedName>
    <definedName name="Ethics_and_Compliance" localSheetId="5">#REF!</definedName>
    <definedName name="Ethics_and_Compliance">#REF!</definedName>
    <definedName name="Launch_Refine_Market" localSheetId="9">#REF!</definedName>
    <definedName name="Launch_Refine_Market" localSheetId="3">#REF!</definedName>
    <definedName name="Launch_Refine_Market" localSheetId="4">#REF!</definedName>
    <definedName name="Launch_Refine_Market" localSheetId="1">#REF!</definedName>
    <definedName name="Launch_Refine_Market" localSheetId="15">'SDGE Costs -CSEP'!#REF!</definedName>
    <definedName name="Launch_Refine_Market" localSheetId="13">#REF!</definedName>
    <definedName name="Launch_Refine_Market" localSheetId="14">'SDGE Costs -ELRP'!#REF!</definedName>
    <definedName name="Launch_Refine_Market" localSheetId="16">'SDGE Costs -FABA'!#REF!</definedName>
    <definedName name="Launch_Refine_Market" localSheetId="5">#REF!</definedName>
    <definedName name="Launch_Refine_Market">#REF!</definedName>
    <definedName name="Manage_AMI" localSheetId="9">#REF!</definedName>
    <definedName name="Manage_AMI" localSheetId="3">#REF!</definedName>
    <definedName name="Manage_AMI" localSheetId="4">#REF!</definedName>
    <definedName name="Manage_AMI" localSheetId="1">#REF!</definedName>
    <definedName name="Manage_AMI" localSheetId="15">'SDGE Costs -CSEP'!#REF!</definedName>
    <definedName name="Manage_AMI" localSheetId="13">#REF!</definedName>
    <definedName name="Manage_AMI" localSheetId="14">'SDGE Costs -ELRP'!#REF!</definedName>
    <definedName name="Manage_AMI" localSheetId="16">'SDGE Costs -FABA'!#REF!</definedName>
    <definedName name="Manage_AMI" localSheetId="5">#REF!</definedName>
    <definedName name="Manage_AMI">#REF!</definedName>
    <definedName name="Meet_Financial_Targets" localSheetId="9">#REF!</definedName>
    <definedName name="Meet_Financial_Targets" localSheetId="3">#REF!</definedName>
    <definedName name="Meet_Financial_Targets" localSheetId="4">#REF!</definedName>
    <definedName name="Meet_Financial_Targets" localSheetId="1">#REF!</definedName>
    <definedName name="Meet_Financial_Targets" localSheetId="15">'SDGE Costs -CSEP'!#REF!</definedName>
    <definedName name="Meet_Financial_Targets" localSheetId="13">#REF!</definedName>
    <definedName name="Meet_Financial_Targets" localSheetId="14">'SDGE Costs -ELRP'!#REF!</definedName>
    <definedName name="Meet_Financial_Targets" localSheetId="16">'SDGE Costs -FABA'!#REF!</definedName>
    <definedName name="Meet_Financial_Targets" localSheetId="5">#REF!</definedName>
    <definedName name="Meet_Financial_Targets">#REF!</definedName>
    <definedName name="nnnnnn">'[1]ACTMA Detail'!$P$2:$P$102</definedName>
    <definedName name="_xlnm.Print_Area" localSheetId="7">'Auto DR (TI) &amp; Tech Deployment'!$A$1:$M$44</definedName>
    <definedName name="_xlnm.Print_Area" localSheetId="9">'DRP Expenditures'!$A$1:$Z$68</definedName>
    <definedName name="_xlnm.Print_Area" localSheetId="3">'Ex ante LI &amp; Eligibility Stats'!$A$1:$O$19</definedName>
    <definedName name="_xlnm.Print_Area" localSheetId="4">'Ex post LI &amp; Eligibility Stats'!$A$1:$O$31</definedName>
    <definedName name="_xlnm.Print_Area" localSheetId="10">'Fund Shift Log'!$A$1:$E$23</definedName>
    <definedName name="_xlnm.Print_Area" localSheetId="8">Marketing!$A$1:$Q$41</definedName>
    <definedName name="_xlnm.Print_Area" localSheetId="1">'Program MW '!$A$1:$S$57</definedName>
    <definedName name="_xlnm.Print_Area" localSheetId="15">'SDGE Costs -CSEP'!$A$2:$N$38</definedName>
    <definedName name="_xlnm.Print_Area" localSheetId="13">'SDGE Costs -DPDRMA'!$A$2:$N$45</definedName>
    <definedName name="_xlnm.Print_Area" localSheetId="14">'SDGE Costs -ELRP'!$A$2:$N$38</definedName>
    <definedName name="_xlnm.Print_Area" localSheetId="16">'SDGE Costs -FABA'!$A$2:$N$38</definedName>
    <definedName name="_xlnm.Print_Area" localSheetId="12">'SDGE Costs -GRC '!$A$1:$N$34</definedName>
    <definedName name="Reliability_Expectations" localSheetId="9">#REF!</definedName>
    <definedName name="Reliability_Expectations" localSheetId="3">#REF!</definedName>
    <definedName name="Reliability_Expectations" localSheetId="4">#REF!</definedName>
    <definedName name="Reliability_Expectations" localSheetId="8">#REF!</definedName>
    <definedName name="Reliability_Expectations" localSheetId="1">#REF!</definedName>
    <definedName name="Reliability_Expectations" localSheetId="15">'SDGE Costs -CSEP'!#REF!</definedName>
    <definedName name="Reliability_Expectations" localSheetId="13">#REF!</definedName>
    <definedName name="Reliability_Expectations" localSheetId="14">'SDGE Costs -ELRP'!#REF!</definedName>
    <definedName name="Reliability_Expectations" localSheetId="16">'SDGE Costs -FABA'!#REF!</definedName>
    <definedName name="Reliability_Expectations" localSheetId="5">#REF!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9">#REF!</definedName>
    <definedName name="Stabilization_Customer_Base" localSheetId="3">#REF!</definedName>
    <definedName name="Stabilization_Customer_Base" localSheetId="4">#REF!</definedName>
    <definedName name="Stabilization_Customer_Base" localSheetId="8">#REF!</definedName>
    <definedName name="Stabilization_Customer_Base" localSheetId="1">#REF!</definedName>
    <definedName name="Stabilization_Customer_Base" localSheetId="15">'SDGE Costs -CSEP'!#REF!</definedName>
    <definedName name="Stabilization_Customer_Base" localSheetId="13">#REF!</definedName>
    <definedName name="Stabilization_Customer_Base" localSheetId="14">'SDGE Costs -ELRP'!#REF!</definedName>
    <definedName name="Stabilization_Customer_Base" localSheetId="16">'SDGE Costs -FABA'!#REF!</definedName>
    <definedName name="Stabilization_Customer_Base" localSheetId="5">#REF!</definedName>
    <definedName name="Stabilization_Customer_Base">#REF!</definedName>
    <definedName name="TEST0" localSheetId="9">#REF!</definedName>
    <definedName name="TEST0" localSheetId="8">#REF!</definedName>
    <definedName name="TEST0" localSheetId="15">'SDGE Costs -CSEP'!#REF!</definedName>
    <definedName name="TEST0" localSheetId="13">#REF!</definedName>
    <definedName name="TEST0" localSheetId="14">'SDGE Costs -ELRP'!#REF!</definedName>
    <definedName name="TEST0" localSheetId="16">'SDGE Costs -FABA'!#REF!</definedName>
    <definedName name="TEST0">#REF!</definedName>
    <definedName name="TEST1" localSheetId="9">#REF!</definedName>
    <definedName name="TEST1" localSheetId="15">'SDGE Costs -CSEP'!#REF!</definedName>
    <definedName name="TEST1" localSheetId="13">#REF!</definedName>
    <definedName name="TEST1" localSheetId="14">'SDGE Costs -ELRP'!#REF!</definedName>
    <definedName name="TEST1" localSheetId="16">'SDGE Costs -FABA'!#REF!</definedName>
    <definedName name="TEST1">#REF!</definedName>
    <definedName name="TEST10" localSheetId="9">#REF!</definedName>
    <definedName name="TEST10" localSheetId="15">'SDGE Costs -CSEP'!#REF!</definedName>
    <definedName name="TEST10" localSheetId="13">#REF!</definedName>
    <definedName name="TEST10" localSheetId="14">'SDGE Costs -ELRP'!#REF!</definedName>
    <definedName name="TEST10" localSheetId="16">'SDGE Costs -FABA'!#REF!</definedName>
    <definedName name="TEST10">#REF!</definedName>
    <definedName name="TEST11" localSheetId="9">#REF!</definedName>
    <definedName name="TEST11" localSheetId="15">'SDGE Costs -CSEP'!#REF!</definedName>
    <definedName name="TEST11" localSheetId="13">#REF!</definedName>
    <definedName name="TEST11" localSheetId="14">'SDGE Costs -ELRP'!#REF!</definedName>
    <definedName name="TEST11" localSheetId="16">'SDGE Costs -FABA'!#REF!</definedName>
    <definedName name="TEST11">#REF!</definedName>
    <definedName name="TEST12" localSheetId="9">#REF!</definedName>
    <definedName name="TEST12" localSheetId="15">'SDGE Costs -CSEP'!#REF!</definedName>
    <definedName name="TEST12" localSheetId="13">#REF!</definedName>
    <definedName name="TEST12" localSheetId="14">'SDGE Costs -ELRP'!#REF!</definedName>
    <definedName name="TEST12" localSheetId="16">'SDGE Costs -FABA'!#REF!</definedName>
    <definedName name="TEST12">#REF!</definedName>
    <definedName name="TEST13" localSheetId="9">#REF!</definedName>
    <definedName name="TEST13" localSheetId="15">'SDGE Costs -CSEP'!#REF!</definedName>
    <definedName name="TEST13" localSheetId="13">#REF!</definedName>
    <definedName name="TEST13" localSheetId="14">'SDGE Costs -ELRP'!#REF!</definedName>
    <definedName name="TEST13" localSheetId="16">'SDGE Costs -FABA'!#REF!</definedName>
    <definedName name="TEST13">#REF!</definedName>
    <definedName name="TEST14" localSheetId="9">#REF!</definedName>
    <definedName name="TEST14" localSheetId="15">'SDGE Costs -CSEP'!#REF!</definedName>
    <definedName name="TEST14" localSheetId="13">#REF!</definedName>
    <definedName name="TEST14" localSheetId="14">'SDGE Costs -ELRP'!#REF!</definedName>
    <definedName name="TEST14" localSheetId="16">'SDGE Costs -FABA'!#REF!</definedName>
    <definedName name="TEST14">#REF!</definedName>
    <definedName name="TEST15" localSheetId="9">#REF!</definedName>
    <definedName name="TEST15" localSheetId="15">'SDGE Costs -CSEP'!#REF!</definedName>
    <definedName name="TEST15" localSheetId="13">#REF!</definedName>
    <definedName name="TEST15" localSheetId="14">'SDGE Costs -ELRP'!#REF!</definedName>
    <definedName name="TEST15" localSheetId="16">'SDGE Costs -FABA'!#REF!</definedName>
    <definedName name="TEST15">#REF!</definedName>
    <definedName name="TEST16" localSheetId="9">#REF!</definedName>
    <definedName name="TEST16" localSheetId="15">'SDGE Costs -CSEP'!#REF!</definedName>
    <definedName name="TEST16" localSheetId="13">#REF!</definedName>
    <definedName name="TEST16" localSheetId="14">'SDGE Costs -ELRP'!#REF!</definedName>
    <definedName name="TEST16" localSheetId="16">'SDGE Costs -FABA'!#REF!</definedName>
    <definedName name="TEST16">#REF!</definedName>
    <definedName name="TEST17" localSheetId="9">#REF!</definedName>
    <definedName name="TEST17" localSheetId="15">'SDGE Costs -CSEP'!#REF!</definedName>
    <definedName name="TEST17" localSheetId="13">#REF!</definedName>
    <definedName name="TEST17" localSheetId="14">'SDGE Costs -ELRP'!#REF!</definedName>
    <definedName name="TEST17" localSheetId="16">'SDGE Costs -FABA'!#REF!</definedName>
    <definedName name="TEST17">#REF!</definedName>
    <definedName name="TEST18" localSheetId="9">#REF!</definedName>
    <definedName name="TEST18" localSheetId="15">'SDGE Costs -CSEP'!#REF!</definedName>
    <definedName name="TEST18" localSheetId="13">#REF!</definedName>
    <definedName name="TEST18" localSheetId="14">'SDGE Costs -ELRP'!#REF!</definedName>
    <definedName name="TEST18" localSheetId="16">'SDGE Costs -FABA'!#REF!</definedName>
    <definedName name="TEST18">#REF!</definedName>
    <definedName name="TEST19" localSheetId="9">#REF!</definedName>
    <definedName name="TEST19" localSheetId="15">'SDGE Costs -CSEP'!#REF!</definedName>
    <definedName name="TEST19" localSheetId="13">#REF!</definedName>
    <definedName name="TEST19" localSheetId="14">'SDGE Costs -ELRP'!#REF!</definedName>
    <definedName name="TEST19" localSheetId="16">'SDGE Costs -FABA'!#REF!</definedName>
    <definedName name="TEST19">#REF!</definedName>
    <definedName name="TEST2" localSheetId="9">#REF!</definedName>
    <definedName name="TEST2" localSheetId="15">'SDGE Costs -CSEP'!#REF!</definedName>
    <definedName name="TEST2" localSheetId="13">#REF!</definedName>
    <definedName name="TEST2" localSheetId="14">'SDGE Costs -ELRP'!#REF!</definedName>
    <definedName name="TEST2" localSheetId="16">'SDGE Costs -FABA'!#REF!</definedName>
    <definedName name="TEST2">#REF!</definedName>
    <definedName name="TEST20" localSheetId="9">#REF!</definedName>
    <definedName name="TEST20" localSheetId="15">'SDGE Costs -CSEP'!#REF!</definedName>
    <definedName name="TEST20" localSheetId="13">#REF!</definedName>
    <definedName name="TEST20" localSheetId="14">'SDGE Costs -ELRP'!#REF!</definedName>
    <definedName name="TEST20" localSheetId="16">'SDGE Costs -FABA'!#REF!</definedName>
    <definedName name="TEST20">#REF!</definedName>
    <definedName name="TEST21" localSheetId="9">#REF!</definedName>
    <definedName name="TEST21" localSheetId="15">'SDGE Costs -CSEP'!#REF!</definedName>
    <definedName name="TEST21" localSheetId="13">#REF!</definedName>
    <definedName name="TEST21" localSheetId="14">'SDGE Costs -ELRP'!#REF!</definedName>
    <definedName name="TEST21" localSheetId="16">'SDGE Costs -FABA'!#REF!</definedName>
    <definedName name="TEST21">#REF!</definedName>
    <definedName name="TEST22" localSheetId="9">#REF!</definedName>
    <definedName name="TEST22" localSheetId="15">'SDGE Costs -CSEP'!#REF!</definedName>
    <definedName name="TEST22" localSheetId="13">#REF!</definedName>
    <definedName name="TEST22" localSheetId="14">'SDGE Costs -ELRP'!#REF!</definedName>
    <definedName name="TEST22" localSheetId="16">'SDGE Costs -FABA'!#REF!</definedName>
    <definedName name="TEST22">#REF!</definedName>
    <definedName name="TEST23" localSheetId="9">#REF!</definedName>
    <definedName name="TEST23" localSheetId="15">'SDGE Costs -CSEP'!#REF!</definedName>
    <definedName name="TEST23" localSheetId="13">#REF!</definedName>
    <definedName name="TEST23" localSheetId="14">'SDGE Costs -ELRP'!#REF!</definedName>
    <definedName name="TEST23" localSheetId="16">'SDGE Costs -FABA'!#REF!</definedName>
    <definedName name="TEST23">#REF!</definedName>
    <definedName name="TEST24" localSheetId="9">#REF!</definedName>
    <definedName name="TEST24" localSheetId="15">'SDGE Costs -CSEP'!#REF!</definedName>
    <definedName name="TEST24" localSheetId="13">#REF!</definedName>
    <definedName name="TEST24" localSheetId="14">'SDGE Costs -ELRP'!#REF!</definedName>
    <definedName name="TEST24" localSheetId="16">'SDGE Costs -FABA'!#REF!</definedName>
    <definedName name="TEST24">#REF!</definedName>
    <definedName name="TEST25" localSheetId="9">#REF!</definedName>
    <definedName name="TEST25" localSheetId="15">'SDGE Costs -CSEP'!#REF!</definedName>
    <definedName name="TEST25" localSheetId="13">#REF!</definedName>
    <definedName name="TEST25" localSheetId="14">'SDGE Costs -ELRP'!#REF!</definedName>
    <definedName name="TEST25" localSheetId="16">'SDGE Costs -FABA'!#REF!</definedName>
    <definedName name="TEST25">#REF!</definedName>
    <definedName name="TEST26" localSheetId="9">#REF!</definedName>
    <definedName name="TEST26" localSheetId="15">'SDGE Costs -CSEP'!#REF!</definedName>
    <definedName name="TEST26" localSheetId="13">#REF!</definedName>
    <definedName name="TEST26" localSheetId="14">'SDGE Costs -ELRP'!#REF!</definedName>
    <definedName name="TEST26" localSheetId="16">'SDGE Costs -FABA'!#REF!</definedName>
    <definedName name="TEST26">#REF!</definedName>
    <definedName name="TEST27" localSheetId="9">#REF!</definedName>
    <definedName name="TEST27" localSheetId="15">'SDGE Costs -CSEP'!#REF!</definedName>
    <definedName name="TEST27" localSheetId="13">#REF!</definedName>
    <definedName name="TEST27" localSheetId="14">'SDGE Costs -ELRP'!#REF!</definedName>
    <definedName name="TEST27" localSheetId="16">'SDGE Costs -FABA'!#REF!</definedName>
    <definedName name="TEST27">#REF!</definedName>
    <definedName name="TEST28" localSheetId="9">#REF!</definedName>
    <definedName name="TEST28" localSheetId="15">'SDGE Costs -CSEP'!#REF!</definedName>
    <definedName name="TEST28" localSheetId="13">#REF!</definedName>
    <definedName name="TEST28" localSheetId="14">'SDGE Costs -ELRP'!#REF!</definedName>
    <definedName name="TEST28" localSheetId="16">'SDGE Costs -FABA'!#REF!</definedName>
    <definedName name="TEST28">#REF!</definedName>
    <definedName name="TEST3" localSheetId="9">#REF!</definedName>
    <definedName name="TEST3" localSheetId="15">'SDGE Costs -CSEP'!#REF!</definedName>
    <definedName name="TEST3" localSheetId="13">#REF!</definedName>
    <definedName name="TEST3" localSheetId="14">'SDGE Costs -ELRP'!#REF!</definedName>
    <definedName name="TEST3" localSheetId="16">'SDGE Costs -FABA'!#REF!</definedName>
    <definedName name="TEST3">#REF!</definedName>
    <definedName name="TEST4" localSheetId="9">#REF!</definedName>
    <definedName name="TEST4" localSheetId="15">'SDGE Costs -CSEP'!#REF!</definedName>
    <definedName name="TEST4" localSheetId="13">#REF!</definedName>
    <definedName name="TEST4" localSheetId="14">'SDGE Costs -ELRP'!#REF!</definedName>
    <definedName name="TEST4" localSheetId="16">'SDGE Costs -FABA'!#REF!</definedName>
    <definedName name="TEST4">#REF!</definedName>
    <definedName name="TEST5" localSheetId="9">#REF!</definedName>
    <definedName name="TEST5" localSheetId="15">'SDGE Costs -CSEP'!#REF!</definedName>
    <definedName name="TEST5" localSheetId="13">#REF!</definedName>
    <definedName name="TEST5" localSheetId="14">'SDGE Costs -ELRP'!#REF!</definedName>
    <definedName name="TEST5" localSheetId="16">'SDGE Costs -FABA'!#REF!</definedName>
    <definedName name="TEST5">#REF!</definedName>
    <definedName name="TEST6" localSheetId="9">#REF!</definedName>
    <definedName name="TEST6" localSheetId="15">'SDGE Costs -CSEP'!#REF!</definedName>
    <definedName name="TEST6" localSheetId="13">#REF!</definedName>
    <definedName name="TEST6" localSheetId="14">'SDGE Costs -ELRP'!#REF!</definedName>
    <definedName name="TEST6" localSheetId="16">'SDGE Costs -FABA'!#REF!</definedName>
    <definedName name="TEST6">#REF!</definedName>
    <definedName name="TEST7" localSheetId="9">#REF!</definedName>
    <definedName name="TEST7" localSheetId="15">'SDGE Costs -CSEP'!#REF!</definedName>
    <definedName name="TEST7" localSheetId="13">#REF!</definedName>
    <definedName name="TEST7" localSheetId="14">'SDGE Costs -ELRP'!#REF!</definedName>
    <definedName name="TEST7" localSheetId="16">'SDGE Costs -FABA'!#REF!</definedName>
    <definedName name="TEST7">#REF!</definedName>
    <definedName name="TEST8" localSheetId="9">#REF!</definedName>
    <definedName name="TEST8" localSheetId="15">'SDGE Costs -CSEP'!#REF!</definedName>
    <definedName name="TEST8" localSheetId="13">#REF!</definedName>
    <definedName name="TEST8" localSheetId="14">'SDGE Costs -ELRP'!#REF!</definedName>
    <definedName name="TEST8" localSheetId="16">'SDGE Costs -FABA'!#REF!</definedName>
    <definedName name="TEST8">#REF!</definedName>
    <definedName name="TEST9" localSheetId="9">#REF!</definedName>
    <definedName name="TEST9" localSheetId="15">'SDGE Costs -CSEP'!#REF!</definedName>
    <definedName name="TEST9" localSheetId="13">#REF!</definedName>
    <definedName name="TEST9" localSheetId="14">'SDGE Costs -ELRP'!#REF!</definedName>
    <definedName name="TEST9" localSheetId="16">'SDGE Costs -FABA'!#REF!</definedName>
    <definedName name="TEST9">#REF!</definedName>
    <definedName name="TESTHKEY" localSheetId="9">#REF!</definedName>
    <definedName name="TESTHKEY" localSheetId="15">'SDGE Costs -CSEP'!#REF!</definedName>
    <definedName name="TESTHKEY" localSheetId="13">#REF!</definedName>
    <definedName name="TESTHKEY" localSheetId="14">'SDGE Costs -ELRP'!#REF!</definedName>
    <definedName name="TESTHKEY" localSheetId="16">'SDGE Costs -FABA'!#REF!</definedName>
    <definedName name="TESTHKEY">#REF!</definedName>
    <definedName name="TESTKEYS" localSheetId="9">#REF!</definedName>
    <definedName name="TESTKEYS" localSheetId="15">'SDGE Costs -CSEP'!#REF!</definedName>
    <definedName name="TESTKEYS" localSheetId="13">#REF!</definedName>
    <definedName name="TESTKEYS" localSheetId="14">'SDGE Costs -ELRP'!#REF!</definedName>
    <definedName name="TESTKEYS" localSheetId="16">'SDGE Costs -FABA'!#REF!</definedName>
    <definedName name="TESTKEYS">#REF!</definedName>
    <definedName name="TESTVKEY" localSheetId="9">#REF!</definedName>
    <definedName name="TESTVKEY" localSheetId="15">'SDGE Costs -CSEP'!#REF!</definedName>
    <definedName name="TESTVKEY" localSheetId="13">#REF!</definedName>
    <definedName name="TESTVKEY" localSheetId="14">'SDGE Costs -ELRP'!#REF!</definedName>
    <definedName name="TESTVKEY" localSheetId="16">'SDGE Costs -FABA'!#REF!</definedName>
    <definedName name="TESTVKEY">#REF!</definedName>
    <definedName name="Valued_Service_Provider" localSheetId="9">#REF!</definedName>
    <definedName name="Valued_Service_Provider" localSheetId="3">#REF!</definedName>
    <definedName name="Valued_Service_Provider" localSheetId="4">#REF!</definedName>
    <definedName name="Valued_Service_Provider" localSheetId="1">#REF!</definedName>
    <definedName name="Valued_Service_Provider" localSheetId="15">'SDGE Costs -CSEP'!#REF!</definedName>
    <definedName name="Valued_Service_Provider" localSheetId="13">#REF!</definedName>
    <definedName name="Valued_Service_Provider" localSheetId="14">'SDGE Costs -ELRP'!#REF!</definedName>
    <definedName name="Valued_Service_Provider" localSheetId="16">'SDGE Costs -FABA'!#REF!</definedName>
    <definedName name="Valued_Service_Provider" localSheetId="5">#REF!</definedName>
    <definedName name="Valued_Service_Provider">#REF!</definedName>
    <definedName name="Voice_of_Customer" localSheetId="9">#REF!</definedName>
    <definedName name="Voice_of_Customer" localSheetId="3">#REF!</definedName>
    <definedName name="Voice_of_Customer" localSheetId="4">#REF!</definedName>
    <definedName name="Voice_of_Customer" localSheetId="1">#REF!</definedName>
    <definedName name="Voice_of_Customer" localSheetId="15">'SDGE Costs -CSEP'!#REF!</definedName>
    <definedName name="Voice_of_Customer" localSheetId="13">#REF!</definedName>
    <definedName name="Voice_of_Customer" localSheetId="14">'SDGE Costs -ELRP'!#REF!</definedName>
    <definedName name="Voice_of_Customer" localSheetId="16">'SDGE Costs -FABA'!#REF!</definedName>
    <definedName name="Voice_of_Customer" localSheetId="5">#REF!</definedName>
    <definedName name="Voice_of_Customer">#REF!</definedName>
    <definedName name="Z_E5DF83AA_DC53_4EBF_A523_33DA0FE284E8_.wvu.PrintArea" localSheetId="4" hidden="1">'Ex post LI &amp; Eligibility Stats'!$A$2:$O$28</definedName>
    <definedName name="Z_E5DF83AA_DC53_4EBF_A523_33DA0FE284E8_.wvu.PrintArea" localSheetId="1" hidden="1">'Program MW '!$A$1:$Z$49</definedName>
    <definedName name="Z_E5DF83AA_DC53_4EBF_A523_33DA0FE284E8_.wvu.PrintArea" localSheetId="5" hidden="1">'TA-TI Distribution@'!#REF!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2" i="117" l="1"/>
  <c r="L42" i="117"/>
  <c r="K42" i="117"/>
  <c r="J42" i="117"/>
  <c r="I42" i="117"/>
  <c r="H42" i="117"/>
  <c r="G42" i="117"/>
  <c r="F42" i="117"/>
  <c r="E42" i="117"/>
  <c r="N50" i="119"/>
  <c r="N49" i="119"/>
  <c r="N48" i="119"/>
  <c r="P47" i="117"/>
  <c r="P46" i="117"/>
  <c r="P45" i="117"/>
  <c r="P29" i="117"/>
  <c r="P14" i="117"/>
  <c r="O28" i="134"/>
  <c r="O30" i="134"/>
  <c r="O22" i="134"/>
  <c r="N35" i="134"/>
  <c r="O35" i="117"/>
  <c r="M33" i="140"/>
  <c r="L33" i="140"/>
  <c r="K33" i="140"/>
  <c r="C33" i="140"/>
  <c r="D33" i="140"/>
  <c r="E33" i="140"/>
  <c r="F33" i="140"/>
  <c r="G33" i="140"/>
  <c r="H33" i="140"/>
  <c r="I33" i="140"/>
  <c r="J33" i="140"/>
  <c r="B33" i="140"/>
  <c r="O12" i="134" l="1"/>
  <c r="O19" i="134"/>
  <c r="O18" i="134"/>
  <c r="O17" i="134" l="1"/>
  <c r="O23" i="134"/>
  <c r="N21" i="134" l="1"/>
  <c r="O21" i="134" s="1"/>
  <c r="N31" i="140"/>
  <c r="M29" i="140"/>
  <c r="L29" i="140"/>
  <c r="K29" i="140"/>
  <c r="J29" i="140"/>
  <c r="I29" i="140"/>
  <c r="H29" i="140"/>
  <c r="G29" i="140"/>
  <c r="F29" i="140"/>
  <c r="E29" i="140"/>
  <c r="D29" i="140"/>
  <c r="C29" i="140"/>
  <c r="B29" i="140"/>
  <c r="N29" i="140" s="1"/>
  <c r="N28" i="140"/>
  <c r="M25" i="140"/>
  <c r="L25" i="140"/>
  <c r="L32" i="140" s="1"/>
  <c r="K25" i="140"/>
  <c r="J25" i="140"/>
  <c r="I25" i="140"/>
  <c r="H25" i="140"/>
  <c r="G25" i="140"/>
  <c r="F25" i="140"/>
  <c r="E25" i="140"/>
  <c r="D25" i="140"/>
  <c r="D32" i="140" s="1"/>
  <c r="C25" i="140"/>
  <c r="B25" i="140"/>
  <c r="N25" i="140" s="1"/>
  <c r="N24" i="140"/>
  <c r="M21" i="140"/>
  <c r="L21" i="140"/>
  <c r="K21" i="140"/>
  <c r="J21" i="140"/>
  <c r="I21" i="140"/>
  <c r="H21" i="140"/>
  <c r="G21" i="140"/>
  <c r="F21" i="140"/>
  <c r="E21" i="140"/>
  <c r="D21" i="140"/>
  <c r="C21" i="140"/>
  <c r="B21" i="140"/>
  <c r="N21" i="140" s="1"/>
  <c r="N20" i="140"/>
  <c r="N19" i="140"/>
  <c r="N18" i="140"/>
  <c r="N17" i="140"/>
  <c r="M14" i="140"/>
  <c r="M32" i="140" s="1"/>
  <c r="L14" i="140"/>
  <c r="K14" i="140"/>
  <c r="K32" i="140" s="1"/>
  <c r="J14" i="140"/>
  <c r="J32" i="140" s="1"/>
  <c r="I14" i="140"/>
  <c r="I32" i="140" s="1"/>
  <c r="H14" i="140"/>
  <c r="G14" i="140"/>
  <c r="G32" i="140" s="1"/>
  <c r="F14" i="140"/>
  <c r="F32" i="140" s="1"/>
  <c r="E14" i="140"/>
  <c r="E32" i="140" s="1"/>
  <c r="D14" i="140"/>
  <c r="C14" i="140"/>
  <c r="C32" i="140" s="1"/>
  <c r="B14" i="140"/>
  <c r="N13" i="140"/>
  <c r="N12" i="140"/>
  <c r="O46" i="117"/>
  <c r="H32" i="140" l="1"/>
  <c r="N14" i="140"/>
  <c r="B32" i="140"/>
  <c r="N33" i="140" l="1"/>
  <c r="N32" i="140"/>
  <c r="O37" i="117" l="1"/>
  <c r="O36" i="117"/>
  <c r="O33" i="117"/>
  <c r="O15" i="117"/>
  <c r="M34" i="131" l="1"/>
  <c r="M33" i="131"/>
  <c r="M36" i="131"/>
  <c r="M23" i="131"/>
  <c r="M22" i="131"/>
  <c r="M24" i="131"/>
  <c r="M25" i="131"/>
  <c r="M33" i="138"/>
  <c r="M37" i="129"/>
  <c r="M40" i="131" l="1"/>
  <c r="M13" i="131"/>
  <c r="L33" i="138" l="1"/>
  <c r="L37" i="129"/>
  <c r="L36" i="131" l="1"/>
  <c r="L34" i="131"/>
  <c r="L23" i="131"/>
  <c r="L24" i="131"/>
  <c r="L13" i="131"/>
  <c r="K34" i="131"/>
  <c r="K36" i="131"/>
  <c r="K23" i="131"/>
  <c r="K24" i="131"/>
  <c r="K33" i="138" l="1"/>
  <c r="K37" i="129"/>
  <c r="J13" i="131" l="1"/>
  <c r="C4" i="57"/>
  <c r="J33" i="138" l="1"/>
  <c r="J34" i="131" l="1"/>
  <c r="J36" i="131"/>
  <c r="J23" i="131"/>
  <c r="J24" i="131"/>
  <c r="I13" i="131"/>
  <c r="N31" i="138"/>
  <c r="N27" i="138"/>
  <c r="B29" i="138"/>
  <c r="C29" i="138"/>
  <c r="D29" i="138"/>
  <c r="E29" i="138"/>
  <c r="F29" i="138"/>
  <c r="G29" i="138"/>
  <c r="H29" i="138"/>
  <c r="I29" i="138"/>
  <c r="J29" i="138"/>
  <c r="K29" i="138"/>
  <c r="L29" i="138"/>
  <c r="M29" i="138"/>
  <c r="N23" i="138"/>
  <c r="B24" i="138"/>
  <c r="C24" i="138"/>
  <c r="D24" i="138"/>
  <c r="E24" i="138"/>
  <c r="F24" i="138"/>
  <c r="G24" i="138"/>
  <c r="H24" i="138"/>
  <c r="I24" i="138"/>
  <c r="J24" i="138"/>
  <c r="K24" i="138"/>
  <c r="L24" i="138"/>
  <c r="M24" i="138"/>
  <c r="N12" i="138"/>
  <c r="B13" i="138"/>
  <c r="C13" i="138"/>
  <c r="D13" i="138"/>
  <c r="E13" i="138"/>
  <c r="F13" i="138"/>
  <c r="G13" i="138"/>
  <c r="H13" i="138"/>
  <c r="I13" i="138"/>
  <c r="J13" i="138"/>
  <c r="K13" i="138"/>
  <c r="L13" i="138"/>
  <c r="M13" i="138"/>
  <c r="N16" i="138"/>
  <c r="N17" i="138"/>
  <c r="N18" i="138"/>
  <c r="N19" i="138"/>
  <c r="B20" i="138"/>
  <c r="C20" i="138"/>
  <c r="C32" i="138" s="1"/>
  <c r="C33" i="138" s="1"/>
  <c r="D20" i="138"/>
  <c r="D32" i="138" s="1"/>
  <c r="D33" i="138" s="1"/>
  <c r="E20" i="138"/>
  <c r="F20" i="138"/>
  <c r="G20" i="138"/>
  <c r="G32" i="138" s="1"/>
  <c r="G33" i="138" s="1"/>
  <c r="H20" i="138"/>
  <c r="H32" i="138" s="1"/>
  <c r="H33" i="138" s="1"/>
  <c r="I20" i="138"/>
  <c r="J20" i="138"/>
  <c r="K20" i="138"/>
  <c r="L20" i="138"/>
  <c r="M20" i="138"/>
  <c r="E5" i="138"/>
  <c r="N21" i="119"/>
  <c r="N35" i="117"/>
  <c r="R35" i="117" s="1"/>
  <c r="I24" i="134"/>
  <c r="I34" i="131"/>
  <c r="I36" i="131"/>
  <c r="I23" i="131"/>
  <c r="I24" i="131"/>
  <c r="N31" i="137"/>
  <c r="N27" i="137"/>
  <c r="B29" i="137"/>
  <c r="C29" i="137"/>
  <c r="D29" i="137"/>
  <c r="E29" i="137"/>
  <c r="F29" i="137"/>
  <c r="G29" i="137"/>
  <c r="H29" i="137"/>
  <c r="I29" i="137"/>
  <c r="J29" i="137"/>
  <c r="K29" i="137"/>
  <c r="L29" i="137"/>
  <c r="M29" i="137"/>
  <c r="N23" i="137"/>
  <c r="B24" i="137"/>
  <c r="C24" i="137"/>
  <c r="D24" i="137"/>
  <c r="E24" i="137"/>
  <c r="F24" i="137"/>
  <c r="G24" i="137"/>
  <c r="H24" i="137"/>
  <c r="I24" i="137"/>
  <c r="J24" i="137"/>
  <c r="K24" i="137"/>
  <c r="L24" i="137"/>
  <c r="M24" i="137"/>
  <c r="N12" i="137"/>
  <c r="B13" i="137"/>
  <c r="C13" i="137"/>
  <c r="D13" i="137"/>
  <c r="E13" i="137"/>
  <c r="F13" i="137"/>
  <c r="G13" i="137"/>
  <c r="H13" i="137"/>
  <c r="I13" i="137"/>
  <c r="J13" i="137"/>
  <c r="K13" i="137"/>
  <c r="L13" i="137"/>
  <c r="M13" i="137"/>
  <c r="N16" i="137"/>
  <c r="N17" i="137"/>
  <c r="N18" i="137"/>
  <c r="N19" i="137"/>
  <c r="B20" i="137"/>
  <c r="C20" i="137"/>
  <c r="D20" i="137"/>
  <c r="E20" i="137"/>
  <c r="F20" i="137"/>
  <c r="G20" i="137"/>
  <c r="H20" i="137"/>
  <c r="I20" i="137"/>
  <c r="J20" i="137"/>
  <c r="K20" i="137"/>
  <c r="L20" i="137"/>
  <c r="M20" i="137"/>
  <c r="E5" i="137"/>
  <c r="H24" i="134"/>
  <c r="H36" i="131"/>
  <c r="H23" i="131"/>
  <c r="H24" i="131"/>
  <c r="L32" i="138" l="1"/>
  <c r="K32" i="138"/>
  <c r="N24" i="137"/>
  <c r="I32" i="137"/>
  <c r="I33" i="137" s="1"/>
  <c r="E32" i="137"/>
  <c r="E33" i="137" s="1"/>
  <c r="L32" i="137"/>
  <c r="L33" i="137" s="1"/>
  <c r="H32" i="137"/>
  <c r="H33" i="137" s="1"/>
  <c r="D32" i="137"/>
  <c r="D33" i="137" s="1"/>
  <c r="N29" i="137"/>
  <c r="N20" i="137"/>
  <c r="K32" i="137"/>
  <c r="K33" i="137" s="1"/>
  <c r="G32" i="137"/>
  <c r="G33" i="137" s="1"/>
  <c r="M32" i="137"/>
  <c r="M33" i="137" s="1"/>
  <c r="J32" i="137"/>
  <c r="J33" i="137" s="1"/>
  <c r="F32" i="137"/>
  <c r="F33" i="137" s="1"/>
  <c r="B32" i="137"/>
  <c r="N13" i="138"/>
  <c r="J32" i="138"/>
  <c r="F32" i="138"/>
  <c r="F33" i="138" s="1"/>
  <c r="B32" i="138"/>
  <c r="N24" i="138"/>
  <c r="M32" i="138"/>
  <c r="I32" i="138"/>
  <c r="I33" i="138" s="1"/>
  <c r="E32" i="138"/>
  <c r="E33" i="138" s="1"/>
  <c r="N29" i="138"/>
  <c r="B33" i="138"/>
  <c r="N33" i="138" s="1"/>
  <c r="N20" i="138"/>
  <c r="N13" i="137"/>
  <c r="B33" i="137"/>
  <c r="C32" i="137"/>
  <c r="C33" i="137" s="1"/>
  <c r="G37" i="129"/>
  <c r="G32" i="134"/>
  <c r="N32" i="138" l="1"/>
  <c r="N33" i="137"/>
  <c r="N32" i="137"/>
  <c r="G36" i="131"/>
  <c r="G34" i="131"/>
  <c r="G23" i="131"/>
  <c r="G24" i="131"/>
  <c r="F13" i="131"/>
  <c r="F37" i="129"/>
  <c r="N47" i="119"/>
  <c r="F36" i="131" l="1"/>
  <c r="F34" i="131"/>
  <c r="F23" i="131"/>
  <c r="F24" i="131"/>
  <c r="E37" i="129" l="1"/>
  <c r="E36" i="131"/>
  <c r="E39" i="131"/>
  <c r="E34" i="131"/>
  <c r="E23" i="131"/>
  <c r="E24" i="131"/>
  <c r="D16" i="129"/>
  <c r="D13" i="129"/>
  <c r="D27" i="119"/>
  <c r="D26" i="119"/>
  <c r="D25" i="119"/>
  <c r="D23" i="119"/>
  <c r="D19" i="119"/>
  <c r="D22" i="119"/>
  <c r="D44" i="119"/>
  <c r="D17" i="119"/>
  <c r="D16" i="119"/>
  <c r="D43" i="119"/>
  <c r="D15" i="119"/>
  <c r="D13" i="119"/>
  <c r="D11" i="119"/>
  <c r="D40" i="119"/>
  <c r="D39" i="119"/>
  <c r="D10" i="119"/>
  <c r="D38" i="119"/>
  <c r="D9" i="119"/>
  <c r="D36" i="131" l="1"/>
  <c r="D34" i="131"/>
  <c r="D23" i="131"/>
  <c r="C37" i="129" l="1"/>
  <c r="C36" i="131"/>
  <c r="C34" i="131"/>
  <c r="C38" i="131"/>
  <c r="C39" i="131"/>
  <c r="C24" i="131"/>
  <c r="C23" i="131"/>
  <c r="B17" i="29" l="1"/>
  <c r="F22" i="33" l="1"/>
  <c r="H33" i="129" l="1"/>
  <c r="B37" i="129" l="1"/>
  <c r="Q11" i="134" l="1"/>
  <c r="B39" i="131" l="1"/>
  <c r="B36" i="131"/>
  <c r="B34" i="131"/>
  <c r="B24" i="131"/>
  <c r="B23" i="131"/>
  <c r="O19" i="35" l="1"/>
  <c r="N19" i="35"/>
  <c r="O18" i="35"/>
  <c r="N18" i="35"/>
  <c r="O17" i="35"/>
  <c r="N17" i="35"/>
  <c r="O16" i="35"/>
  <c r="N16" i="35"/>
  <c r="O15" i="35"/>
  <c r="N15" i="35"/>
  <c r="O14" i="35"/>
  <c r="N14" i="35"/>
  <c r="O13" i="35"/>
  <c r="N13" i="35"/>
  <c r="O12" i="35"/>
  <c r="N12" i="35"/>
  <c r="O11" i="35"/>
  <c r="N11" i="35"/>
  <c r="O10" i="35"/>
  <c r="N10" i="35"/>
  <c r="O9" i="35"/>
  <c r="N9" i="35"/>
  <c r="C35" i="119" l="1"/>
  <c r="D35" i="119"/>
  <c r="E35" i="119"/>
  <c r="F35" i="119"/>
  <c r="G35" i="119"/>
  <c r="H35" i="119"/>
  <c r="I35" i="119"/>
  <c r="J35" i="119"/>
  <c r="K35" i="119"/>
  <c r="L35" i="119"/>
  <c r="M35" i="119"/>
  <c r="M32" i="134" l="1"/>
  <c r="O37" i="33" l="1"/>
  <c r="K13" i="131" l="1"/>
  <c r="N12" i="134"/>
  <c r="N13" i="134"/>
  <c r="N14" i="134"/>
  <c r="O14" i="134" s="1"/>
  <c r="N15" i="134"/>
  <c r="O15" i="134" s="1"/>
  <c r="N16" i="134"/>
  <c r="O16" i="134" s="1"/>
  <c r="N17" i="134"/>
  <c r="N18" i="134"/>
  <c r="N19" i="134"/>
  <c r="N20" i="134"/>
  <c r="O20" i="134" s="1"/>
  <c r="N22" i="134"/>
  <c r="N23" i="134"/>
  <c r="N11" i="134"/>
  <c r="O11" i="134" s="1"/>
  <c r="O24" i="134" l="1"/>
  <c r="N24" i="134"/>
  <c r="I41" i="33" l="1"/>
  <c r="J39" i="134" l="1"/>
  <c r="N10" i="119" l="1"/>
  <c r="N11" i="119"/>
  <c r="N12" i="119"/>
  <c r="N13" i="119"/>
  <c r="N14" i="119"/>
  <c r="N15" i="119"/>
  <c r="N16" i="119"/>
  <c r="N17" i="119"/>
  <c r="N18" i="119"/>
  <c r="N19" i="119"/>
  <c r="N20" i="119"/>
  <c r="N22" i="119"/>
  <c r="N23" i="119"/>
  <c r="N24" i="119"/>
  <c r="N25" i="119"/>
  <c r="N26" i="119"/>
  <c r="N27" i="119"/>
  <c r="N28" i="119"/>
  <c r="N29" i="119"/>
  <c r="N30" i="119"/>
  <c r="N31" i="119"/>
  <c r="N32" i="119"/>
  <c r="N33" i="119"/>
  <c r="N34" i="119"/>
  <c r="N38" i="119"/>
  <c r="N39" i="119"/>
  <c r="N40" i="119"/>
  <c r="N41" i="119"/>
  <c r="N42" i="119"/>
  <c r="N43" i="119"/>
  <c r="N44" i="119"/>
  <c r="N45" i="119"/>
  <c r="N46" i="119"/>
  <c r="L30" i="117"/>
  <c r="K30" i="117"/>
  <c r="J30" i="117"/>
  <c r="P49" i="117" l="1"/>
  <c r="O13" i="134" l="1"/>
  <c r="S45" i="33" l="1"/>
  <c r="R45" i="33"/>
  <c r="S44" i="33"/>
  <c r="R44" i="33"/>
  <c r="S43" i="33"/>
  <c r="R43" i="33"/>
  <c r="S42" i="33"/>
  <c r="R42" i="33"/>
  <c r="S41" i="33"/>
  <c r="R41" i="33"/>
  <c r="S40" i="33"/>
  <c r="R40" i="33"/>
  <c r="S39" i="33"/>
  <c r="R39" i="33"/>
  <c r="S38" i="33"/>
  <c r="R38" i="33"/>
  <c r="S37" i="33"/>
  <c r="R37" i="33"/>
  <c r="S34" i="33"/>
  <c r="R34" i="33"/>
  <c r="P45" i="33"/>
  <c r="O45" i="33"/>
  <c r="P44" i="33"/>
  <c r="O44" i="33"/>
  <c r="P43" i="33"/>
  <c r="O43" i="33"/>
  <c r="P42" i="33"/>
  <c r="O42" i="33"/>
  <c r="P41" i="33"/>
  <c r="O41" i="33"/>
  <c r="P40" i="33"/>
  <c r="O40" i="33"/>
  <c r="P39" i="33"/>
  <c r="O39" i="33"/>
  <c r="P38" i="33"/>
  <c r="L33" i="131" s="1"/>
  <c r="O38" i="33"/>
  <c r="P37" i="33"/>
  <c r="P34" i="33"/>
  <c r="O34" i="33"/>
  <c r="M45" i="33"/>
  <c r="L45" i="33"/>
  <c r="M44" i="33"/>
  <c r="L44" i="33"/>
  <c r="M43" i="33"/>
  <c r="L43" i="33"/>
  <c r="M42" i="33"/>
  <c r="L42" i="33"/>
  <c r="M41" i="33"/>
  <c r="L41" i="33"/>
  <c r="M40" i="33"/>
  <c r="L40" i="33"/>
  <c r="M39" i="33"/>
  <c r="L39" i="33"/>
  <c r="M38" i="33"/>
  <c r="K33" i="131" s="1"/>
  <c r="L38" i="33"/>
  <c r="M37" i="33"/>
  <c r="L37" i="33"/>
  <c r="M34" i="33"/>
  <c r="L34" i="33"/>
  <c r="J45" i="33"/>
  <c r="I45" i="33"/>
  <c r="J44" i="33"/>
  <c r="I44" i="33"/>
  <c r="J43" i="33"/>
  <c r="I43" i="33"/>
  <c r="J42" i="33"/>
  <c r="I42" i="33"/>
  <c r="J41" i="33"/>
  <c r="J40" i="33"/>
  <c r="I40" i="33"/>
  <c r="J39" i="33"/>
  <c r="I39" i="33"/>
  <c r="J38" i="33"/>
  <c r="J33" i="131" s="1"/>
  <c r="I38" i="33"/>
  <c r="J37" i="33"/>
  <c r="I37" i="33"/>
  <c r="J22" i="131" s="1"/>
  <c r="J34" i="33"/>
  <c r="I34" i="33"/>
  <c r="S31" i="33"/>
  <c r="R31" i="33"/>
  <c r="P31" i="33"/>
  <c r="O31" i="33"/>
  <c r="M31" i="33"/>
  <c r="L31" i="33"/>
  <c r="J31" i="33"/>
  <c r="I31" i="33"/>
  <c r="F31" i="33"/>
  <c r="C31" i="33"/>
  <c r="G31" i="33"/>
  <c r="L25" i="131" l="1"/>
  <c r="L22" i="131"/>
  <c r="K22" i="131"/>
  <c r="K25" i="131" s="1"/>
  <c r="J40" i="131"/>
  <c r="J25" i="131"/>
  <c r="L40" i="131"/>
  <c r="K40" i="131"/>
  <c r="G45" i="33"/>
  <c r="F45" i="33"/>
  <c r="G44" i="33"/>
  <c r="F44" i="33"/>
  <c r="G43" i="33"/>
  <c r="F43" i="33"/>
  <c r="G42" i="33"/>
  <c r="F42" i="33"/>
  <c r="G41" i="33"/>
  <c r="F41" i="33"/>
  <c r="G40" i="33"/>
  <c r="F40" i="33"/>
  <c r="G39" i="33"/>
  <c r="F39" i="33"/>
  <c r="G38" i="33"/>
  <c r="I33" i="131" s="1"/>
  <c r="F38" i="33"/>
  <c r="G37" i="33"/>
  <c r="F37" i="33"/>
  <c r="G34" i="33"/>
  <c r="F34" i="33"/>
  <c r="D37" i="33"/>
  <c r="D38" i="33"/>
  <c r="H33" i="131" s="1"/>
  <c r="D39" i="33"/>
  <c r="D40" i="33"/>
  <c r="D41" i="33"/>
  <c r="D42" i="33"/>
  <c r="D43" i="33"/>
  <c r="D44" i="33"/>
  <c r="D45" i="33"/>
  <c r="C37" i="33"/>
  <c r="C38" i="33"/>
  <c r="C39" i="33"/>
  <c r="C40" i="33"/>
  <c r="C41" i="33"/>
  <c r="C42" i="33"/>
  <c r="C43" i="33"/>
  <c r="C44" i="33"/>
  <c r="C45" i="33"/>
  <c r="D34" i="33"/>
  <c r="C34" i="33"/>
  <c r="D31" i="33"/>
  <c r="H22" i="131" l="1"/>
  <c r="I22" i="131"/>
  <c r="I25" i="131" s="1"/>
  <c r="S46" i="33"/>
  <c r="R46" i="33"/>
  <c r="S32" i="33"/>
  <c r="R32" i="33"/>
  <c r="P46" i="33"/>
  <c r="O46" i="33"/>
  <c r="P32" i="33"/>
  <c r="O32" i="33"/>
  <c r="L46" i="33"/>
  <c r="M32" i="33"/>
  <c r="L32" i="33"/>
  <c r="J46" i="33"/>
  <c r="J32" i="33"/>
  <c r="I32" i="33"/>
  <c r="F46" i="33"/>
  <c r="G32" i="33"/>
  <c r="F32" i="33"/>
  <c r="D46" i="33"/>
  <c r="D32" i="33"/>
  <c r="C32" i="33"/>
  <c r="R47" i="33" l="1"/>
  <c r="S47" i="33"/>
  <c r="O47" i="33"/>
  <c r="G46" i="33"/>
  <c r="G47" i="33" s="1"/>
  <c r="M46" i="33"/>
  <c r="M47" i="33" s="1"/>
  <c r="C46" i="33"/>
  <c r="C47" i="33" s="1"/>
  <c r="I46" i="33"/>
  <c r="I47" i="33" s="1"/>
  <c r="P47" i="33"/>
  <c r="L47" i="33"/>
  <c r="J47" i="33"/>
  <c r="F47" i="33"/>
  <c r="D47" i="33"/>
  <c r="N13" i="129" l="1"/>
  <c r="N14" i="129"/>
  <c r="N15" i="129"/>
  <c r="N16" i="129"/>
  <c r="S22" i="33" l="1"/>
  <c r="R22" i="33"/>
  <c r="S21" i="33"/>
  <c r="R21" i="33"/>
  <c r="S20" i="33"/>
  <c r="R20" i="33"/>
  <c r="S19" i="33"/>
  <c r="R19" i="33"/>
  <c r="S18" i="33"/>
  <c r="R18" i="33"/>
  <c r="S17" i="33"/>
  <c r="R17" i="33"/>
  <c r="S16" i="33"/>
  <c r="R16" i="33"/>
  <c r="S15" i="33"/>
  <c r="G33" i="131" s="1"/>
  <c r="R15" i="33"/>
  <c r="S14" i="33"/>
  <c r="G22" i="131" s="1"/>
  <c r="R14" i="33"/>
  <c r="S12" i="33"/>
  <c r="R12" i="33"/>
  <c r="S9" i="33"/>
  <c r="S10" i="33" s="1"/>
  <c r="R9" i="33"/>
  <c r="R10" i="33" s="1"/>
  <c r="G24" i="134" l="1"/>
  <c r="N15" i="117" l="1"/>
  <c r="N14" i="117"/>
  <c r="O14" i="117" s="1"/>
  <c r="N13" i="117"/>
  <c r="O13" i="117" s="1"/>
  <c r="N12" i="117"/>
  <c r="O12" i="117" s="1"/>
  <c r="D24" i="131" l="1"/>
  <c r="P9" i="33" l="1"/>
  <c r="O9" i="33"/>
  <c r="P22" i="33" l="1"/>
  <c r="O22" i="33"/>
  <c r="P21" i="33"/>
  <c r="O21" i="33"/>
  <c r="P20" i="33"/>
  <c r="O20" i="33"/>
  <c r="P19" i="33"/>
  <c r="O19" i="33"/>
  <c r="P18" i="33"/>
  <c r="O18" i="33"/>
  <c r="P17" i="33"/>
  <c r="O17" i="33"/>
  <c r="P16" i="33"/>
  <c r="O16" i="33"/>
  <c r="P15" i="33"/>
  <c r="O15" i="33"/>
  <c r="P14" i="33"/>
  <c r="O14" i="33"/>
  <c r="P12" i="33"/>
  <c r="O12" i="33"/>
  <c r="F33" i="131" l="1"/>
  <c r="F40" i="131" s="1"/>
  <c r="F22" i="131"/>
  <c r="F25" i="131" s="1"/>
  <c r="N23" i="33"/>
  <c r="F24" i="134" l="1"/>
  <c r="I40" i="131" l="1"/>
  <c r="H40" i="131"/>
  <c r="G40" i="131"/>
  <c r="P10" i="33"/>
  <c r="M22" i="33" l="1"/>
  <c r="L22" i="33"/>
  <c r="M21" i="33"/>
  <c r="L21" i="33"/>
  <c r="M20" i="33"/>
  <c r="L20" i="33"/>
  <c r="M19" i="33"/>
  <c r="L19" i="33"/>
  <c r="M18" i="33"/>
  <c r="L18" i="33"/>
  <c r="M17" i="33"/>
  <c r="L17" i="33"/>
  <c r="M16" i="33"/>
  <c r="L16" i="33"/>
  <c r="M15" i="33"/>
  <c r="E33" i="131" s="1"/>
  <c r="L15" i="33"/>
  <c r="M14" i="33"/>
  <c r="E22" i="131" s="1"/>
  <c r="E25" i="131" s="1"/>
  <c r="L14" i="33"/>
  <c r="M12" i="33"/>
  <c r="L12" i="33"/>
  <c r="M9" i="33"/>
  <c r="M10" i="33" s="1"/>
  <c r="L9" i="33"/>
  <c r="L10" i="33" s="1"/>
  <c r="M23" i="33" l="1"/>
  <c r="M24" i="33" s="1"/>
  <c r="L23" i="33"/>
  <c r="L24" i="33" s="1"/>
  <c r="D39" i="131" l="1"/>
  <c r="J22" i="33" l="1"/>
  <c r="J21" i="33"/>
  <c r="J20" i="33"/>
  <c r="J19" i="33"/>
  <c r="J18" i="33"/>
  <c r="J17" i="33"/>
  <c r="J16" i="33"/>
  <c r="J15" i="33"/>
  <c r="D33" i="131" s="1"/>
  <c r="J14" i="33"/>
  <c r="D22" i="131" s="1"/>
  <c r="D25" i="131" s="1"/>
  <c r="J12" i="33"/>
  <c r="J9" i="33"/>
  <c r="I22" i="33"/>
  <c r="I21" i="33"/>
  <c r="I20" i="33"/>
  <c r="I19" i="33"/>
  <c r="I18" i="33"/>
  <c r="I17" i="33"/>
  <c r="I16" i="33"/>
  <c r="I15" i="33"/>
  <c r="I14" i="33"/>
  <c r="I12" i="33"/>
  <c r="I9" i="33"/>
  <c r="D24" i="134" l="1"/>
  <c r="B38" i="131" l="1"/>
  <c r="D17" i="33" l="1"/>
  <c r="C14" i="33"/>
  <c r="D16" i="33"/>
  <c r="M50" i="119" l="1"/>
  <c r="L50" i="119"/>
  <c r="K50" i="119"/>
  <c r="J50" i="119"/>
  <c r="I50" i="119"/>
  <c r="H50" i="119"/>
  <c r="G50" i="119"/>
  <c r="F50" i="119"/>
  <c r="E50" i="119"/>
  <c r="D50" i="119"/>
  <c r="C50" i="119"/>
  <c r="B50" i="119"/>
  <c r="B24" i="134"/>
  <c r="N38" i="134" l="1"/>
  <c r="O38" i="134" s="1"/>
  <c r="N37" i="134"/>
  <c r="O37" i="134" s="1"/>
  <c r="N36" i="134"/>
  <c r="O36" i="134" s="1"/>
  <c r="O35" i="134"/>
  <c r="N31" i="134"/>
  <c r="O31" i="134" s="1"/>
  <c r="N30" i="134"/>
  <c r="N29" i="134"/>
  <c r="O29" i="134" s="1"/>
  <c r="N28" i="134"/>
  <c r="N27" i="134"/>
  <c r="O27" i="134" s="1"/>
  <c r="N39" i="134" l="1"/>
  <c r="N32" i="134"/>
  <c r="N29" i="117" l="1"/>
  <c r="O29" i="117" s="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N8" i="35" l="1"/>
  <c r="E23" i="33"/>
  <c r="C32" i="134"/>
  <c r="C16" i="33"/>
  <c r="H9" i="136" s="1"/>
  <c r="C17" i="33"/>
  <c r="H10" i="136" s="1"/>
  <c r="H7" i="136"/>
  <c r="E32" i="33"/>
  <c r="C15" i="33"/>
  <c r="H8" i="136" s="1"/>
  <c r="B35" i="119"/>
  <c r="B51" i="119" s="1"/>
  <c r="B53" i="119" s="1"/>
  <c r="Q15" i="134"/>
  <c r="Q24" i="134" s="1"/>
  <c r="P30" i="117"/>
  <c r="P16" i="117"/>
  <c r="B20" i="117"/>
  <c r="C20" i="117"/>
  <c r="D20" i="117"/>
  <c r="E20" i="117"/>
  <c r="F20" i="117"/>
  <c r="G20" i="117"/>
  <c r="H20" i="117"/>
  <c r="I20" i="117"/>
  <c r="J20" i="117"/>
  <c r="K20" i="117"/>
  <c r="L20" i="117"/>
  <c r="M20" i="117"/>
  <c r="N48" i="117"/>
  <c r="O48" i="117" s="1"/>
  <c r="N34" i="117"/>
  <c r="O34" i="117" s="1"/>
  <c r="N33" i="117"/>
  <c r="N36" i="117"/>
  <c r="N37" i="117"/>
  <c r="P38" i="117"/>
  <c r="N19" i="117"/>
  <c r="N11" i="117"/>
  <c r="F15" i="33"/>
  <c r="G15" i="33"/>
  <c r="F16" i="33"/>
  <c r="G16" i="33"/>
  <c r="F17" i="33"/>
  <c r="G17" i="33"/>
  <c r="F18" i="33"/>
  <c r="D37" i="131" s="1"/>
  <c r="F19" i="33"/>
  <c r="D38" i="131" s="1"/>
  <c r="G18" i="33"/>
  <c r="E37" i="131" s="1"/>
  <c r="G19" i="33"/>
  <c r="E38" i="131" s="1"/>
  <c r="D14" i="33"/>
  <c r="B22" i="131" s="1"/>
  <c r="F14" i="33"/>
  <c r="H20" i="136" s="1"/>
  <c r="G14" i="33"/>
  <c r="C22" i="131" s="1"/>
  <c r="H33" i="136"/>
  <c r="H46" i="136"/>
  <c r="M17" i="129"/>
  <c r="M24" i="129"/>
  <c r="M28" i="129"/>
  <c r="M33" i="129"/>
  <c r="B33" i="129"/>
  <c r="C33" i="129"/>
  <c r="D33" i="129"/>
  <c r="E33" i="129"/>
  <c r="F33" i="129"/>
  <c r="G33" i="129"/>
  <c r="I33" i="129"/>
  <c r="J33" i="129"/>
  <c r="K33" i="129"/>
  <c r="L33" i="129"/>
  <c r="N47" i="117"/>
  <c r="O47" i="117" s="1"/>
  <c r="N46" i="117"/>
  <c r="N45" i="117"/>
  <c r="O45" i="117" s="1"/>
  <c r="H120" i="136"/>
  <c r="K16" i="117"/>
  <c r="H107" i="136"/>
  <c r="N9" i="119"/>
  <c r="N35" i="119" s="1"/>
  <c r="B17" i="129"/>
  <c r="B24" i="129"/>
  <c r="B28" i="129"/>
  <c r="C24" i="129"/>
  <c r="D24" i="129"/>
  <c r="E24" i="129"/>
  <c r="F24" i="129"/>
  <c r="G24" i="129"/>
  <c r="H24" i="129"/>
  <c r="I24" i="129"/>
  <c r="J24" i="129"/>
  <c r="K24" i="129"/>
  <c r="L24" i="129"/>
  <c r="D17" i="129"/>
  <c r="D28" i="129"/>
  <c r="F17" i="129"/>
  <c r="F28" i="129"/>
  <c r="L17" i="129"/>
  <c r="L28" i="129"/>
  <c r="N20" i="129"/>
  <c r="Q49" i="117"/>
  <c r="Q16" i="117"/>
  <c r="G13" i="131"/>
  <c r="E13" i="131"/>
  <c r="G49" i="117"/>
  <c r="G38" i="117"/>
  <c r="G30" i="117"/>
  <c r="G24" i="117"/>
  <c r="G16" i="117"/>
  <c r="D13" i="131"/>
  <c r="D39" i="134"/>
  <c r="C13" i="131"/>
  <c r="M16" i="117"/>
  <c r="L16" i="117"/>
  <c r="J16" i="117"/>
  <c r="I16" i="117"/>
  <c r="H16" i="117"/>
  <c r="F16" i="117"/>
  <c r="E16" i="117"/>
  <c r="D16" i="117"/>
  <c r="C16" i="117"/>
  <c r="P42" i="117"/>
  <c r="P24" i="117"/>
  <c r="P20" i="117"/>
  <c r="Q20" i="117"/>
  <c r="P39" i="134"/>
  <c r="M39" i="134"/>
  <c r="L39" i="134"/>
  <c r="K39" i="134"/>
  <c r="I39" i="134"/>
  <c r="H39" i="134"/>
  <c r="G39" i="134"/>
  <c r="F39" i="134"/>
  <c r="E39" i="134"/>
  <c r="C39" i="134"/>
  <c r="B39" i="134"/>
  <c r="L32" i="134"/>
  <c r="K32" i="134"/>
  <c r="J32" i="134"/>
  <c r="I32" i="134"/>
  <c r="H32" i="134"/>
  <c r="F32" i="134"/>
  <c r="E32" i="134"/>
  <c r="D32" i="134"/>
  <c r="B32" i="134"/>
  <c r="M24" i="134"/>
  <c r="L24" i="134"/>
  <c r="K24" i="134"/>
  <c r="J24" i="134"/>
  <c r="E24" i="134"/>
  <c r="C24" i="134"/>
  <c r="M49" i="117"/>
  <c r="L49" i="117"/>
  <c r="K49" i="117"/>
  <c r="B49" i="117"/>
  <c r="B42" i="117"/>
  <c r="B38" i="117"/>
  <c r="B30" i="117"/>
  <c r="B24" i="117"/>
  <c r="B16" i="117"/>
  <c r="C49" i="117"/>
  <c r="D49" i="117"/>
  <c r="E49" i="117"/>
  <c r="F49" i="117"/>
  <c r="F38" i="117"/>
  <c r="F30" i="117"/>
  <c r="F24" i="117"/>
  <c r="H49" i="117"/>
  <c r="I49" i="117"/>
  <c r="J49" i="117"/>
  <c r="J38" i="117"/>
  <c r="J24" i="117"/>
  <c r="R15" i="117"/>
  <c r="H73" i="136"/>
  <c r="H68" i="136"/>
  <c r="H72" i="136"/>
  <c r="H74" i="136"/>
  <c r="H75" i="136"/>
  <c r="H76" i="136"/>
  <c r="H77" i="136"/>
  <c r="H78" i="136"/>
  <c r="H79" i="136"/>
  <c r="D15" i="33"/>
  <c r="B33" i="131" s="1"/>
  <c r="D32" i="131"/>
  <c r="F32" i="131" s="1"/>
  <c r="H32" i="131" s="1"/>
  <c r="J32" i="131" s="1"/>
  <c r="C32" i="131"/>
  <c r="E32" i="131" s="1"/>
  <c r="G32" i="131" s="1"/>
  <c r="M32" i="131"/>
  <c r="C18" i="33"/>
  <c r="H11" i="136" s="1"/>
  <c r="D18" i="33"/>
  <c r="D21" i="131"/>
  <c r="F21" i="131" s="1"/>
  <c r="H21" i="131" s="1"/>
  <c r="J21" i="131" s="1"/>
  <c r="L21" i="131" s="1"/>
  <c r="C21" i="131"/>
  <c r="E21" i="131" s="1"/>
  <c r="G21" i="131" s="1"/>
  <c r="I21" i="131" s="1"/>
  <c r="K21" i="131" s="1"/>
  <c r="M21" i="131" s="1"/>
  <c r="C4" i="134"/>
  <c r="L24" i="117"/>
  <c r="E28" i="129"/>
  <c r="E17" i="129"/>
  <c r="I38" i="117"/>
  <c r="I30" i="117"/>
  <c r="I24" i="117"/>
  <c r="H38" i="117"/>
  <c r="H30" i="117"/>
  <c r="H24" i="117"/>
  <c r="D42" i="117"/>
  <c r="D38" i="117"/>
  <c r="D30" i="117"/>
  <c r="D24" i="117"/>
  <c r="C42" i="117"/>
  <c r="C38" i="117"/>
  <c r="C30" i="117"/>
  <c r="C24" i="117"/>
  <c r="E38" i="117"/>
  <c r="E30" i="117"/>
  <c r="E24" i="117"/>
  <c r="G4" i="117"/>
  <c r="N23" i="117"/>
  <c r="O23" i="117" s="1"/>
  <c r="K24" i="117"/>
  <c r="M24" i="117"/>
  <c r="Q24" i="117"/>
  <c r="N27" i="117"/>
  <c r="O27" i="117" s="1"/>
  <c r="N28" i="117"/>
  <c r="O28" i="117" s="1"/>
  <c r="M30" i="117"/>
  <c r="Q30" i="117"/>
  <c r="K38" i="117"/>
  <c r="L38" i="117"/>
  <c r="M38" i="117"/>
  <c r="Q38" i="117"/>
  <c r="N41" i="117"/>
  <c r="O41" i="117" s="1"/>
  <c r="Q42" i="117"/>
  <c r="D9" i="33"/>
  <c r="D10" i="33" s="1"/>
  <c r="D12" i="33"/>
  <c r="D19" i="33"/>
  <c r="D21" i="33"/>
  <c r="D22"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I51" i="119"/>
  <c r="I53" i="119" s="1"/>
  <c r="E3" i="119"/>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P42" i="36" s="1"/>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O7" i="36"/>
  <c r="L7" i="36"/>
  <c r="K7" i="36"/>
  <c r="H7" i="36"/>
  <c r="D7" i="36"/>
  <c r="C7" i="36"/>
  <c r="C15" i="36" s="1"/>
  <c r="U6" i="36"/>
  <c r="U5" i="36"/>
  <c r="Q6" i="36"/>
  <c r="Q5" i="36"/>
  <c r="M6" i="36"/>
  <c r="M5" i="36"/>
  <c r="I6" i="36"/>
  <c r="E6" i="36"/>
  <c r="E5" i="36"/>
  <c r="I5" i="36"/>
  <c r="H3" i="35"/>
  <c r="H3" i="34"/>
  <c r="Q46" i="33"/>
  <c r="Q32" i="33"/>
  <c r="N46" i="33"/>
  <c r="K46" i="33"/>
  <c r="K32" i="33"/>
  <c r="H46" i="33"/>
  <c r="E46" i="33"/>
  <c r="B46" i="33"/>
  <c r="B32" i="33"/>
  <c r="H146" i="136"/>
  <c r="H25" i="131"/>
  <c r="H133" i="136"/>
  <c r="H94" i="136"/>
  <c r="N32" i="33"/>
  <c r="H32" i="33"/>
  <c r="C27" i="33"/>
  <c r="Q23" i="33"/>
  <c r="Q10" i="33"/>
  <c r="K23" i="33"/>
  <c r="H23" i="33"/>
  <c r="H66" i="136"/>
  <c r="H53" i="136"/>
  <c r="H40" i="136"/>
  <c r="G22" i="33"/>
  <c r="H27" i="136"/>
  <c r="C22" i="33"/>
  <c r="H14" i="136" s="1"/>
  <c r="G21" i="33"/>
  <c r="F21" i="33"/>
  <c r="B23" i="33"/>
  <c r="B10" i="33"/>
  <c r="C19" i="33"/>
  <c r="H12" i="136" s="1"/>
  <c r="G25" i="131"/>
  <c r="H59" i="136"/>
  <c r="H55" i="136"/>
  <c r="H42" i="136"/>
  <c r="H29" i="136"/>
  <c r="G12" i="33"/>
  <c r="F12" i="33"/>
  <c r="H16" i="136" s="1"/>
  <c r="C12" i="33"/>
  <c r="H3" i="136" s="1"/>
  <c r="N10" i="33"/>
  <c r="K10" i="33"/>
  <c r="H10" i="33"/>
  <c r="E10" i="33"/>
  <c r="J10" i="33"/>
  <c r="G9" i="33"/>
  <c r="G10" i="33" s="1"/>
  <c r="F9" i="33"/>
  <c r="C9" i="33"/>
  <c r="C21" i="33"/>
  <c r="H13" i="136" s="1"/>
  <c r="F4" i="33"/>
  <c r="D4" i="33"/>
  <c r="D27" i="33" s="1"/>
  <c r="N16" i="117" l="1"/>
  <c r="O11" i="117"/>
  <c r="R11" i="117" s="1"/>
  <c r="E40" i="131"/>
  <c r="P15" i="36"/>
  <c r="Q51" i="117"/>
  <c r="O19" i="117"/>
  <c r="O20" i="117" s="1"/>
  <c r="N20" i="117"/>
  <c r="N49" i="117"/>
  <c r="O24" i="117"/>
  <c r="R24" i="117" s="1"/>
  <c r="N24" i="117"/>
  <c r="N51" i="119"/>
  <c r="P51" i="117"/>
  <c r="N24" i="33"/>
  <c r="D40" i="131"/>
  <c r="H147" i="136"/>
  <c r="H134" i="136"/>
  <c r="H82" i="136"/>
  <c r="H121" i="136"/>
  <c r="H108" i="136"/>
  <c r="H95" i="136"/>
  <c r="G147" i="136"/>
  <c r="G134" i="136"/>
  <c r="G121" i="136"/>
  <c r="G108" i="136"/>
  <c r="G95" i="136"/>
  <c r="G82" i="136"/>
  <c r="C25" i="131"/>
  <c r="C33" i="131"/>
  <c r="C40" i="131" s="1"/>
  <c r="N47" i="33"/>
  <c r="H85" i="136"/>
  <c r="D42" i="36"/>
  <c r="B51" i="117"/>
  <c r="R33" i="117"/>
  <c r="R28" i="117"/>
  <c r="R34" i="117"/>
  <c r="R27" i="117"/>
  <c r="R13" i="117"/>
  <c r="R37" i="117"/>
  <c r="R48" i="117"/>
  <c r="R46" i="117"/>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7" i="33"/>
  <c r="H132" i="136"/>
  <c r="C10" i="33"/>
  <c r="H2" i="136"/>
  <c r="H67" i="136"/>
  <c r="H80" i="136"/>
  <c r="F10" i="33"/>
  <c r="H15" i="136"/>
  <c r="H41" i="136"/>
  <c r="I10" i="33"/>
  <c r="H28" i="136"/>
  <c r="O10" i="33"/>
  <c r="H54" i="136"/>
  <c r="H119" i="136"/>
  <c r="H106" i="136"/>
  <c r="H93" i="136"/>
  <c r="H145" i="136"/>
  <c r="D36" i="129"/>
  <c r="D37" i="129" s="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1" i="117"/>
  <c r="L15" i="36"/>
  <c r="E24" i="33"/>
  <c r="Q33" i="36"/>
  <c r="Q42" i="36" s="1"/>
  <c r="H15" i="36"/>
  <c r="X15" i="36"/>
  <c r="G15" i="36"/>
  <c r="C51" i="119"/>
  <c r="C53" i="119" s="1"/>
  <c r="Y13" i="36"/>
  <c r="E33" i="36"/>
  <c r="E42" i="36" s="1"/>
  <c r="F51" i="119"/>
  <c r="F53" i="119" s="1"/>
  <c r="D15" i="36"/>
  <c r="O15" i="36"/>
  <c r="L31" i="120"/>
  <c r="E36" i="129"/>
  <c r="E7" i="36"/>
  <c r="E15" i="36" s="1"/>
  <c r="Q7" i="36"/>
  <c r="Q15" i="36" s="1"/>
  <c r="Y7" i="36"/>
  <c r="H42" i="36"/>
  <c r="B31" i="120"/>
  <c r="H36" i="129"/>
  <c r="H37" i="129" s="1"/>
  <c r="L51" i="117"/>
  <c r="R14" i="117"/>
  <c r="N33" i="129"/>
  <c r="L51" i="119"/>
  <c r="L53" i="119" s="1"/>
  <c r="I33" i="36"/>
  <c r="K31" i="120"/>
  <c r="F31" i="120"/>
  <c r="E31" i="120"/>
  <c r="B36" i="129"/>
  <c r="M36" i="129"/>
  <c r="L36" i="129"/>
  <c r="N14" i="120"/>
  <c r="O39" i="134"/>
  <c r="I51" i="117"/>
  <c r="C23" i="33"/>
  <c r="M51" i="119"/>
  <c r="M53" i="119" s="1"/>
  <c r="E51" i="119"/>
  <c r="E53" i="119" s="1"/>
  <c r="G51" i="119"/>
  <c r="G53" i="119" s="1"/>
  <c r="J51" i="119"/>
  <c r="J53" i="119" s="1"/>
  <c r="D51" i="119"/>
  <c r="D53" i="119" s="1"/>
  <c r="K51" i="119"/>
  <c r="K53" i="119" s="1"/>
  <c r="Q24" i="33"/>
  <c r="C31" i="120"/>
  <c r="I36" i="129"/>
  <c r="I37" i="129" s="1"/>
  <c r="D51" i="117"/>
  <c r="G51" i="117"/>
  <c r="G23" i="33"/>
  <c r="G24" i="33" s="1"/>
  <c r="B24" i="33"/>
  <c r="Q47" i="33"/>
  <c r="I7" i="36"/>
  <c r="I15" i="36" s="1"/>
  <c r="T15" i="36"/>
  <c r="Y33" i="36"/>
  <c r="Y42" i="36" s="1"/>
  <c r="M40" i="36"/>
  <c r="H51" i="119"/>
  <c r="H53" i="119" s="1"/>
  <c r="M31" i="120"/>
  <c r="I31" i="120"/>
  <c r="N22" i="120"/>
  <c r="C36" i="129"/>
  <c r="J36" i="129"/>
  <c r="J37" i="129" s="1"/>
  <c r="G36" i="129"/>
  <c r="K36" i="129"/>
  <c r="H24" i="33"/>
  <c r="E51" i="117"/>
  <c r="N28" i="120"/>
  <c r="O23" i="33"/>
  <c r="K47" i="33"/>
  <c r="W15" i="36"/>
  <c r="G42" i="36"/>
  <c r="U33" i="36"/>
  <c r="U42" i="36" s="1"/>
  <c r="J31" i="120"/>
  <c r="F51" i="117"/>
  <c r="M51" i="117"/>
  <c r="K15" i="36"/>
  <c r="S42" i="36"/>
  <c r="W42" i="36"/>
  <c r="I40" i="36"/>
  <c r="N18" i="120"/>
  <c r="D31" i="120"/>
  <c r="N42" i="117"/>
  <c r="K51" i="117"/>
  <c r="I4" i="33"/>
  <c r="F27" i="33"/>
  <c r="G4" i="33"/>
  <c r="G27" i="33" s="1"/>
  <c r="N28" i="129"/>
  <c r="N17" i="129"/>
  <c r="M33" i="36"/>
  <c r="K42" i="36"/>
  <c r="K24" i="33"/>
  <c r="U7" i="36"/>
  <c r="U15" i="36" s="1"/>
  <c r="D23" i="33"/>
  <c r="D24" i="33" s="1"/>
  <c r="C51" i="117"/>
  <c r="F36" i="129"/>
  <c r="R47" i="117"/>
  <c r="J23" i="33"/>
  <c r="J24" i="33" s="1"/>
  <c r="P23" i="33"/>
  <c r="P24" i="33" s="1"/>
  <c r="E47" i="33"/>
  <c r="B47" i="33"/>
  <c r="H31" i="120"/>
  <c r="O32" i="134"/>
  <c r="F23" i="33"/>
  <c r="I23" i="33"/>
  <c r="R41" i="117"/>
  <c r="O42" i="117"/>
  <c r="R42" i="117" s="1"/>
  <c r="R36" i="117"/>
  <c r="N38" i="117"/>
  <c r="N30" i="117"/>
  <c r="H51" i="117"/>
  <c r="R12" i="117"/>
  <c r="B25" i="131"/>
  <c r="G31" i="120"/>
  <c r="N24" i="129"/>
  <c r="R23" i="33"/>
  <c r="S23" i="33"/>
  <c r="S24" i="33" s="1"/>
  <c r="N36" i="129" l="1"/>
  <c r="N53" i="119"/>
  <c r="Y15" i="36"/>
  <c r="O49" i="117"/>
  <c r="R49" i="117" s="1"/>
  <c r="R45" i="117"/>
  <c r="R23" i="117"/>
  <c r="O16" i="117"/>
  <c r="I42" i="36"/>
  <c r="N51" i="117"/>
  <c r="O30" i="117"/>
  <c r="R30" i="117" s="1"/>
  <c r="B40" i="131"/>
  <c r="O38" i="117"/>
  <c r="R38" i="117" s="1"/>
  <c r="C24" i="33"/>
  <c r="O24" i="33"/>
  <c r="R24" i="33"/>
  <c r="I24" i="33"/>
  <c r="F24" i="33"/>
  <c r="N37" i="129"/>
  <c r="M42" i="36"/>
  <c r="N31" i="120"/>
  <c r="J4" i="33"/>
  <c r="J27" i="33" s="1"/>
  <c r="I27" i="33"/>
  <c r="L4" i="33"/>
  <c r="R16" i="117" l="1"/>
  <c r="O51" i="117"/>
  <c r="M4" i="33"/>
  <c r="M27" i="33" s="1"/>
  <c r="O4" i="33"/>
  <c r="L27" i="33"/>
  <c r="R51" i="117" l="1"/>
  <c r="O27" i="33"/>
  <c r="P4" i="33"/>
  <c r="P27" i="33" s="1"/>
  <c r="R4" i="33"/>
  <c r="S4" i="33" l="1"/>
  <c r="S27" i="33" s="1"/>
  <c r="R27" i="33"/>
</calcChain>
</file>

<file path=xl/sharedStrings.xml><?xml version="1.0" encoding="utf-8"?>
<sst xmlns="http://schemas.openxmlformats.org/spreadsheetml/2006/main" count="1708" uniqueCount="403">
  <si>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</si>
  <si>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</si>
  <si>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</si>
  <si>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</si>
  <si>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</si>
  <si>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</si>
  <si>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</si>
  <si>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</si>
  <si>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</si>
  <si>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</si>
  <si>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</si>
  <si>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</si>
  <si>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</si>
  <si>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</si>
  <si>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</si>
  <si>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</si>
  <si>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</si>
  <si>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</si>
  <si>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</si>
  <si>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</si>
  <si>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</si>
  <si>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</si>
  <si>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</si>
  <si>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</si>
  <si>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</si>
  <si>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</si>
  <si>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</si>
  <si>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</si>
  <si>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</si>
  <si>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</si>
  <si>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</si>
  <si>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</si>
  <si>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</si>
  <si>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</si>
  <si>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</si>
  <si>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</si>
  <si>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</si>
  <si>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</si>
  <si>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</si>
  <si>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</si>
  <si>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</si>
  <si>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</si>
  <si>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</si>
  <si>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</si>
  <si>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</si>
  <si>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</si>
  <si>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</si>
  <si>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</si>
  <si>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</si>
  <si>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</si>
  <si>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</si>
  <si>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</si>
  <si>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</si>
  <si>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</si>
  <si>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</si>
  <si>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t>TOU-PA-P Agricultural</t>
  </si>
  <si>
    <t xml:space="preserve"> </t>
  </si>
  <si>
    <t>Sub-Total Demand Response Programs</t>
  </si>
  <si>
    <t>Total All Programs</t>
  </si>
  <si>
    <t>July</t>
  </si>
  <si>
    <t>August</t>
  </si>
  <si>
    <t>September</t>
  </si>
  <si>
    <t>October</t>
  </si>
  <si>
    <t>November</t>
  </si>
  <si>
    <t>December</t>
  </si>
  <si>
    <t xml:space="preserve">Ex Ante Estimated MW </t>
  </si>
  <si>
    <t xml:space="preserve">Ex Post Estimated MW </t>
  </si>
  <si>
    <t>Notes:</t>
  </si>
  <si>
    <r>
      <rPr>
        <vertAlign val="superscript"/>
        <sz val="11"/>
        <color rgb="FFFF0000"/>
        <rFont val="Arial"/>
        <family val="2"/>
      </rPr>
      <t>1</t>
    </r>
    <r>
      <rPr>
        <sz val="11"/>
        <rFont val="Arial"/>
        <family val="2"/>
      </rPr>
      <t xml:space="preserve">  The Ex-Ante average per customer estimates are based on Program Year 2019 SDG&amp;E DR Load Impacts report filed April 1st, 2020 for the months of January and February. The Ex-Ante average per customer estimates are based on Program Year 2020 SDG&amp;E DR Load Impacts report filed April 1st, 2021 for the months of March thru December. </t>
    </r>
  </si>
  <si>
    <r>
      <rPr>
        <vertAlign val="superscript"/>
        <sz val="11"/>
        <color rgb="FFFF0000"/>
        <rFont val="Arial"/>
        <family val="2"/>
      </rPr>
      <t>2</t>
    </r>
    <r>
      <rPr>
        <sz val="11"/>
        <rFont val="Arial"/>
        <family val="2"/>
      </rPr>
      <t xml:space="preserve">  The Ex-Post average per customer estimates are based on Program Year 2020 draft SDG&amp;E DR Load Impacts report for the months of January and February. The Ex-Post average per customer estimates are based on Program Year 2020 SDG&amp;E DR Load Impacts report filed April 1st, 2021 for the months of March thru December. </t>
    </r>
  </si>
  <si>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</si>
  <si>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r>
      <rPr>
        <vertAlign val="superscript"/>
        <sz val="11"/>
        <color rgb="FFFF0000"/>
        <rFont val="Arial"/>
        <family val="2"/>
      </rPr>
      <t xml:space="preserve">4 </t>
    </r>
    <r>
      <rPr>
        <vertAlign val="superscript"/>
        <sz val="11"/>
        <rFont val="Arial"/>
        <family val="2"/>
      </rPr>
      <t xml:space="preserve"> </t>
    </r>
    <r>
      <rPr>
        <sz val="11"/>
        <rFont val="Arial"/>
        <family val="2"/>
      </rPr>
      <t>On March 27, 2020 SDG&amp;E filed Advice Letter 3522-E (Tier 3) proposed to close the Over Generation Pilot, SDG&amp;E is awaiting a Decision. The Over Generation Pilot close on December 31, 2020.</t>
    </r>
  </si>
  <si>
    <t>-  The reduction in the number of customers on AC Saver Day-Ahead Commercial in March is due to the un-enrollment of customer with thermostat that had been offline for more then 18 months.</t>
  </si>
  <si>
    <t>-  Capacity Bidding Program reports the number of nominations not enrollments.</t>
  </si>
  <si>
    <t>-  Count of Service Accounts reported for TOU-PA-P Agricultural, TOU-A-P Small Commercial and TOU-DR-P Voluntary Residential for April 2021 includes accounts enrolled through May 13, 2021 due to Envision cutover data validation activities.</t>
  </si>
  <si>
    <t xml:space="preserve">-  The reduction in the number of customer on AC Saver day-ahead residential in June, is due to approximately 2,500 customers with Google-Nest devices did not agree to the new Google terms and conditions. </t>
  </si>
  <si>
    <t>-  CPP-D (Large and Medium Customers) service account numbers for Jan, Feb, and March 2021 are being rechecked. The reason is due to IT conversion data issues.  These should be corrected in next months Aug 2021 report.</t>
  </si>
  <si>
    <t>-  BIP service accounts for April and May were updated in August 2021 to denote a customer who unenrolled from the program.</t>
  </si>
  <si>
    <t xml:space="preserve"> - The "TOU-DR-P Voluntary Residential" and “TOU-A-P Small Commercial” service accounts numbers were inadvertently reported on the wrong row January through June.  This report has been corrected to reflect the service account numbers for both programs. </t>
  </si>
  <si>
    <t>(End of page)</t>
  </si>
  <si>
    <t>Average Ex Ante Load Impact kW / Customer</t>
  </si>
  <si>
    <t>Eligible Accounts as of January</t>
  </si>
  <si>
    <t>Eligibility Criteria (Refer to tariff for specifics)</t>
  </si>
  <si>
    <t>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</si>
  <si>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</si>
  <si>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</si>
  <si>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</si>
  <si>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</si>
  <si>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</si>
  <si>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</si>
  <si>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</si>
  <si>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</si>
  <si>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The Ex-Ante average per customer estimates are based on Program Year 2019 SDG&amp;E DR Load Impacts report filed April 1st, 2020 for the months of January and February. The Ex-Ante average per customer estimates are based on Program Year 2020 SDG&amp;E DR Load Impacts report filed April 1st, 2021 for the months of March thru December.</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</si>
  <si>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</si>
  <si>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</si>
  <si>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TOU-DR-P (Voluntary Residential) and TOU-A-P (Small Commercial) ex-ante estimates include Technology Deployment (TD).</t>
  </si>
  <si>
    <t> </t>
  </si>
  <si>
    <t>Average Ex Post Load Impact kW / Customer</t>
  </si>
  <si>
    <t xml:space="preserve">Notes: </t>
  </si>
  <si>
    <t xml:space="preserve">-  The Ex-Post average per customer estimates are based on Program Year 2020 draft SDG&amp;E DR Load Impacts report for the months of January and February. The Ex-Post average per customer estimates are based on Program Year 2020 SDG&amp;E DR Load Impacts report filed April 1st, 2021 for the months of March thru December. </t>
  </si>
  <si>
    <t xml:space="preserve">-  Estimated Average Ex-Post Load Impact kW / Customer = Average kW / Customer service account over all actual event hours for the preceding year if events occurred. </t>
  </si>
  <si>
    <t>-  CPP-D, TOU-DR-P (Voluntary Residential) and TOU-A-P (Small Commercial) include Technology Deployment (TD).</t>
  </si>
  <si>
    <t>- The TOU-PA-P Agricultural Ex-Post average per customer estimates are based on Program Year 2020 draft SDG&amp;E DR Load Impacts report for the months of January and February. The draft ex-post estimates show an increase load impact of (-0.06kW), therefore the estimates were converted to zero.</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</si>
  <si>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</si>
  <si>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</si>
  <si>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</si>
  <si>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</si>
  <si>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</si>
  <si>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</si>
  <si>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</si>
  <si>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</si>
  <si>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</si>
  <si>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</si>
  <si>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</si>
  <si>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</si>
  <si>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</si>
  <si>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</si>
  <si>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</si>
  <si>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</si>
  <si>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</si>
  <si>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</si>
  <si>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</si>
  <si>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</si>
  <si>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</si>
  <si>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</si>
  <si>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</si>
  <si>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</si>
  <si>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</si>
  <si>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</si>
  <si>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</si>
  <si>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</si>
  <si>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</si>
  <si>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EVENT SUMMARY</t>
  </si>
  <si>
    <t>Year-to-Date Event Summary</t>
  </si>
  <si>
    <t>Program Category</t>
  </si>
  <si>
    <t>Event No.</t>
  </si>
  <si>
    <t>Date</t>
  </si>
  <si>
    <t>Event Trigger</t>
  </si>
  <si>
    <t>Event Beginning to End</t>
  </si>
  <si>
    <t>AC Saver DA Residential</t>
  </si>
  <si>
    <t>Heat Rate</t>
  </si>
  <si>
    <t>6:00pm-9:00pm</t>
  </si>
  <si>
    <t>Temperature and System Load</t>
  </si>
  <si>
    <t>6:00pm-8:00pm</t>
  </si>
  <si>
    <t>CBP Day Ahead 11-7</t>
  </si>
  <si>
    <t>Market Price</t>
  </si>
  <si>
    <t>4:00pm-7:00pm</t>
  </si>
  <si>
    <t>CBP Day Ahead 1-9</t>
  </si>
  <si>
    <t>CBP Day Of 1-9</t>
  </si>
  <si>
    <t>Real Time Price</t>
  </si>
  <si>
    <t>5:00pm-7:00pm</t>
  </si>
  <si>
    <t>AC Saver DO (Summer Saver) Commercial</t>
  </si>
  <si>
    <t>AC Saver DO (Summer Saver) Residential</t>
  </si>
  <si>
    <t>3:00pm-7:00pm</t>
  </si>
  <si>
    <t>5:00pm-9:00pm</t>
  </si>
  <si>
    <t>7:00pm-9:00pm</t>
  </si>
  <si>
    <t>CBP Day Of 11-7</t>
  </si>
  <si>
    <t>5:00pm-8:00pm</t>
  </si>
  <si>
    <r>
      <rPr>
        <vertAlign val="superscript"/>
        <sz val="11"/>
        <color rgb="FFFF0000"/>
        <rFont val="Arial"/>
        <family val="2"/>
      </rPr>
      <t>1</t>
    </r>
    <r>
      <rPr>
        <sz val="11"/>
        <color rgb="FF444444"/>
        <rFont val="Arial"/>
        <family val="2"/>
      </rPr>
      <t xml:space="preserve"> If the MW Load Reduction is 0.00, there was no actual load reduction. If the MW Load Reduction is negative, there was an increase of load during the event hours. If there is nothing there, there were no events.</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</si>
  <si>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</si>
  <si>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</si>
  <si>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</si>
  <si>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</si>
  <si>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</si>
  <si>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</si>
  <si>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</si>
  <si>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</si>
  <si>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</si>
  <si>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</si>
  <si>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</si>
  <si>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</si>
  <si>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</si>
  <si>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t>2021 Expenditures for Marketing, Education and Outreach</t>
  </si>
  <si>
    <t>Year-to Date 2021 Expenditures</t>
  </si>
  <si>
    <t>Program Cycle-to Date 2018-2021 Expenditures</t>
  </si>
  <si>
    <r>
      <t xml:space="preserve">Authorized Budget (if Applicable) </t>
    </r>
    <r>
      <rPr>
        <b/>
        <vertAlign val="superscript"/>
        <sz val="10"/>
        <color rgb="FFFF0000"/>
        <rFont val="Calibri"/>
        <family val="2"/>
      </rPr>
      <t>1</t>
    </r>
  </si>
  <si>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</si>
  <si>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</si>
  <si>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</si>
  <si>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</si>
  <si>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r>
      <t>Base Interruptible Program</t>
    </r>
    <r>
      <rPr>
        <vertAlign val="superscript"/>
        <sz val="10"/>
        <color rgb="FFFF0000"/>
        <rFont val="Arial"/>
        <family val="2"/>
      </rPr>
      <t xml:space="preserve"> </t>
    </r>
  </si>
  <si>
    <t xml:space="preserve">Back Up Generators (BUGs) </t>
  </si>
  <si>
    <t xml:space="preserve">Capacity Bidding Program </t>
  </si>
  <si>
    <r>
      <t>AC Saver Day Ahead</t>
    </r>
    <r>
      <rPr>
        <vertAlign val="superscript"/>
        <sz val="10"/>
        <color rgb="FFFF0000"/>
        <rFont val="Arial"/>
        <family val="2"/>
      </rPr>
      <t xml:space="preserve"> </t>
    </r>
  </si>
  <si>
    <t>AC Saver Day Of</t>
  </si>
  <si>
    <t xml:space="preserve">Technology Deployment </t>
  </si>
  <si>
    <r>
      <t>Technology Incentives</t>
    </r>
    <r>
      <rPr>
        <vertAlign val="superscript"/>
        <sz val="10"/>
        <color rgb="FFFF0000"/>
        <rFont val="Arial"/>
        <family val="2"/>
      </rPr>
      <t xml:space="preserve"> </t>
    </r>
    <r>
      <rPr>
        <b/>
        <vertAlign val="superscript"/>
        <sz val="10"/>
        <color rgb="FFFF0000"/>
        <rFont val="Arial"/>
        <family val="2"/>
      </rPr>
      <t>3</t>
    </r>
  </si>
  <si>
    <r>
      <t>Smart Pricing</t>
    </r>
    <r>
      <rPr>
        <vertAlign val="superscript"/>
        <sz val="10"/>
        <color rgb="FFFF0000"/>
        <rFont val="Arial"/>
        <family val="2"/>
      </rPr>
      <t xml:space="preserve"> </t>
    </r>
    <r>
      <rPr>
        <b/>
        <vertAlign val="superscript"/>
        <sz val="10"/>
        <color rgb="FFFF0000"/>
        <rFont val="Arial"/>
        <family val="2"/>
      </rPr>
      <t>3</t>
    </r>
  </si>
  <si>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</si>
  <si>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</si>
  <si>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</si>
  <si>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</si>
  <si>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</si>
  <si>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t xml:space="preserve">Collateral- Development, Printing, Distribution etc. (all non-labor costs) </t>
  </si>
  <si>
    <r>
      <t xml:space="preserve">Labor </t>
    </r>
    <r>
      <rPr>
        <b/>
        <vertAlign val="superscript"/>
        <sz val="10"/>
        <color rgb="FFFF0000"/>
        <rFont val="Arial"/>
        <family val="2"/>
      </rPr>
      <t>4</t>
    </r>
  </si>
  <si>
    <r>
      <t>Paid Media</t>
    </r>
    <r>
      <rPr>
        <vertAlign val="superscript"/>
        <sz val="10"/>
        <color rgb="FFFF0000"/>
        <rFont val="Arial"/>
        <family val="2"/>
      </rPr>
      <t xml:space="preserve"> </t>
    </r>
  </si>
  <si>
    <r>
      <t>Other Costs</t>
    </r>
    <r>
      <rPr>
        <b/>
        <vertAlign val="superscript"/>
        <sz val="10"/>
        <color rgb="FFFF0000"/>
        <rFont val="Arial"/>
        <family val="2"/>
      </rPr>
      <t xml:space="preserve"> 2</t>
    </r>
  </si>
  <si>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</si>
  <si>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</si>
  <si>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</si>
  <si>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</si>
  <si>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</si>
  <si>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</si>
  <si>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</si>
  <si>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t xml:space="preserve">SAN DIEGO GAS &amp; ELECTRIC REPORT COMPANY ON INTERRUPTIBLE LOAD AND DEMAND RESPONSE PROGRAMS </t>
  </si>
  <si>
    <t>YEAR TO DATE PROGRAM EXPENDITURES</t>
  </si>
  <si>
    <t>Cost Item</t>
  </si>
  <si>
    <t>5-Year Funding (2018-2022)</t>
  </si>
  <si>
    <t>Percent Funding</t>
  </si>
  <si>
    <t>Category 1: Supply Side DR Programs</t>
  </si>
  <si>
    <t xml:space="preserve">Capacity Bidding Program (CBP) </t>
  </si>
  <si>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</si>
  <si>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</si>
  <si>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</si>
  <si>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</si>
  <si>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</si>
  <si>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</si>
  <si>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</si>
  <si>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</si>
  <si>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</si>
  <si>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</si>
  <si>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</si>
  <si>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</si>
  <si>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</si>
  <si>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r>
      <t>Capacity Bidding Program Residential Pilot (CBP)</t>
    </r>
    <r>
      <rPr>
        <vertAlign val="superscript"/>
        <sz val="10"/>
        <color rgb="FFFF0000"/>
        <rFont val="Arial"/>
        <family val="2"/>
      </rPr>
      <t>6</t>
    </r>
  </si>
  <si>
    <r>
      <t xml:space="preserve">   Over Generation Pilot (OGP) </t>
    </r>
    <r>
      <rPr>
        <vertAlign val="superscript"/>
        <sz val="10"/>
        <color rgb="FFFF0000"/>
        <rFont val="Arial"/>
        <family val="2"/>
      </rPr>
      <t>5</t>
    </r>
  </si>
  <si>
    <t xml:space="preserve">   Small Business Energy Management Pilot (SBEMP)</t>
  </si>
  <si>
    <t xml:space="preserve"> Budget Category 5 Total</t>
  </si>
  <si>
    <t>Category 6:  Marketing, Education, and Outreach</t>
  </si>
  <si>
    <t xml:space="preserve">Local Marketing Education &amp; Outreach (LME&amp;O) </t>
  </si>
  <si>
    <t xml:space="preserve"> Budget Category 6 Total</t>
  </si>
  <si>
    <t>Category 7:  Portfolio Support</t>
  </si>
  <si>
    <r>
      <t>Regulatory Policy &amp; Program Support (Gen. Admin.)</t>
    </r>
    <r>
      <rPr>
        <vertAlign val="superscript"/>
        <sz val="10"/>
        <color rgb="FFFF0000"/>
        <rFont val="Arial"/>
        <family val="2"/>
      </rPr>
      <t xml:space="preserve"> </t>
    </r>
  </si>
  <si>
    <t xml:space="preserve">EM&amp;V </t>
  </si>
  <si>
    <t>DR Potential Study</t>
  </si>
  <si>
    <t xml:space="preserve"> Budget Category 7 Total</t>
  </si>
  <si>
    <t>Total Incremental Cost</t>
  </si>
  <si>
    <r>
      <rPr>
        <b/>
        <vertAlign val="superscript"/>
        <sz val="11"/>
        <color rgb="FFFF0000"/>
        <rFont val="Arial"/>
        <family val="2"/>
      </rPr>
      <t>1</t>
    </r>
    <r>
      <rPr>
        <sz val="11"/>
        <rFont val="Arial"/>
        <family val="2"/>
      </rPr>
      <t xml:space="preserve"> BIP total does not include April bill credits as a result of Reporting outages related to Envision Cross Over.</t>
    </r>
  </si>
  <si>
    <r>
      <rPr>
        <vertAlign val="superscript"/>
        <sz val="11"/>
        <color rgb="FFFF0000"/>
        <rFont val="Arial"/>
        <family val="2"/>
      </rPr>
      <t>2</t>
    </r>
    <r>
      <rPr>
        <sz val="11"/>
        <rFont val="Arial"/>
        <family val="2"/>
      </rPr>
      <t xml:space="preserve"> BIP April total of $6,695 was revised to include April bill credits of $1,935 that were posted in a different reporting period as a result of the Envision Cross Over.</t>
    </r>
  </si>
  <si>
    <r>
      <rPr>
        <vertAlign val="superscript"/>
        <sz val="11"/>
        <color rgb="FFFF0000"/>
        <rFont val="Arial"/>
        <family val="2"/>
      </rPr>
      <t>3</t>
    </r>
    <r>
      <rPr>
        <sz val="11"/>
        <rFont val="Arial"/>
        <family val="2"/>
      </rPr>
      <t xml:space="preserve"> May credits are a result of accrual reversals that occurred in prior reporting period (April).</t>
    </r>
  </si>
  <si>
    <r>
      <rPr>
        <vertAlign val="superscript"/>
        <sz val="11"/>
        <color rgb="FFFF0000"/>
        <rFont val="Arial"/>
        <family val="2"/>
      </rPr>
      <t>4</t>
    </r>
    <r>
      <rPr>
        <sz val="11"/>
        <rFont val="Arial"/>
        <family val="2"/>
      </rPr>
      <t xml:space="preserve"> June BIP incentives were adjusted to exclude $783.50 that was reversed in Envision.</t>
    </r>
  </si>
  <si>
    <r>
      <rPr>
        <vertAlign val="superscript"/>
        <sz val="11"/>
        <color rgb="FFFF0000"/>
        <rFont val="Arial"/>
        <family val="2"/>
      </rPr>
      <t xml:space="preserve">5 </t>
    </r>
    <r>
      <rPr>
        <sz val="11"/>
        <rFont val="Arial"/>
        <family val="2"/>
      </rPr>
      <t>July Credits are due to labor reversals.</t>
    </r>
  </si>
  <si>
    <r>
      <rPr>
        <vertAlign val="superscript"/>
        <sz val="11"/>
        <color rgb="FFFF0000"/>
        <rFont val="Arial"/>
        <family val="2"/>
      </rPr>
      <t>6</t>
    </r>
    <r>
      <rPr>
        <sz val="11"/>
        <rFont val="Arial"/>
        <family val="2"/>
      </rPr>
      <t xml:space="preserve"> CBP Residential Pilot was approved in D.21.03.056, Decision Directing Pacific Gas and Electric Company, Southern California Edison Company, and San Diego Gas &amp; Electric Company to take actions to prepare for potential extreme weather in the summers of 2021 and 2022.</t>
    </r>
  </si>
  <si>
    <t>FUND SHIFT LOG</t>
  </si>
  <si>
    <t>Program Cycle to Date (2018 - 2021)</t>
  </si>
  <si>
    <t>Fund Shift</t>
  </si>
  <si>
    <t>Programs Impacted</t>
  </si>
  <si>
    <t xml:space="preserve">Rationale for Fund Shift </t>
  </si>
  <si>
    <t>Capacity Bidding Program (CBP)</t>
  </si>
  <si>
    <t>Per Resolution E-4906 (issued 7/21/18), Ordering Paragraph 30 
approved a total fund shift of $934,498 of which $234,498 shifted from the Capacity Bidding Program to support the Back Up Generators (BUGs) prohibited resources restrictions.</t>
  </si>
  <si>
    <t>Category 4: Emerging &amp; Enabling Technologies</t>
  </si>
  <si>
    <t>Technology Incentives (TI)</t>
  </si>
  <si>
    <t>Per Resolution  E-4906 (issued 7/21/18), Ordering Paragraph 30  approved a total fund shift of $934,498 of which $700,000 to be shifted from the Technology Incentives Program to support the Back Up Generators (BUGs) prohibited resources restrictions.</t>
  </si>
  <si>
    <t>Category 7: Portfolio Support</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</si>
  <si>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</si>
  <si>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</si>
  <si>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</si>
  <si>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</si>
  <si>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</si>
  <si>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Regulatory Policy &amp; Program Support (Gen. Admin.)</t>
  </si>
  <si>
    <t>Shifting the funds to IT will allow SDG&amp;E to properly maintain systems to ensure compliance and customer experience. IT is projected to be overspent; M&amp;E and Policy (Gen Admin) have unspent dollars that can be applied towards the IT shortfall.</t>
  </si>
  <si>
    <t xml:space="preserve">IT Infrastructure &amp; Systems Support </t>
  </si>
  <si>
    <t>-  All Fund Shifting Rules remain in effect as adopted in D.12-04-045 as referenced in D.17-12-003 at page 131.</t>
  </si>
  <si>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</si>
  <si>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</si>
  <si>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</si>
  <si>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</si>
  <si>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</si>
  <si>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</si>
  <si>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</si>
  <si>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</si>
  <si>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Demand Response Auction Mechanism (DRAM)</t>
  </si>
  <si>
    <t>Emerging Tech (ET)</t>
  </si>
  <si>
    <t>Armed Forces Pilot</t>
  </si>
  <si>
    <r>
      <t>Over Gen Pilot</t>
    </r>
    <r>
      <rPr>
        <vertAlign val="superscript"/>
        <sz val="9"/>
        <color rgb="FFFF0000"/>
        <rFont val="Arial"/>
        <family val="2"/>
      </rPr>
      <t xml:space="preserve"> 8</t>
    </r>
  </si>
  <si>
    <r>
      <t xml:space="preserve">CBP Res Pilot </t>
    </r>
    <r>
      <rPr>
        <vertAlign val="superscript"/>
        <sz val="10"/>
        <color rgb="FFFF0000"/>
        <rFont val="Arial"/>
        <family val="2"/>
      </rPr>
      <t>11</t>
    </r>
  </si>
  <si>
    <t>Constrained Local Capacity Program (CLCP)</t>
  </si>
  <si>
    <r>
      <t>Local Marketing Education &amp; Outreach (LMEO)</t>
    </r>
    <r>
      <rPr>
        <vertAlign val="superscript"/>
        <sz val="10"/>
        <color rgb="FFFF0000"/>
        <rFont val="Arial"/>
        <family val="2"/>
      </rPr>
      <t xml:space="preserve"> </t>
    </r>
  </si>
  <si>
    <t>General Admin</t>
  </si>
  <si>
    <r>
      <t>EM&amp;V</t>
    </r>
    <r>
      <rPr>
        <vertAlign val="superscript"/>
        <sz val="9"/>
        <color rgb="FFFF0000"/>
        <rFont val="Arial"/>
        <family val="2"/>
      </rPr>
      <t xml:space="preserve"> </t>
    </r>
  </si>
  <si>
    <r>
      <t xml:space="preserve">Local Capacity Requirements (LCR) </t>
    </r>
    <r>
      <rPr>
        <vertAlign val="superscript"/>
        <sz val="9"/>
        <color rgb="FFFF0000"/>
        <rFont val="Arial"/>
        <family val="2"/>
      </rPr>
      <t>1</t>
    </r>
  </si>
  <si>
    <r>
      <t>SW-COM</t>
    </r>
    <r>
      <rPr>
        <vertAlign val="superscript"/>
        <sz val="9"/>
        <color rgb="FFFF0000"/>
        <rFont val="Arial"/>
        <family val="2"/>
      </rPr>
      <t xml:space="preserve"> 9</t>
    </r>
  </si>
  <si>
    <r>
      <t>SW-IND</t>
    </r>
    <r>
      <rPr>
        <b/>
        <vertAlign val="superscript"/>
        <sz val="9"/>
        <color rgb="FFFF0000"/>
        <rFont val="Arial"/>
        <family val="2"/>
      </rPr>
      <t xml:space="preserve"> </t>
    </r>
  </si>
  <si>
    <r>
      <t>SW-AG</t>
    </r>
    <r>
      <rPr>
        <vertAlign val="superscript"/>
        <sz val="9"/>
        <color rgb="FFFF0000"/>
        <rFont val="Arial"/>
        <family val="2"/>
      </rPr>
      <t xml:space="preserve"> </t>
    </r>
  </si>
  <si>
    <t xml:space="preserve">Local Marketing Res and Non-Res </t>
  </si>
  <si>
    <t xml:space="preserve">  Total Administrative (O&amp;M) </t>
  </si>
  <si>
    <t>Customer Incentives</t>
  </si>
  <si>
    <t>Technology Deployment (TD)</t>
  </si>
  <si>
    <t>Small Business Energy Management Pilot (SBEMP)</t>
  </si>
  <si>
    <r>
      <t xml:space="preserve">EM&amp;V </t>
    </r>
    <r>
      <rPr>
        <vertAlign val="superscript"/>
        <sz val="9"/>
        <color rgb="FFFF0000"/>
        <rFont val="Arial"/>
        <family val="2"/>
      </rPr>
      <t>6</t>
    </r>
  </si>
  <si>
    <r>
      <t xml:space="preserve">General Admin </t>
    </r>
    <r>
      <rPr>
        <vertAlign val="superscript"/>
        <sz val="9"/>
        <color rgb="FFFF0000"/>
        <rFont val="Arial"/>
        <family val="2"/>
      </rPr>
      <t>7</t>
    </r>
  </si>
  <si>
    <t>CPPD</t>
  </si>
  <si>
    <t>Total Customer Incentives</t>
  </si>
  <si>
    <t xml:space="preserve">Total </t>
  </si>
  <si>
    <t>AMDRMA Account End of Month Balance for Monthly Activity with Interest</t>
  </si>
  <si>
    <r>
      <rPr>
        <vertAlign val="superscript"/>
        <sz val="10"/>
        <color rgb="FFFF0000"/>
        <rFont val="Arial"/>
        <family val="2"/>
      </rPr>
      <t>1</t>
    </r>
    <r>
      <rPr>
        <vertAlign val="superscript"/>
        <sz val="10"/>
        <rFont val="Arial"/>
        <family val="2"/>
      </rPr>
      <t xml:space="preserve"> </t>
    </r>
    <r>
      <rPr>
        <sz val="10"/>
        <rFont val="Arial"/>
        <family val="2"/>
      </rPr>
      <t>February credits are related to accrual reversals related to a prior period expense (January 2021).</t>
    </r>
  </si>
  <si>
    <r>
      <rPr>
        <vertAlign val="superscript"/>
        <sz val="10"/>
        <color rgb="FFFF0000"/>
        <rFont val="Arial"/>
        <family val="2"/>
      </rPr>
      <t>2</t>
    </r>
    <r>
      <rPr>
        <sz val="10"/>
        <rFont val="Arial"/>
        <family val="2"/>
      </rPr>
      <t xml:space="preserve"> March Credit is related to a discount received on services purchased in a prior period.</t>
    </r>
  </si>
  <si>
    <r>
      <rPr>
        <vertAlign val="superscript"/>
        <sz val="10"/>
        <color rgb="FFFF0000"/>
        <rFont val="Arial"/>
        <family val="2"/>
      </rPr>
      <t>3</t>
    </r>
    <r>
      <rPr>
        <sz val="10"/>
        <rFont val="Arial"/>
        <family val="2"/>
      </rPr>
      <t xml:space="preserve"> April Bill credits for BIP were not posted as a result of Reporting outages related to Envision Cross Over.</t>
    </r>
  </si>
  <si>
    <r>
      <rPr>
        <vertAlign val="superscript"/>
        <sz val="10"/>
        <color rgb="FFFF0000"/>
        <rFont val="Arial"/>
        <family val="2"/>
      </rPr>
      <t>4</t>
    </r>
    <r>
      <rPr>
        <sz val="10"/>
        <rFont val="Arial"/>
        <family val="2"/>
      </rPr>
      <t xml:space="preserve"> BIP April Incentive total was revised to include April bill credits of $1,935 that were posted in a different reporting period as a result of the Envision Cross Over. June BIP incentives were adjusted to exclude $783.50 that was reversed in Envision.</t>
    </r>
  </si>
  <si>
    <r>
      <rPr>
        <vertAlign val="superscript"/>
        <sz val="10"/>
        <color rgb="FFFF0000"/>
        <rFont val="Arial"/>
        <family val="2"/>
      </rPr>
      <t>5</t>
    </r>
    <r>
      <rPr>
        <sz val="10"/>
        <rFont val="Arial"/>
        <family val="2"/>
      </rPr>
      <t xml:space="preserve"> May incentive credits are a result of accrual reversals that occurred in prior reporting period (April).</t>
    </r>
  </si>
  <si>
    <r>
      <rPr>
        <vertAlign val="superscript"/>
        <sz val="10"/>
        <color rgb="FFFF0000"/>
        <rFont val="Arial"/>
        <family val="2"/>
      </rPr>
      <t xml:space="preserve">8 </t>
    </r>
    <r>
      <rPr>
        <sz val="10"/>
        <rFont val="Arial"/>
        <family val="2"/>
      </rPr>
      <t>July Credits are due to labor reversals.</t>
    </r>
  </si>
  <si>
    <r>
      <rPr>
        <vertAlign val="superscript"/>
        <sz val="10"/>
        <color rgb="FFFF0000"/>
        <rFont val="Arial"/>
        <family val="2"/>
      </rPr>
      <t xml:space="preserve">9 </t>
    </r>
    <r>
      <rPr>
        <sz val="10"/>
        <rFont val="Arial"/>
        <family val="2"/>
      </rPr>
      <t>July Credits are due to accrual reversals.</t>
    </r>
  </si>
  <si>
    <t>GENERAL RATE CASE PROGRAMS ($000)</t>
  </si>
  <si>
    <t>Year-to-Date Total Cost</t>
  </si>
  <si>
    <t>Programs in General Rate Case</t>
  </si>
  <si>
    <r>
      <t>CPP-D</t>
    </r>
    <r>
      <rPr>
        <vertAlign val="superscript"/>
        <sz val="10"/>
        <color rgb="FFFF0000"/>
        <rFont val="Arial"/>
        <family val="2"/>
      </rPr>
      <t xml:space="preserve"> 1</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</si>
  <si>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</si>
  <si>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</si>
  <si>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</si>
  <si>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</si>
  <si>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</si>
  <si>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</si>
  <si>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</si>
  <si>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</si>
  <si>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</si>
  <si>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</si>
  <si>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</si>
  <si>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</si>
  <si>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Operations </t>
    </r>
    <r>
      <rPr>
        <vertAlign val="superscript"/>
        <sz val="10"/>
        <color rgb="FFFF0000"/>
        <rFont val="Arial"/>
        <family val="2"/>
      </rPr>
      <t>2</t>
    </r>
  </si>
  <si>
    <r>
      <t>Rule 32 Meter</t>
    </r>
    <r>
      <rPr>
        <sz val="10"/>
        <rFont val="Arial"/>
        <family val="2"/>
      </rPr>
      <t xml:space="preserve"> </t>
    </r>
    <r>
      <rPr>
        <vertAlign val="superscript"/>
        <sz val="10"/>
        <color rgb="FFFF0000"/>
        <rFont val="Arial"/>
        <family val="2"/>
      </rPr>
      <t>4</t>
    </r>
  </si>
  <si>
    <r>
      <t>Rule 32 CISR Enhancement</t>
    </r>
    <r>
      <rPr>
        <b/>
        <vertAlign val="superscript"/>
        <sz val="10"/>
        <color rgb="FFFF0000"/>
        <rFont val="Arial"/>
        <family val="2"/>
      </rPr>
      <t xml:space="preserve"> </t>
    </r>
    <r>
      <rPr>
        <vertAlign val="superscript"/>
        <sz val="10"/>
        <color rgb="FFFF0000"/>
        <rFont val="Arial"/>
        <family val="2"/>
      </rPr>
      <t>3</t>
    </r>
  </si>
  <si>
    <t>Capital Related Costs</t>
  </si>
  <si>
    <t>Depreciation</t>
  </si>
  <si>
    <t>DPDRMA Tax</t>
  </si>
  <si>
    <t>DPDRMA Property Tax</t>
  </si>
  <si>
    <t>Return on Rate Base</t>
  </si>
  <si>
    <t>Total DPDRMA Program Costs</t>
  </si>
  <si>
    <t>Total DPDRMA Program Costs with Interest</t>
  </si>
  <si>
    <t>ELRP</t>
  </si>
  <si>
    <t>ELRP Tax</t>
  </si>
  <si>
    <t>ELRP Property Tax</t>
  </si>
  <si>
    <t>Total ELRP Program Costs</t>
  </si>
  <si>
    <t>Total ELRP Program Costs with Interest</t>
  </si>
  <si>
    <t>CSEP Tax</t>
  </si>
  <si>
    <t>CSEP Property Tax</t>
  </si>
  <si>
    <t>Total CSEP Program Costs</t>
  </si>
  <si>
    <t>Total CSEP Program Costs with Interest - NA</t>
  </si>
  <si>
    <t>CSEP implemented as a result of the CA Governor Emergency Proclamation.</t>
  </si>
  <si>
    <t>Program Expenses Related To California State Emergency Program (CSEP)</t>
  </si>
  <si>
    <r>
      <t xml:space="preserve">Constrained Local Capacity Program (CLCP) </t>
    </r>
    <r>
      <rPr>
        <vertAlign val="superscript"/>
        <sz val="10"/>
        <color rgb="FFFF0000"/>
        <rFont val="Arial"/>
        <family val="2"/>
      </rPr>
      <t>7</t>
    </r>
  </si>
  <si>
    <r>
      <rPr>
        <vertAlign val="superscript"/>
        <sz val="11"/>
        <color rgb="FFFF0000"/>
        <rFont val="Arial"/>
        <family val="2"/>
      </rPr>
      <t>7</t>
    </r>
    <r>
      <rPr>
        <sz val="11"/>
        <rFont val="Arial"/>
        <family val="2"/>
      </rPr>
      <t xml:space="preserve"> Constrained Local Capacity Pilot (CLCP Pilot) is also referred to as Disadvantage Communitites Pilot (DAC Pilot).</t>
    </r>
  </si>
  <si>
    <r>
      <rPr>
        <vertAlign val="superscript"/>
        <sz val="10"/>
        <color rgb="FFFF0000"/>
        <rFont val="Arial"/>
        <family val="2"/>
      </rPr>
      <t>7</t>
    </r>
    <r>
      <rPr>
        <sz val="10"/>
        <rFont val="Arial"/>
        <family val="2"/>
      </rPr>
      <t xml:space="preserve"> EM&amp;V charges for May include a misclassification of incentive payment, charge was corrected using incorrect program IO to reclassify $540 to the correct cost type. Correction was reflected in the July Report.</t>
    </r>
  </si>
  <si>
    <r>
      <rPr>
        <vertAlign val="superscript"/>
        <sz val="10"/>
        <color rgb="FFFF0000"/>
        <rFont val="Arial"/>
        <family val="2"/>
      </rPr>
      <t xml:space="preserve">6 </t>
    </r>
    <r>
      <rPr>
        <sz val="10"/>
        <rFont val="Arial"/>
        <family val="2"/>
      </rPr>
      <t xml:space="preserve">EM&amp;V charges for May include a misclassification of incentive payment.  This misclassificatoin was corrected and reflected in the July Report. </t>
    </r>
  </si>
  <si>
    <r>
      <t xml:space="preserve">Load Reduction     MW </t>
    </r>
    <r>
      <rPr>
        <vertAlign val="superscript"/>
        <sz val="10"/>
        <color rgb="FFFF0000"/>
        <rFont val="Arial"/>
        <family val="2"/>
      </rPr>
      <t>1</t>
    </r>
  </si>
  <si>
    <r>
      <t>Program Total Hours (Annual)</t>
    </r>
    <r>
      <rPr>
        <b/>
        <sz val="10"/>
        <color rgb="FFFF0000"/>
        <rFont val="Arial"/>
        <family val="2"/>
      </rPr>
      <t xml:space="preserve"> </t>
    </r>
    <r>
      <rPr>
        <vertAlign val="superscript"/>
        <sz val="10"/>
        <color rgb="FFFF0000"/>
        <rFont val="Arial"/>
        <family val="2"/>
      </rPr>
      <t>2</t>
    </r>
  </si>
  <si>
    <r>
      <rPr>
        <sz val="8"/>
        <color rgb="FFFF0000"/>
        <rFont val="Arial"/>
        <family val="2"/>
      </rPr>
      <t xml:space="preserve">3 </t>
    </r>
    <r>
      <rPr>
        <sz val="11"/>
        <color rgb="FF444444"/>
        <rFont val="Arial"/>
        <family val="2"/>
      </rPr>
      <t xml:space="preserve"> Due to temporary unavailability of its interval data SDG&amp;E is using event results from September as an estimate for October results.  Once we have resolved this matter, we will send an updated file.</t>
    </r>
  </si>
  <si>
    <r>
      <t>Rule 32</t>
    </r>
    <r>
      <rPr>
        <b/>
        <vertAlign val="superscript"/>
        <sz val="10"/>
        <color rgb="FFFF0000"/>
        <rFont val="Arial"/>
        <family val="2"/>
      </rPr>
      <t xml:space="preserve"> 6</t>
    </r>
  </si>
  <si>
    <r>
      <t xml:space="preserve">Rule 32 Click-Through </t>
    </r>
    <r>
      <rPr>
        <vertAlign val="superscript"/>
        <sz val="10"/>
        <color rgb="FFFF0000"/>
        <rFont val="Arial"/>
        <family val="2"/>
      </rPr>
      <t>1,5,6</t>
    </r>
  </si>
  <si>
    <r>
      <rPr>
        <vertAlign val="superscript"/>
        <sz val="11"/>
        <color rgb="FFFF0000"/>
        <rFont val="Arial"/>
        <family val="2"/>
      </rPr>
      <t>8</t>
    </r>
    <r>
      <rPr>
        <sz val="11"/>
        <rFont val="Arial"/>
        <family val="2"/>
      </rPr>
      <t xml:space="preserve"> October Credits are related to Accrual Reversals that occurred in a prior reporting period (September)</t>
    </r>
  </si>
  <si>
    <r>
      <t xml:space="preserve">Behavioral </t>
    </r>
    <r>
      <rPr>
        <vertAlign val="superscript"/>
        <sz val="9"/>
        <color rgb="FFFF0000"/>
        <rFont val="Arial"/>
        <family val="2"/>
      </rPr>
      <t>12</t>
    </r>
  </si>
  <si>
    <r>
      <t xml:space="preserve">IDSM DR COM </t>
    </r>
    <r>
      <rPr>
        <vertAlign val="superscript"/>
        <sz val="9"/>
        <color rgb="FFFF0000"/>
        <rFont val="Arial"/>
        <family val="2"/>
      </rPr>
      <t>1,2</t>
    </r>
    <r>
      <rPr>
        <sz val="9"/>
        <color rgb="FFFF0000"/>
        <rFont val="Arial"/>
        <family val="2"/>
      </rPr>
      <t>,</t>
    </r>
    <r>
      <rPr>
        <vertAlign val="superscript"/>
        <sz val="9"/>
        <color rgb="FFFF0000"/>
        <rFont val="Arial"/>
        <family val="2"/>
      </rPr>
      <t>12</t>
    </r>
  </si>
  <si>
    <r>
      <t xml:space="preserve">IT </t>
    </r>
    <r>
      <rPr>
        <vertAlign val="superscript"/>
        <sz val="9"/>
        <color rgb="FFFF0000"/>
        <rFont val="Arial"/>
        <family val="2"/>
      </rPr>
      <t>12</t>
    </r>
  </si>
  <si>
    <t>ELRP was approved in Decision 21.03.056.</t>
  </si>
  <si>
    <t>SAN DIEGO GAS &amp; ELECTRIC COMPANY REPORT ON INTERRUPTIBLE LOAD AND DEMAND RESPONSE</t>
  </si>
  <si>
    <t>EMERGENCY LOAD REDUCTION PROGRAM (ELRP) BALANCING ACCOUNT ($000)</t>
  </si>
  <si>
    <t>Program in Emergency Load Reduction (ELRP) Balancing Account</t>
  </si>
  <si>
    <t>SAN DIEGO GAS &amp; ELECTRIC COMPANY REPORT ON CALIFORNIA STATE EMERGENCY PROGRAM (CSEP)</t>
  </si>
  <si>
    <t>Capacity Bidding Residential Pilot (CBP Pilot)</t>
  </si>
  <si>
    <r>
      <t>Demand Response Auction Mechanism (DRAM)</t>
    </r>
    <r>
      <rPr>
        <vertAlign val="superscript"/>
        <sz val="9"/>
        <color rgb="FFFF0000"/>
        <rFont val="Arial"/>
        <family val="2"/>
      </rPr>
      <t xml:space="preserve"> </t>
    </r>
    <r>
      <rPr>
        <b/>
        <vertAlign val="superscript"/>
        <sz val="9"/>
        <color rgb="FFFF0000"/>
        <rFont val="Arial"/>
        <family val="2"/>
      </rPr>
      <t>5</t>
    </r>
    <r>
      <rPr>
        <vertAlign val="superscript"/>
        <sz val="9"/>
        <color rgb="FFFF0000"/>
        <rFont val="Arial"/>
        <family val="2"/>
      </rPr>
      <t>,9,12,13</t>
    </r>
  </si>
  <si>
    <r>
      <rPr>
        <vertAlign val="superscript"/>
        <sz val="11"/>
        <color rgb="FFFF0000"/>
        <rFont val="Arial"/>
        <family val="2"/>
      </rPr>
      <t xml:space="preserve">9 </t>
    </r>
    <r>
      <rPr>
        <sz val="11"/>
        <rFont val="Arial"/>
        <family val="2"/>
      </rPr>
      <t>November Credits are related to Accrual Reversals that occurred in a prior reporting period (October).</t>
    </r>
  </si>
  <si>
    <r>
      <rPr>
        <vertAlign val="superscript"/>
        <sz val="10"/>
        <color rgb="FFFF0000"/>
        <rFont val="Arial"/>
        <family val="2"/>
      </rPr>
      <t>10</t>
    </r>
    <r>
      <rPr>
        <sz val="10"/>
        <rFont val="Arial"/>
        <family val="2"/>
      </rPr>
      <t xml:space="preserve"> August Credit it related to Journal Entry Corrections</t>
    </r>
  </si>
  <si>
    <r>
      <rPr>
        <vertAlign val="superscript"/>
        <sz val="10"/>
        <color rgb="FFFF0000"/>
        <rFont val="Arial"/>
        <family val="2"/>
      </rPr>
      <t>11</t>
    </r>
    <r>
      <rPr>
        <sz val="10"/>
        <rFont val="Arial"/>
        <family val="2"/>
      </rPr>
      <t>CBP Residential Pilot was approved in D.21.03.056, Decision Directing Pacific Gas and Electric Company, Southern California Edison Company, and San Diego Gas &amp; Electric Company to take actions to prepare for potential extreme weather in the summers of 2021 and 2022.</t>
    </r>
  </si>
  <si>
    <r>
      <rPr>
        <vertAlign val="superscript"/>
        <sz val="10"/>
        <color rgb="FFFF0000"/>
        <rFont val="Arial"/>
        <family val="2"/>
      </rPr>
      <t>12</t>
    </r>
    <r>
      <rPr>
        <sz val="10"/>
        <rFont val="Arial"/>
        <family val="2"/>
      </rPr>
      <t xml:space="preserve"> October Credits are related to Accrual Reversals that occurred in a prior reporting period (September).</t>
    </r>
  </si>
  <si>
    <r>
      <rPr>
        <vertAlign val="superscript"/>
        <sz val="10"/>
        <color rgb="FFFF0000"/>
        <rFont val="Arial"/>
        <family val="2"/>
      </rPr>
      <t xml:space="preserve">13 </t>
    </r>
    <r>
      <rPr>
        <sz val="10"/>
        <rFont val="Arial"/>
        <family val="2"/>
      </rPr>
      <t>November Credits are related to Accrual Reversals that occurred in a prior reporting period (October).</t>
    </r>
  </si>
  <si>
    <r>
      <t xml:space="preserve">Technology Incentives (TI) </t>
    </r>
    <r>
      <rPr>
        <b/>
        <vertAlign val="superscript"/>
        <sz val="10"/>
        <color rgb="FFFF0000"/>
        <rFont val="Arial"/>
        <family val="2"/>
      </rPr>
      <t>10</t>
    </r>
  </si>
  <si>
    <r>
      <t>IT Infrastructure &amp; Systems Support</t>
    </r>
    <r>
      <rPr>
        <vertAlign val="superscript"/>
        <sz val="10"/>
        <color rgb="FFFF0000"/>
        <rFont val="Arial"/>
        <family val="2"/>
      </rPr>
      <t xml:space="preserve"> 8,10</t>
    </r>
  </si>
  <si>
    <r>
      <rPr>
        <vertAlign val="superscript"/>
        <sz val="11"/>
        <color rgb="FFFF0000"/>
        <rFont val="Arial"/>
        <family val="2"/>
      </rPr>
      <t>10</t>
    </r>
    <r>
      <rPr>
        <sz val="11"/>
        <rFont val="Arial"/>
        <family val="2"/>
      </rPr>
      <t xml:space="preserve"> Program Cycle to Date, Column O, was revised to include understated expenditures of $2,082.60 which occurred in April 2020 (reflected in the May 2020 DR CPUC Report) related to program year 2020.  IT total was understated by $1,194.60 and Technical Incentives was understated by $888. Currently seeking guidance from Energy Division on how to address previous reports.</t>
    </r>
  </si>
  <si>
    <t>December  2021</t>
  </si>
  <si>
    <r>
      <rPr>
        <vertAlign val="superscript"/>
        <sz val="10"/>
        <color rgb="FFC00000"/>
        <rFont val="Arial"/>
        <family val="2"/>
      </rPr>
      <t>14</t>
    </r>
    <r>
      <rPr>
        <sz val="10"/>
        <rFont val="Arial"/>
        <family val="2"/>
      </rPr>
      <t xml:space="preserve"> Programs in yellow will be understated due to system issue; pending release</t>
    </r>
  </si>
  <si>
    <r>
      <t xml:space="preserve">Capacity Bidding Program (CBP) </t>
    </r>
    <r>
      <rPr>
        <vertAlign val="superscript"/>
        <sz val="10"/>
        <color rgb="FFFF0000"/>
        <rFont val="Arial"/>
        <family val="2"/>
      </rPr>
      <t>10,15</t>
    </r>
  </si>
  <si>
    <r>
      <t>Technology Incentives (TI)</t>
    </r>
    <r>
      <rPr>
        <vertAlign val="superscript"/>
        <sz val="9"/>
        <color rgb="FFFF0000"/>
        <rFont val="Arial"/>
        <family val="2"/>
      </rPr>
      <t xml:space="preserve"> 16</t>
    </r>
  </si>
  <si>
    <r>
      <t xml:space="preserve">CSEP </t>
    </r>
    <r>
      <rPr>
        <b/>
        <vertAlign val="superscript"/>
        <sz val="10"/>
        <color rgb="FFFF0000"/>
        <rFont val="Arial"/>
        <family val="2"/>
      </rPr>
      <t>1</t>
    </r>
  </si>
  <si>
    <r>
      <rPr>
        <vertAlign val="superscript"/>
        <sz val="11"/>
        <color rgb="FFFF0000"/>
        <rFont val="Arial"/>
        <family val="2"/>
      </rPr>
      <t>1</t>
    </r>
    <r>
      <rPr>
        <sz val="11"/>
        <rFont val="Arial"/>
        <family val="2"/>
      </rPr>
      <t xml:space="preserve"> December Credit is related to reimbursement from State of California Department of Finance.</t>
    </r>
  </si>
  <si>
    <r>
      <t>Demand Response Auction Mechanism Pilot (DRAM)</t>
    </r>
    <r>
      <rPr>
        <vertAlign val="superscript"/>
        <sz val="10"/>
        <color rgb="FFFF0000"/>
        <rFont val="Arial"/>
        <family val="2"/>
      </rPr>
      <t xml:space="preserve"> </t>
    </r>
    <r>
      <rPr>
        <b/>
        <vertAlign val="superscript"/>
        <sz val="10"/>
        <color rgb="FFFF0000"/>
        <rFont val="Arial"/>
        <family val="2"/>
      </rPr>
      <t>3,8,9</t>
    </r>
  </si>
  <si>
    <r>
      <t>AC Saver Day-Ahead</t>
    </r>
    <r>
      <rPr>
        <b/>
        <vertAlign val="superscript"/>
        <sz val="10"/>
        <color rgb="FFFF0000"/>
        <rFont val="Arial"/>
        <family val="2"/>
      </rPr>
      <t>11</t>
    </r>
  </si>
  <si>
    <r>
      <t>AC Saver Day-Of</t>
    </r>
    <r>
      <rPr>
        <b/>
        <vertAlign val="superscript"/>
        <sz val="10"/>
        <color rgb="FFFF0000"/>
        <rFont val="Arial"/>
        <family val="2"/>
      </rPr>
      <t>11</t>
    </r>
  </si>
  <si>
    <r>
      <t>Base Interruptible Program (BIP)</t>
    </r>
    <r>
      <rPr>
        <b/>
        <vertAlign val="superscript"/>
        <sz val="10"/>
        <color rgb="FFFF0000"/>
        <rFont val="Arial"/>
        <family val="2"/>
      </rPr>
      <t xml:space="preserve"> 1</t>
    </r>
    <r>
      <rPr>
        <vertAlign val="superscript"/>
        <sz val="10"/>
        <color rgb="FFFF0000"/>
        <rFont val="Arial"/>
        <family val="2"/>
      </rPr>
      <t>,</t>
    </r>
    <r>
      <rPr>
        <b/>
        <vertAlign val="superscript"/>
        <sz val="10"/>
        <color rgb="FFFF0000"/>
        <rFont val="Arial"/>
        <family val="2"/>
      </rPr>
      <t>2</t>
    </r>
    <r>
      <rPr>
        <vertAlign val="superscript"/>
        <sz val="10"/>
        <color rgb="FFFF0000"/>
        <rFont val="Arial"/>
        <family val="2"/>
      </rPr>
      <t>,4</t>
    </r>
    <r>
      <rPr>
        <b/>
        <vertAlign val="superscript"/>
        <sz val="10"/>
        <color rgb="FFFF0000"/>
        <rFont val="Arial"/>
        <family val="2"/>
      </rPr>
      <t>,11</t>
    </r>
  </si>
  <si>
    <r>
      <t xml:space="preserve">AC Saver Day‐Ahead </t>
    </r>
    <r>
      <rPr>
        <b/>
        <vertAlign val="superscript"/>
        <sz val="9"/>
        <color rgb="FFFF0000"/>
        <rFont val="Arial"/>
        <family val="2"/>
      </rPr>
      <t>17</t>
    </r>
  </si>
  <si>
    <r>
      <t>AC Saver Day‐Of</t>
    </r>
    <r>
      <rPr>
        <vertAlign val="superscript"/>
        <sz val="10"/>
        <color rgb="FFFF0000"/>
        <rFont val="Arial"/>
        <family val="2"/>
      </rPr>
      <t xml:space="preserve"> </t>
    </r>
    <r>
      <rPr>
        <b/>
        <vertAlign val="superscript"/>
        <sz val="9"/>
        <color rgb="FFFF0000"/>
        <rFont val="Arial"/>
        <family val="2"/>
      </rPr>
      <t>17</t>
    </r>
  </si>
  <si>
    <r>
      <t xml:space="preserve">Base Interruptible Program (BIP) </t>
    </r>
    <r>
      <rPr>
        <b/>
        <vertAlign val="superscript"/>
        <sz val="9"/>
        <color rgb="FFFF0000"/>
        <rFont val="Arial"/>
        <family val="2"/>
      </rPr>
      <t>3</t>
    </r>
    <r>
      <rPr>
        <vertAlign val="superscript"/>
        <sz val="9"/>
        <color rgb="FFFF0000"/>
        <rFont val="Arial"/>
        <family val="2"/>
      </rPr>
      <t>,4</t>
    </r>
    <r>
      <rPr>
        <b/>
        <vertAlign val="superscript"/>
        <sz val="9"/>
        <color rgb="FFFF0000"/>
        <rFont val="Arial"/>
        <family val="2"/>
      </rPr>
      <t>,17</t>
    </r>
  </si>
  <si>
    <r>
      <rPr>
        <vertAlign val="superscript"/>
        <sz val="10"/>
        <color rgb="FFFF0000"/>
        <rFont val="Arial"/>
        <family val="2"/>
      </rPr>
      <t>15</t>
    </r>
    <r>
      <rPr>
        <sz val="10"/>
        <rFont val="Arial"/>
        <family val="2"/>
      </rPr>
      <t xml:space="preserve"> December Credit is related to Aggregator under performance</t>
    </r>
  </si>
  <si>
    <r>
      <rPr>
        <vertAlign val="superscript"/>
        <sz val="10"/>
        <color rgb="FFFF0000"/>
        <rFont val="Arial"/>
        <family val="2"/>
      </rPr>
      <t xml:space="preserve">16 </t>
    </r>
    <r>
      <rPr>
        <sz val="10"/>
        <rFont val="Arial"/>
        <family val="2"/>
      </rPr>
      <t>December credit is related to payment reversal for prior period payment (October).</t>
    </r>
  </si>
  <si>
    <t>FLEX ALERT BALANCING ACCOUNT - (FABA) ($000)</t>
  </si>
  <si>
    <t>LMEO-Flex Alert Admin - Phase 1</t>
  </si>
  <si>
    <t>LMEO-SW Flext Alert CFA-Marketing</t>
  </si>
  <si>
    <r>
      <t xml:space="preserve">FLEX Alert CFA </t>
    </r>
    <r>
      <rPr>
        <vertAlign val="superscript"/>
        <sz val="10"/>
        <color rgb="FFFF0000"/>
        <rFont val="Arial"/>
        <family val="2"/>
      </rPr>
      <t>5</t>
    </r>
  </si>
  <si>
    <t>Flex Alert was approved in Decision 21.03.056 and modified by Decision 21.12.015</t>
  </si>
  <si>
    <r>
      <rPr>
        <vertAlign val="superscript"/>
        <sz val="11"/>
        <color rgb="FFFF0000"/>
        <rFont val="Arial"/>
        <family val="2"/>
      </rPr>
      <t>12</t>
    </r>
    <r>
      <rPr>
        <sz val="11"/>
        <rFont val="Arial"/>
        <family val="2"/>
      </rPr>
      <t xml:space="preserve"> Per Resolution E-4906 (issued 7/21/18), Ordering Paragraph 30 
approved a total fund shift of $934,498 of which $234,498 shifted from the Capacity Bidding Program, and $700,000 From Technical Incentives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r>
  </si>
  <si>
    <r>
      <t xml:space="preserve">Fund shift Adjustments </t>
    </r>
    <r>
      <rPr>
        <b/>
        <vertAlign val="superscript"/>
        <sz val="10"/>
        <color rgb="FFFF0000"/>
        <rFont val="Arial"/>
        <family val="2"/>
      </rPr>
      <t>12</t>
    </r>
  </si>
  <si>
    <r>
      <rPr>
        <vertAlign val="superscript"/>
        <sz val="10"/>
        <color rgb="FFFF0000"/>
        <rFont val="Arial"/>
        <family val="2"/>
      </rPr>
      <t xml:space="preserve">1 </t>
    </r>
    <r>
      <rPr>
        <sz val="10"/>
        <rFont val="Arial"/>
        <family val="2"/>
      </rPr>
      <t>LME&amp;O Approved Budget is a Five (5) Year Program Cycle 2018-2022 with the exception of Local IDSM Marketing which is funded per the approved Advice Letter 3598-E_2898-G/3599-E_2897G.</t>
    </r>
  </si>
  <si>
    <r>
      <rPr>
        <b/>
        <vertAlign val="superscript"/>
        <sz val="10"/>
        <color rgb="FFFF0000"/>
        <rFont val="Arial"/>
        <family val="2"/>
      </rPr>
      <t xml:space="preserve">4 </t>
    </r>
    <r>
      <rPr>
        <sz val="10"/>
        <color rgb="FF000000"/>
        <rFont val="Arial"/>
        <family val="2"/>
      </rPr>
      <t>Negative amount in May is primarily due to the correction of prior period labor costs.</t>
    </r>
  </si>
  <si>
    <r>
      <rPr>
        <vertAlign val="superscript"/>
        <sz val="10"/>
        <color rgb="FFFF0000"/>
        <rFont val="Arial"/>
        <family val="2"/>
      </rPr>
      <t>5</t>
    </r>
    <r>
      <rPr>
        <sz val="10"/>
        <rFont val="Arial"/>
        <family val="2"/>
      </rPr>
      <t xml:space="preserve"> Flex Alert was approved in Decision 21.03.056. and modified in Decision 21.12.015. December 2021 Actuals and YTD have been updated to include Flex Alert</t>
    </r>
  </si>
  <si>
    <r>
      <rPr>
        <vertAlign val="superscript"/>
        <sz val="10"/>
        <color rgb="FFC00000"/>
        <rFont val="Arial"/>
        <family val="2"/>
      </rPr>
      <t>11</t>
    </r>
    <r>
      <rPr>
        <sz val="10"/>
        <rFont val="Arial"/>
        <family val="2"/>
      </rPr>
      <t xml:space="preserve"> </t>
    </r>
    <r>
      <rPr>
        <sz val="11"/>
        <rFont val="Arial"/>
        <family val="2"/>
      </rPr>
      <t xml:space="preserve"> SDG&amp;E’s prior report did not include bill credits due to software reprogramming issues. Those issues have been resolved and this report reflects the correct expenditures to date.</t>
    </r>
  </si>
  <si>
    <r>
      <rPr>
        <vertAlign val="superscript"/>
        <sz val="10"/>
        <color rgb="FFFF0000"/>
        <rFont val="Arial"/>
        <family val="2"/>
      </rPr>
      <t xml:space="preserve">17 </t>
    </r>
    <r>
      <rPr>
        <sz val="10"/>
        <rFont val="Arial"/>
        <family val="2"/>
      </rPr>
      <t>SDG&amp;E’s prior report did not include bill credits due to software reprogramming issues. Those issues have been resolved and this report reflects the correct expenditures to date.</t>
    </r>
  </si>
  <si>
    <r>
      <rPr>
        <vertAlign val="superscript"/>
        <sz val="10"/>
        <color rgb="FFFF0000"/>
        <rFont val="Arial"/>
        <family val="2"/>
      </rPr>
      <t>1</t>
    </r>
    <r>
      <rPr>
        <vertAlign val="superscript"/>
        <sz val="10"/>
        <rFont val="Arial"/>
        <family val="2"/>
      </rPr>
      <t xml:space="preserve"> </t>
    </r>
    <r>
      <rPr>
        <sz val="10"/>
        <rFont val="Arial"/>
        <family val="2"/>
      </rPr>
      <t>Rule 32 click-through was approved in Decision 17-06-005.</t>
    </r>
  </si>
  <si>
    <r>
      <rPr>
        <vertAlign val="superscript"/>
        <sz val="10"/>
        <color rgb="FFFF0000"/>
        <rFont val="Arial"/>
        <family val="2"/>
      </rPr>
      <t>2</t>
    </r>
    <r>
      <rPr>
        <sz val="10"/>
        <rFont val="Arial"/>
        <family val="2"/>
      </rPr>
      <t xml:space="preserve"> Rule 32 Operations was approved in AL 3191-E.</t>
    </r>
  </si>
  <si>
    <r>
      <rPr>
        <vertAlign val="superscript"/>
        <sz val="10"/>
        <color rgb="FFFF0000"/>
        <rFont val="Arial"/>
        <family val="2"/>
      </rPr>
      <t>3</t>
    </r>
    <r>
      <rPr>
        <sz val="10"/>
        <rFont val="Arial"/>
        <family val="2"/>
      </rPr>
      <t xml:space="preserve"> Rule 32 CISR Enhancement was approved in AL 3136-E.</t>
    </r>
  </si>
  <si>
    <r>
      <rPr>
        <vertAlign val="superscript"/>
        <sz val="10"/>
        <color rgb="FFFF0000"/>
        <rFont val="Arial"/>
        <family val="2"/>
      </rPr>
      <t>4</t>
    </r>
    <r>
      <rPr>
        <sz val="10"/>
        <rFont val="Arial"/>
        <family val="2"/>
      </rPr>
      <t xml:space="preserve"> January credit is related to labor corrections and labor accrual reversals related to a prior period expense (December 2020).</t>
    </r>
  </si>
  <si>
    <r>
      <rPr>
        <vertAlign val="superscript"/>
        <sz val="10"/>
        <color rgb="FFFF0000"/>
        <rFont val="Arial"/>
        <family val="2"/>
      </rPr>
      <t xml:space="preserve">5 </t>
    </r>
    <r>
      <rPr>
        <sz val="10"/>
        <rFont val="Arial"/>
        <family val="2"/>
      </rPr>
      <t xml:space="preserve">July Credits are due to accrual reversals. </t>
    </r>
  </si>
  <si>
    <r>
      <rPr>
        <vertAlign val="superscript"/>
        <sz val="10"/>
        <color rgb="FFFF0000"/>
        <rFont val="Arial"/>
        <family val="2"/>
      </rPr>
      <t xml:space="preserve">6 </t>
    </r>
    <r>
      <rPr>
        <sz val="10"/>
        <rFont val="Arial"/>
        <family val="2"/>
      </rPr>
      <t xml:space="preserve">October Credits are due to accrual reversals. </t>
    </r>
  </si>
  <si>
    <r>
      <rPr>
        <vertAlign val="superscript"/>
        <sz val="10"/>
        <color rgb="FFFF0000"/>
        <rFont val="Arial"/>
        <family val="2"/>
      </rPr>
      <t xml:space="preserve">1 </t>
    </r>
    <r>
      <rPr>
        <sz val="10"/>
        <color rgb="FF000000"/>
        <rFont val="Arial"/>
        <family val="2"/>
      </rPr>
      <t>Negative amount in July is primarily due to the correction of prior period labor costs.</t>
    </r>
  </si>
  <si>
    <r>
      <rPr>
        <vertAlign val="superscript"/>
        <sz val="10"/>
        <color rgb="FFFF0000"/>
        <rFont val="Arial"/>
        <family val="2"/>
      </rPr>
      <t>2</t>
    </r>
    <r>
      <rPr>
        <sz val="10"/>
        <rFont val="Arial"/>
        <family val="2"/>
      </rPr>
      <t xml:space="preserve"> Negative amount in January is due to an accrual reversal and true-up of December actual program expenditures.</t>
    </r>
  </si>
  <si>
    <r>
      <rPr>
        <b/>
        <vertAlign val="superscript"/>
        <sz val="10"/>
        <color rgb="FFFF0000"/>
        <rFont val="Arial"/>
        <family val="2"/>
      </rPr>
      <t>3</t>
    </r>
    <r>
      <rPr>
        <sz val="10"/>
        <rFont val="Arial"/>
        <family val="2"/>
      </rPr>
      <t xml:space="preserve"> Negative amount in April due to an accrual reversal and true-up of prior period program expenditures.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</si>
</sst>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000"/>
    <numFmt numFmtId="177" formatCode="_(* #,##0.00_);_(* \(#,##0.00\);_(* &quot;-&quot;_);_(@_)"/>
    <numFmt numFmtId="178" formatCode="_(&quot;$&quot;* #,##0.0_);_(&quot;$&quot;* \(#,##0.0\);_(&quot;$&quot;* &quot;-&quot;?_);_(@_)"/>
    <numFmt numFmtId="179" formatCode="_(&quot;$&quot;* #,##0.00_);_(&quot;$&quot;* \(#,##0.00\);_(&quot;$&quot;* &quot;-&quot;?_);_(@_)"/>
    <numFmt numFmtId="180" formatCode="_(&quot;$&quot;* #,##0.0000_);_(&quot;$&quot;* \(#,##0.0000\);_(&quot;$&quot;* &quot;-&quot;??_);_(@_)"/>
    <numFmt numFmtId="181" formatCode="_(&quot;$&quot;* #,##0.000_);_(&quot;$&quot;* \(#,##0.000\);_(&quot;$&quot;* &quot;-&quot;_);_(@_)"/>
  </numFmts>
  <fonts count="14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sz val="10"/>
      <name val="Arial"/>
      <family val="2"/>
    </font>
    <font>
      <sz val="10"/>
      <name val="Calibri"/>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vertAlign val="superscript"/>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indexed="37"/>
      <name val="Calibri"/>
      <family val="2"/>
    </font>
    <font>
      <sz val="11"/>
      <color indexed="20"/>
      <name val="Calibri"/>
      <family val="2"/>
    </font>
    <font>
      <b/>
      <sz val="11"/>
      <color indexed="17"/>
      <name val="Calibri"/>
      <family val="2"/>
    </font>
    <font>
      <b/>
      <sz val="11"/>
      <color indexed="52"/>
      <name val="Calibri"/>
      <family val="2"/>
    </font>
    <font>
      <sz val="10"/>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8"/>
      <color indexed="62"/>
      <name val="Arial"/>
      <family val="2"/>
    </font>
    <font>
      <b/>
      <sz val="8"/>
      <color indexed="8"/>
      <name val="Arial"/>
      <family val="2"/>
    </font>
    <font>
      <b/>
      <sz val="8"/>
      <name val="Arial"/>
      <family val="2"/>
    </font>
    <font>
      <sz val="8"/>
      <color indexed="8"/>
      <name val="Arial"/>
      <family val="2"/>
    </font>
    <font>
      <b/>
      <sz val="16"/>
      <color indexed="23"/>
      <name val="Arial"/>
      <family val="2"/>
    </font>
    <font>
      <sz val="19"/>
      <name val="Arial"/>
      <family val="2"/>
    </font>
    <font>
      <sz val="8"/>
      <color indexed="14"/>
      <name val="Arial"/>
      <family val="2"/>
    </font>
    <font>
      <b/>
      <sz val="18"/>
      <color indexed="56"/>
      <name val="Cambria"/>
      <family val="2"/>
    </font>
    <font>
      <sz val="11"/>
      <color indexed="14"/>
      <name val="Calibri"/>
      <family val="2"/>
    </font>
    <font>
      <b/>
      <sz val="18"/>
      <color theme="3"/>
      <name val="Cambria"/>
      <family val="2"/>
      <scheme val="major"/>
    </font>
    <font>
      <strike/>
      <sz val="11"/>
      <name val="Arial"/>
      <family val="2"/>
    </font>
    <font>
      <strike/>
      <sz val="10"/>
      <name val="Arial"/>
      <family val="2"/>
    </font>
    <font>
      <vertAlign val="superscript"/>
      <sz val="11"/>
      <name val="Arial"/>
      <family val="2"/>
    </font>
    <font>
      <sz val="11"/>
      <name val="Cambria"/>
      <family val="1"/>
    </font>
    <font>
      <sz val="9"/>
      <name val="Cambria"/>
      <family val="1"/>
    </font>
    <font>
      <b/>
      <vertAlign val="superscript"/>
      <sz val="11"/>
      <color rgb="FFFF0000"/>
      <name val="Arial"/>
      <family val="2"/>
    </font>
    <font>
      <sz val="11"/>
      <color rgb="FF444444"/>
      <name val="Arial"/>
      <family val="2"/>
    </font>
    <font>
      <strike/>
      <sz val="11"/>
      <color indexed="8"/>
      <name val="Arial"/>
      <family val="2"/>
    </font>
    <font>
      <sz val="10"/>
      <name val="Arial"/>
      <family val="2"/>
    </font>
    <font>
      <b/>
      <sz val="10"/>
      <color rgb="FFFF0000"/>
      <name val="Arial"/>
      <family val="2"/>
    </font>
    <font>
      <sz val="8"/>
      <color rgb="FF444444"/>
      <name val="Arial"/>
      <family val="2"/>
    </font>
    <font>
      <sz val="8"/>
      <color rgb="FFFF0000"/>
      <name val="Arial"/>
      <family val="2"/>
    </font>
    <font>
      <sz val="9"/>
      <color rgb="FFFF0000"/>
      <name val="Arial"/>
      <family val="2"/>
    </font>
    <font>
      <vertAlign val="superscript"/>
      <sz val="10"/>
      <color rgb="FFC00000"/>
      <name val="Arial"/>
      <family val="2"/>
    </font>
    <font>
      <b/>
      <sz val="9"/>
      <color rgb="FFFF0000"/>
      <name val="Arial"/>
      <family val="2"/>
    </font>
    <font>
      <sz val="10"/>
      <color theme="4"/>
      <name val="Arial"/>
      <family val="2"/>
    </font>
    <font>
      <sz val="10"/>
      <color rgb="FF000000"/>
      <name val="Arial"/>
      <family val="2"/>
    </font>
    <font>
      <i/>
      <sz val="10"/>
      <color rgb="FF1F497D"/>
      <name val="Calibri"/>
      <family val="2"/>
    </font>
  </fonts>
  <fills count="125">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indexed="49"/>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6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patternFill>
    </fill>
    <fill>
      <patternFill patternType="solid">
        <fgColor indexed="22"/>
        <bgColor indexed="64"/>
      </patternFill>
    </fill>
    <fill>
      <patternFill patternType="solid">
        <fgColor indexed="26"/>
        <bgColor indexed="64"/>
      </patternFill>
    </fill>
    <fill>
      <patternFill patternType="solid">
        <fgColor indexed="20"/>
      </patternFill>
    </fill>
  </fills>
  <borders count="1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right/>
      <top/>
      <bottom style="double">
        <color indexed="52"/>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medium">
        <color indexed="64"/>
      </right>
      <top/>
      <bottom/>
      <diagonal/>
    </border>
    <border>
      <left style="thin">
        <color rgb="FF000000"/>
      </left>
      <right style="thin">
        <color rgb="FF000000"/>
      </right>
      <top style="thin">
        <color rgb="FF000000"/>
      </top>
      <bottom/>
      <diagonal/>
    </border>
    <border>
      <left style="medium">
        <color indexed="64"/>
      </left>
      <right style="medium">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s>
  <cellStyleXfs count="5688">
    <xf numFmtId="175" fontId="0" fillId="0" borderId="0"/>
    <xf numFmtId="175" fontId="21" fillId="2" borderId="0" applyNumberFormat="0" applyBorder="0" applyAlignment="0" applyProtection="0"/>
    <xf numFmtId="175" fontId="21" fillId="3" borderId="0" applyNumberFormat="0" applyBorder="0" applyAlignment="0" applyProtection="0"/>
    <xf numFmtId="175" fontId="21" fillId="4" borderId="0" applyNumberFormat="0" applyBorder="0" applyAlignment="0" applyProtection="0"/>
    <xf numFmtId="175" fontId="21" fillId="5" borderId="0" applyNumberFormat="0" applyBorder="0" applyAlignment="0" applyProtection="0"/>
    <xf numFmtId="175" fontId="21" fillId="6" borderId="0" applyNumberFormat="0" applyBorder="0" applyAlignment="0" applyProtection="0"/>
    <xf numFmtId="175" fontId="21" fillId="7"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8" borderId="0" applyNumberFormat="0" applyBorder="0" applyAlignment="0" applyProtection="0"/>
    <xf numFmtId="175" fontId="22" fillId="3"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8" borderId="0" applyNumberFormat="0" applyBorder="0" applyAlignment="0" applyProtection="0"/>
    <xf numFmtId="175" fontId="22" fillId="11" borderId="0" applyNumberFormat="0" applyBorder="0" applyAlignment="0" applyProtection="0"/>
    <xf numFmtId="175" fontId="23" fillId="12" borderId="0" applyNumberFormat="0" applyBorder="0" applyAlignment="0" applyProtection="0"/>
    <xf numFmtId="175" fontId="24" fillId="13" borderId="0" applyNumberFormat="0" applyBorder="0" applyAlignment="0" applyProtection="0"/>
    <xf numFmtId="175" fontId="24" fillId="14" borderId="0" applyNumberFormat="0" applyBorder="0" applyAlignment="0" applyProtection="0"/>
    <xf numFmtId="175" fontId="23" fillId="15" borderId="0" applyNumberFormat="0" applyBorder="0" applyAlignment="0" applyProtection="0"/>
    <xf numFmtId="175" fontId="23" fillId="16" borderId="0" applyNumberFormat="0" applyBorder="0" applyAlignment="0" applyProtection="0"/>
    <xf numFmtId="175" fontId="24" fillId="17" borderId="0" applyNumberFormat="0" applyBorder="0" applyAlignment="0" applyProtection="0"/>
    <xf numFmtId="175" fontId="24" fillId="18" borderId="0" applyNumberFormat="0" applyBorder="0" applyAlignment="0" applyProtection="0"/>
    <xf numFmtId="175" fontId="23" fillId="19" borderId="0" applyNumberFormat="0" applyBorder="0" applyAlignment="0" applyProtection="0"/>
    <xf numFmtId="175" fontId="23" fillId="19" borderId="0" applyNumberFormat="0" applyBorder="0" applyAlignment="0" applyProtection="0"/>
    <xf numFmtId="175" fontId="24" fillId="20" borderId="0" applyNumberFormat="0" applyBorder="0" applyAlignment="0" applyProtection="0"/>
    <xf numFmtId="175" fontId="24" fillId="21" borderId="0" applyNumberFormat="0" applyBorder="0" applyAlignment="0" applyProtection="0"/>
    <xf numFmtId="175" fontId="23" fillId="22" borderId="0" applyNumberFormat="0" applyBorder="0" applyAlignment="0" applyProtection="0"/>
    <xf numFmtId="175" fontId="23" fillId="23" borderId="0" applyNumberFormat="0" applyBorder="0" applyAlignment="0" applyProtection="0"/>
    <xf numFmtId="175" fontId="24" fillId="21" borderId="0" applyNumberFormat="0" applyBorder="0" applyAlignment="0" applyProtection="0"/>
    <xf numFmtId="175" fontId="24" fillId="22" borderId="0" applyNumberFormat="0" applyBorder="0" applyAlignment="0" applyProtection="0"/>
    <xf numFmtId="175" fontId="23" fillId="22" borderId="0" applyNumberFormat="0" applyBorder="0" applyAlignment="0" applyProtection="0"/>
    <xf numFmtId="175" fontId="23" fillId="24" borderId="0" applyNumberFormat="0" applyBorder="0" applyAlignment="0" applyProtection="0"/>
    <xf numFmtId="175" fontId="24" fillId="13" borderId="0" applyNumberFormat="0" applyBorder="0" applyAlignment="0" applyProtection="0"/>
    <xf numFmtId="175" fontId="24" fillId="14" borderId="0" applyNumberFormat="0" applyBorder="0" applyAlignment="0" applyProtection="0"/>
    <xf numFmtId="175" fontId="23" fillId="14" borderId="0" applyNumberFormat="0" applyBorder="0" applyAlignment="0" applyProtection="0"/>
    <xf numFmtId="175" fontId="23" fillId="25" borderId="0" applyNumberFormat="0" applyBorder="0" applyAlignment="0" applyProtection="0"/>
    <xf numFmtId="175" fontId="24" fillId="26" borderId="0" applyNumberFormat="0" applyBorder="0" applyAlignment="0" applyProtection="0"/>
    <xf numFmtId="175" fontId="24" fillId="18" borderId="0" applyNumberFormat="0" applyBorder="0" applyAlignment="0" applyProtection="0"/>
    <xf numFmtId="175" fontId="23" fillId="27" borderId="0" applyNumberFormat="0" applyBorder="0" applyAlignment="0" applyProtection="0"/>
    <xf numFmtId="175" fontId="25" fillId="18" borderId="0" applyNumberFormat="0" applyBorder="0" applyAlignment="0" applyProtection="0"/>
    <xf numFmtId="175" fontId="26" fillId="28" borderId="1" applyNumberFormat="0" applyAlignment="0" applyProtection="0"/>
    <xf numFmtId="175" fontId="27" fillId="19" borderId="2" applyNumberFormat="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52" fillId="0" borderId="0" applyFont="0" applyFill="0" applyBorder="0" applyAlignment="0" applyProtection="0"/>
    <xf numFmtId="44" fontId="17" fillId="0" borderId="0" applyFont="0" applyFill="0" applyBorder="0" applyAlignment="0" applyProtection="0"/>
    <xf numFmtId="44" fontId="52" fillId="0" borderId="0" applyFont="0" applyFill="0" applyBorder="0" applyAlignment="0" applyProtection="0"/>
    <xf numFmtId="175" fontId="28" fillId="29" borderId="0" applyNumberFormat="0" applyBorder="0" applyAlignment="0" applyProtection="0"/>
    <xf numFmtId="175" fontId="28" fillId="30" borderId="0" applyNumberFormat="0" applyBorder="0" applyAlignment="0" applyProtection="0"/>
    <xf numFmtId="175" fontId="28" fillId="31" borderId="0" applyNumberFormat="0" applyBorder="0" applyAlignment="0" applyProtection="0"/>
    <xf numFmtId="175" fontId="29" fillId="0" borderId="0" applyNumberFormat="0" applyFill="0" applyBorder="0" applyAlignment="0" applyProtection="0"/>
    <xf numFmtId="175" fontId="30" fillId="32" borderId="0" applyNumberFormat="0" applyBorder="0" applyAlignment="0" applyProtection="0"/>
    <xf numFmtId="175" fontId="31" fillId="0" borderId="3" applyNumberFormat="0" applyFill="0" applyAlignment="0" applyProtection="0"/>
    <xf numFmtId="175" fontId="32" fillId="0" borderId="4" applyNumberFormat="0" applyFill="0" applyAlignment="0" applyProtection="0"/>
    <xf numFmtId="175" fontId="33" fillId="0" borderId="5" applyNumberFormat="0" applyFill="0" applyAlignment="0" applyProtection="0"/>
    <xf numFmtId="175" fontId="33" fillId="0" borderId="0" applyNumberFormat="0" applyFill="0" applyBorder="0" applyAlignment="0" applyProtection="0"/>
    <xf numFmtId="175" fontId="34" fillId="27" borderId="1" applyNumberFormat="0" applyAlignment="0" applyProtection="0"/>
    <xf numFmtId="175" fontId="35" fillId="0" borderId="6" applyNumberFormat="0" applyFill="0" applyAlignment="0" applyProtection="0"/>
    <xf numFmtId="175" fontId="36" fillId="27" borderId="0" applyNumberFormat="0" applyBorder="0" applyAlignment="0" applyProtection="0"/>
    <xf numFmtId="175" fontId="17" fillId="0" borderId="0"/>
    <xf numFmtId="175" fontId="19" fillId="0" borderId="0"/>
    <xf numFmtId="175" fontId="17" fillId="26" borderId="7" applyNumberFormat="0" applyFont="0" applyAlignment="0" applyProtection="0"/>
    <xf numFmtId="175" fontId="37" fillId="28" borderId="8" applyNumberFormat="0" applyAlignment="0" applyProtection="0"/>
    <xf numFmtId="9" fontId="51" fillId="0" borderId="0" applyFont="0" applyFill="0" applyBorder="0" applyAlignment="0" applyProtection="0"/>
    <xf numFmtId="9" fontId="17" fillId="0" borderId="0" applyFont="0" applyFill="0" applyBorder="0" applyAlignment="0" applyProtection="0"/>
    <xf numFmtId="4" fontId="38" fillId="33" borderId="9" applyNumberFormat="0" applyProtection="0">
      <alignment vertical="center"/>
    </xf>
    <xf numFmtId="4" fontId="39" fillId="33" borderId="9" applyNumberFormat="0" applyProtection="0">
      <alignment vertical="center"/>
    </xf>
    <xf numFmtId="4" fontId="38" fillId="33" borderId="9" applyNumberFormat="0" applyProtection="0">
      <alignment horizontal="left" vertical="center" indent="1"/>
    </xf>
    <xf numFmtId="175" fontId="38" fillId="33" borderId="9" applyNumberFormat="0" applyProtection="0">
      <alignment horizontal="left" vertical="top" indent="1"/>
    </xf>
    <xf numFmtId="4" fontId="38" fillId="2" borderId="0" applyNumberFormat="0" applyProtection="0">
      <alignment horizontal="left" vertical="center" indent="1"/>
    </xf>
    <xf numFmtId="4" fontId="21" fillId="7" borderId="9" applyNumberFormat="0" applyProtection="0">
      <alignment horizontal="right" vertical="center"/>
    </xf>
    <xf numFmtId="4" fontId="21" fillId="3" borderId="9" applyNumberFormat="0" applyProtection="0">
      <alignment horizontal="right" vertical="center"/>
    </xf>
    <xf numFmtId="4" fontId="21" fillId="34" borderId="9" applyNumberFormat="0" applyProtection="0">
      <alignment horizontal="right" vertical="center"/>
    </xf>
    <xf numFmtId="4" fontId="21" fillId="35" borderId="9" applyNumberFormat="0" applyProtection="0">
      <alignment horizontal="right" vertical="center"/>
    </xf>
    <xf numFmtId="4" fontId="21" fillId="36" borderId="9" applyNumberFormat="0" applyProtection="0">
      <alignment horizontal="right" vertical="center"/>
    </xf>
    <xf numFmtId="4" fontId="21" fillId="37" borderId="9" applyNumberFormat="0" applyProtection="0">
      <alignment horizontal="right" vertical="center"/>
    </xf>
    <xf numFmtId="4" fontId="21" fillId="9" borderId="9" applyNumberFormat="0" applyProtection="0">
      <alignment horizontal="right" vertical="center"/>
    </xf>
    <xf numFmtId="4" fontId="21" fillId="38" borderId="9" applyNumberFormat="0" applyProtection="0">
      <alignment horizontal="right" vertical="center"/>
    </xf>
    <xf numFmtId="4" fontId="21" fillId="39" borderId="9" applyNumberFormat="0" applyProtection="0">
      <alignment horizontal="right" vertical="center"/>
    </xf>
    <xf numFmtId="4" fontId="38" fillId="40" borderId="10" applyNumberFormat="0" applyProtection="0">
      <alignment horizontal="left" vertical="center" indent="1"/>
    </xf>
    <xf numFmtId="4" fontId="21" fillId="41" borderId="0" applyNumberFormat="0" applyProtection="0">
      <alignment horizontal="left" vertical="center" indent="1"/>
    </xf>
    <xf numFmtId="4" fontId="40" fillId="8" borderId="0" applyNumberFormat="0" applyProtection="0">
      <alignment horizontal="left" vertical="center" indent="1"/>
    </xf>
    <xf numFmtId="4" fontId="21" fillId="2" borderId="9" applyNumberFormat="0" applyProtection="0">
      <alignment horizontal="right" vertical="center"/>
    </xf>
    <xf numFmtId="4" fontId="19" fillId="41" borderId="0" applyNumberFormat="0" applyProtection="0">
      <alignment horizontal="left" vertical="center" indent="1"/>
    </xf>
    <xf numFmtId="4" fontId="19" fillId="2" borderId="0" applyNumberFormat="0" applyProtection="0">
      <alignment horizontal="left" vertical="center" indent="1"/>
    </xf>
    <xf numFmtId="175" fontId="17" fillId="8" borderId="9" applyNumberFormat="0" applyProtection="0">
      <alignment horizontal="left" vertical="center" indent="1"/>
    </xf>
    <xf numFmtId="175" fontId="17" fillId="8" borderId="9" applyNumberFormat="0" applyProtection="0">
      <alignment horizontal="left" vertical="top" indent="1"/>
    </xf>
    <xf numFmtId="175" fontId="17" fillId="2" borderId="9" applyNumberFormat="0" applyProtection="0">
      <alignment horizontal="left" vertical="center" indent="1"/>
    </xf>
    <xf numFmtId="175" fontId="17" fillId="2" borderId="9" applyNumberFormat="0" applyProtection="0">
      <alignment horizontal="left" vertical="top" indent="1"/>
    </xf>
    <xf numFmtId="175" fontId="17" fillId="6" borderId="9" applyNumberFormat="0" applyProtection="0">
      <alignment horizontal="left" vertical="center" indent="1"/>
    </xf>
    <xf numFmtId="175" fontId="17" fillId="6" borderId="9" applyNumberFormat="0" applyProtection="0">
      <alignment horizontal="left" vertical="top" indent="1"/>
    </xf>
    <xf numFmtId="175" fontId="17" fillId="41" borderId="9" applyNumberFormat="0" applyProtection="0">
      <alignment horizontal="left" vertical="center" indent="1"/>
    </xf>
    <xf numFmtId="175" fontId="17" fillId="41" borderId="9" applyNumberFormat="0" applyProtection="0">
      <alignment horizontal="left" vertical="top" indent="1"/>
    </xf>
    <xf numFmtId="175" fontId="17" fillId="5" borderId="11" applyNumberFormat="0">
      <protection locked="0"/>
    </xf>
    <xf numFmtId="4" fontId="21" fillId="4" borderId="9" applyNumberFormat="0" applyProtection="0">
      <alignment vertical="center"/>
    </xf>
    <xf numFmtId="4" fontId="41" fillId="4" borderId="9" applyNumberFormat="0" applyProtection="0">
      <alignment vertical="center"/>
    </xf>
    <xf numFmtId="4" fontId="21" fillId="4" borderId="9" applyNumberFormat="0" applyProtection="0">
      <alignment horizontal="left" vertical="center" indent="1"/>
    </xf>
    <xf numFmtId="175" fontId="21" fillId="4" borderId="9" applyNumberFormat="0" applyProtection="0">
      <alignment horizontal="left" vertical="top" indent="1"/>
    </xf>
    <xf numFmtId="4" fontId="21" fillId="41" borderId="9" applyNumberFormat="0" applyProtection="0">
      <alignment horizontal="right" vertical="center"/>
    </xf>
    <xf numFmtId="4" fontId="41" fillId="41" borderId="9" applyNumberFormat="0" applyProtection="0">
      <alignment horizontal="right" vertical="center"/>
    </xf>
    <xf numFmtId="4" fontId="21" fillId="2" borderId="9" applyNumberFormat="0" applyProtection="0">
      <alignment horizontal="left" vertical="center" indent="1"/>
    </xf>
    <xf numFmtId="175" fontId="21" fillId="2" borderId="9" applyNumberFormat="0" applyProtection="0">
      <alignment horizontal="left" vertical="top" indent="1"/>
    </xf>
    <xf numFmtId="4" fontId="42" fillId="42" borderId="0" applyNumberFormat="0" applyProtection="0">
      <alignment horizontal="left" vertical="center" indent="1"/>
    </xf>
    <xf numFmtId="4" fontId="43" fillId="41" borderId="9" applyNumberFormat="0" applyProtection="0">
      <alignment horizontal="right" vertical="center"/>
    </xf>
    <xf numFmtId="175" fontId="44" fillId="0" borderId="0" applyNumberFormat="0" applyFill="0" applyBorder="0" applyAlignment="0" applyProtection="0"/>
    <xf numFmtId="175" fontId="44" fillId="0" borderId="0" applyNumberFormat="0" applyFill="0" applyBorder="0" applyAlignment="0" applyProtection="0"/>
    <xf numFmtId="175" fontId="28" fillId="0" borderId="12" applyNumberFormat="0" applyFill="0" applyAlignment="0" applyProtection="0"/>
    <xf numFmtId="175" fontId="45" fillId="0" borderId="0" applyNumberFormat="0" applyFill="0" applyBorder="0" applyAlignment="0" applyProtection="0"/>
    <xf numFmtId="175" fontId="19" fillId="2" borderId="0" applyNumberFormat="0" applyBorder="0" applyAlignment="0" applyProtection="0"/>
    <xf numFmtId="175" fontId="19" fillId="3" borderId="0" applyNumberFormat="0" applyBorder="0" applyAlignment="0" applyProtection="0"/>
    <xf numFmtId="175" fontId="19" fillId="4" borderId="0" applyNumberFormat="0" applyBorder="0" applyAlignment="0" applyProtection="0"/>
    <xf numFmtId="175" fontId="19" fillId="5" borderId="0" applyNumberFormat="0" applyBorder="0" applyAlignment="0" applyProtection="0"/>
    <xf numFmtId="175" fontId="19" fillId="6" borderId="0" applyNumberFormat="0" applyBorder="0" applyAlignment="0" applyProtection="0"/>
    <xf numFmtId="175" fontId="19" fillId="7"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44" fontId="17" fillId="0" borderId="0" applyFont="0" applyFill="0" applyBorder="0" applyAlignment="0" applyProtection="0"/>
    <xf numFmtId="4" fontId="19" fillId="7" borderId="9" applyNumberFormat="0" applyProtection="0">
      <alignment horizontal="right" vertical="center"/>
    </xf>
    <xf numFmtId="4" fontId="19" fillId="3" borderId="9" applyNumberFormat="0" applyProtection="0">
      <alignment horizontal="right" vertical="center"/>
    </xf>
    <xf numFmtId="4" fontId="19" fillId="34" borderId="9" applyNumberFormat="0" applyProtection="0">
      <alignment horizontal="right" vertical="center"/>
    </xf>
    <xf numFmtId="4" fontId="19" fillId="35" borderId="9" applyNumberFormat="0" applyProtection="0">
      <alignment horizontal="right" vertical="center"/>
    </xf>
    <xf numFmtId="4" fontId="19" fillId="36" borderId="9" applyNumberFormat="0" applyProtection="0">
      <alignment horizontal="right" vertical="center"/>
    </xf>
    <xf numFmtId="4" fontId="19" fillId="37" borderId="9" applyNumberFormat="0" applyProtection="0">
      <alignment horizontal="right" vertical="center"/>
    </xf>
    <xf numFmtId="4" fontId="19" fillId="9" borderId="9" applyNumberFormat="0" applyProtection="0">
      <alignment horizontal="right" vertical="center"/>
    </xf>
    <xf numFmtId="4" fontId="19" fillId="38" borderId="9" applyNumberFormat="0" applyProtection="0">
      <alignment horizontal="right" vertical="center"/>
    </xf>
    <xf numFmtId="4" fontId="19" fillId="39" borderId="9" applyNumberFormat="0" applyProtection="0">
      <alignment horizontal="right" vertical="center"/>
    </xf>
    <xf numFmtId="4" fontId="19" fillId="41" borderId="0" applyNumberFormat="0" applyProtection="0">
      <alignment horizontal="left" vertical="center" indent="1"/>
    </xf>
    <xf numFmtId="4" fontId="19" fillId="2" borderId="9" applyNumberFormat="0" applyProtection="0">
      <alignment horizontal="right" vertical="center"/>
    </xf>
    <xf numFmtId="4" fontId="19" fillId="4" borderId="9" applyNumberFormat="0" applyProtection="0">
      <alignment vertical="center"/>
    </xf>
    <xf numFmtId="4" fontId="19" fillId="4" borderId="9" applyNumberFormat="0" applyProtection="0">
      <alignment horizontal="left" vertical="center" indent="1"/>
    </xf>
    <xf numFmtId="175" fontId="19" fillId="4" borderId="9" applyNumberFormat="0" applyProtection="0">
      <alignment horizontal="left" vertical="top" indent="1"/>
    </xf>
    <xf numFmtId="4" fontId="19" fillId="41" borderId="9" applyNumberFormat="0" applyProtection="0">
      <alignment horizontal="right" vertical="center"/>
    </xf>
    <xf numFmtId="4" fontId="19" fillId="2" borderId="9" applyNumberFormat="0" applyProtection="0">
      <alignment horizontal="left" vertical="center" indent="1"/>
    </xf>
    <xf numFmtId="175" fontId="19" fillId="2" borderId="9" applyNumberFormat="0" applyProtection="0">
      <alignment horizontal="left" vertical="top" indent="1"/>
    </xf>
    <xf numFmtId="9" fontId="58" fillId="0" borderId="0" applyFont="0" applyFill="0" applyBorder="0" applyAlignment="0" applyProtection="0"/>
    <xf numFmtId="175" fontId="60" fillId="0" borderId="0"/>
    <xf numFmtId="175" fontId="16" fillId="0" borderId="0"/>
    <xf numFmtId="175" fontId="17" fillId="0" borderId="0"/>
    <xf numFmtId="175" fontId="19" fillId="2" borderId="0" applyNumberFormat="0" applyBorder="0" applyAlignment="0" applyProtection="0"/>
    <xf numFmtId="175" fontId="19" fillId="3" borderId="0" applyNumberFormat="0" applyBorder="0" applyAlignment="0" applyProtection="0"/>
    <xf numFmtId="175" fontId="19" fillId="4" borderId="0" applyNumberFormat="0" applyBorder="0" applyAlignment="0" applyProtection="0"/>
    <xf numFmtId="175" fontId="19" fillId="5" borderId="0" applyNumberFormat="0" applyBorder="0" applyAlignment="0" applyProtection="0"/>
    <xf numFmtId="175" fontId="19" fillId="6" borderId="0" applyNumberFormat="0" applyBorder="0" applyAlignment="0" applyProtection="0"/>
    <xf numFmtId="175" fontId="19" fillId="7"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2" fillId="8" borderId="0" applyNumberFormat="0" applyBorder="0" applyAlignment="0" applyProtection="0"/>
    <xf numFmtId="175" fontId="22" fillId="3"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8" borderId="0" applyNumberFormat="0" applyBorder="0" applyAlignment="0" applyProtection="0"/>
    <xf numFmtId="175" fontId="22" fillId="11" borderId="0" applyNumberFormat="0" applyBorder="0" applyAlignment="0" applyProtection="0"/>
    <xf numFmtId="175" fontId="23" fillId="12" borderId="0" applyNumberFormat="0" applyBorder="0" applyAlignment="0" applyProtection="0"/>
    <xf numFmtId="175" fontId="23" fillId="16" borderId="0" applyNumberFormat="0" applyBorder="0" applyAlignment="0" applyProtection="0"/>
    <xf numFmtId="175" fontId="23" fillId="19" borderId="0" applyNumberFormat="0" applyBorder="0" applyAlignment="0" applyProtection="0"/>
    <xf numFmtId="175" fontId="23" fillId="23" borderId="0" applyNumberFormat="0" applyBorder="0" applyAlignment="0" applyProtection="0"/>
    <xf numFmtId="175" fontId="23" fillId="24" borderId="0" applyNumberFormat="0" applyBorder="0" applyAlignment="0" applyProtection="0"/>
    <xf numFmtId="175" fontId="23" fillId="25" borderId="0" applyNumberFormat="0" applyBorder="0" applyAlignment="0" applyProtection="0"/>
    <xf numFmtId="175" fontId="25" fillId="18" borderId="0" applyNumberFormat="0" applyBorder="0" applyAlignment="0" applyProtection="0"/>
    <xf numFmtId="175" fontId="26" fillId="28" borderId="1" applyNumberFormat="0" applyAlignment="0" applyProtection="0"/>
    <xf numFmtId="175" fontId="27" fillId="19" borderId="2" applyNumberFormat="0" applyAlignment="0" applyProtection="0"/>
    <xf numFmtId="43" fontId="17" fillId="0" borderId="0" applyFont="0" applyFill="0" applyBorder="0" applyAlignment="0" applyProtection="0"/>
    <xf numFmtId="175" fontId="29" fillId="0" borderId="0" applyNumberFormat="0" applyFill="0" applyBorder="0" applyAlignment="0" applyProtection="0"/>
    <xf numFmtId="175" fontId="30" fillId="32" borderId="0" applyNumberFormat="0" applyBorder="0" applyAlignment="0" applyProtection="0"/>
    <xf numFmtId="175" fontId="31" fillId="0" borderId="3" applyNumberFormat="0" applyFill="0" applyAlignment="0" applyProtection="0"/>
    <xf numFmtId="175" fontId="32" fillId="0" borderId="4" applyNumberFormat="0" applyFill="0" applyAlignment="0" applyProtection="0"/>
    <xf numFmtId="175" fontId="33" fillId="0" borderId="5" applyNumberFormat="0" applyFill="0" applyAlignment="0" applyProtection="0"/>
    <xf numFmtId="175" fontId="33" fillId="0" borderId="0" applyNumberFormat="0" applyFill="0" applyBorder="0" applyAlignment="0" applyProtection="0"/>
    <xf numFmtId="175" fontId="34" fillId="27" borderId="1" applyNumberFormat="0" applyAlignment="0" applyProtection="0"/>
    <xf numFmtId="175" fontId="35" fillId="0" borderId="6" applyNumberFormat="0" applyFill="0" applyAlignment="0" applyProtection="0"/>
    <xf numFmtId="175" fontId="36" fillId="27" borderId="0" applyNumberFormat="0" applyBorder="0" applyAlignment="0" applyProtection="0"/>
    <xf numFmtId="175" fontId="17" fillId="26" borderId="7" applyNumberFormat="0" applyFont="0" applyAlignment="0" applyProtection="0"/>
    <xf numFmtId="175" fontId="37" fillId="28" borderId="8" applyNumberFormat="0" applyAlignment="0" applyProtection="0"/>
    <xf numFmtId="175" fontId="44" fillId="0" borderId="0" applyNumberFormat="0" applyFill="0" applyBorder="0" applyAlignment="0" applyProtection="0"/>
    <xf numFmtId="175" fontId="28" fillId="0" borderId="12" applyNumberFormat="0" applyFill="0" applyAlignment="0" applyProtection="0"/>
    <xf numFmtId="175" fontId="45" fillId="0" borderId="0" applyNumberFormat="0" applyFill="0" applyBorder="0" applyAlignment="0" applyProtection="0"/>
    <xf numFmtId="9" fontId="17" fillId="0" borderId="0" applyFont="0" applyFill="0" applyBorder="0" applyAlignment="0" applyProtection="0"/>
    <xf numFmtId="175" fontId="17" fillId="0" borderId="0"/>
    <xf numFmtId="175" fontId="15" fillId="0" borderId="0"/>
    <xf numFmtId="175" fontId="61" fillId="0" borderId="0"/>
    <xf numFmtId="175" fontId="19" fillId="2" borderId="0" applyNumberFormat="0" applyBorder="0" applyAlignment="0" applyProtection="0"/>
    <xf numFmtId="175" fontId="19" fillId="3" borderId="0" applyNumberFormat="0" applyBorder="0" applyAlignment="0" applyProtection="0"/>
    <xf numFmtId="175" fontId="19" fillId="4" borderId="0" applyNumberFormat="0" applyBorder="0" applyAlignment="0" applyProtection="0"/>
    <xf numFmtId="175" fontId="19" fillId="5" borderId="0" applyNumberFormat="0" applyBorder="0" applyAlignment="0" applyProtection="0"/>
    <xf numFmtId="175" fontId="19" fillId="6" borderId="0" applyNumberFormat="0" applyBorder="0" applyAlignment="0" applyProtection="0"/>
    <xf numFmtId="175" fontId="19" fillId="7"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2" fillId="8" borderId="0" applyNumberFormat="0" applyBorder="0" applyAlignment="0" applyProtection="0"/>
    <xf numFmtId="175" fontId="22" fillId="3"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8" borderId="0" applyNumberFormat="0" applyBorder="0" applyAlignment="0" applyProtection="0"/>
    <xf numFmtId="175" fontId="22" fillId="11" borderId="0" applyNumberFormat="0" applyBorder="0" applyAlignment="0" applyProtection="0"/>
    <xf numFmtId="175" fontId="23" fillId="12" borderId="0" applyNumberFormat="0" applyBorder="0" applyAlignment="0" applyProtection="0"/>
    <xf numFmtId="175" fontId="23" fillId="16" borderId="0" applyNumberFormat="0" applyBorder="0" applyAlignment="0" applyProtection="0"/>
    <xf numFmtId="175" fontId="23" fillId="19" borderId="0" applyNumberFormat="0" applyBorder="0" applyAlignment="0" applyProtection="0"/>
    <xf numFmtId="175" fontId="23" fillId="23" borderId="0" applyNumberFormat="0" applyBorder="0" applyAlignment="0" applyProtection="0"/>
    <xf numFmtId="175" fontId="23" fillId="24" borderId="0" applyNumberFormat="0" applyBorder="0" applyAlignment="0" applyProtection="0"/>
    <xf numFmtId="175" fontId="23" fillId="25" borderId="0" applyNumberFormat="0" applyBorder="0" applyAlignment="0" applyProtection="0"/>
    <xf numFmtId="175" fontId="25" fillId="18" borderId="0" applyNumberFormat="0" applyBorder="0" applyAlignment="0" applyProtection="0"/>
    <xf numFmtId="175" fontId="26" fillId="28" borderId="1" applyNumberFormat="0" applyAlignment="0" applyProtection="0"/>
    <xf numFmtId="175" fontId="27" fillId="19" borderId="2" applyNumberFormat="0" applyAlignment="0" applyProtection="0"/>
    <xf numFmtId="43" fontId="17" fillId="0" borderId="0" applyFont="0" applyFill="0" applyBorder="0" applyAlignment="0" applyProtection="0"/>
    <xf numFmtId="175" fontId="29" fillId="0" borderId="0" applyNumberFormat="0" applyFill="0" applyBorder="0" applyAlignment="0" applyProtection="0"/>
    <xf numFmtId="175" fontId="30" fillId="32" borderId="0" applyNumberFormat="0" applyBorder="0" applyAlignment="0" applyProtection="0"/>
    <xf numFmtId="175" fontId="31" fillId="0" borderId="3" applyNumberFormat="0" applyFill="0" applyAlignment="0" applyProtection="0"/>
    <xf numFmtId="175" fontId="32" fillId="0" borderId="4" applyNumberFormat="0" applyFill="0" applyAlignment="0" applyProtection="0"/>
    <xf numFmtId="175" fontId="33" fillId="0" borderId="5" applyNumberFormat="0" applyFill="0" applyAlignment="0" applyProtection="0"/>
    <xf numFmtId="175" fontId="33" fillId="0" borderId="0" applyNumberFormat="0" applyFill="0" applyBorder="0" applyAlignment="0" applyProtection="0"/>
    <xf numFmtId="175" fontId="34" fillId="27" borderId="1" applyNumberFormat="0" applyAlignment="0" applyProtection="0"/>
    <xf numFmtId="175" fontId="35" fillId="0" borderId="6" applyNumberFormat="0" applyFill="0" applyAlignment="0" applyProtection="0"/>
    <xf numFmtId="175" fontId="36" fillId="27" borderId="0" applyNumberFormat="0" applyBorder="0" applyAlignment="0" applyProtection="0"/>
    <xf numFmtId="175" fontId="17" fillId="26" borderId="7" applyNumberFormat="0" applyFont="0" applyAlignment="0" applyProtection="0"/>
    <xf numFmtId="175" fontId="37" fillId="28" borderId="8" applyNumberFormat="0" applyAlignment="0" applyProtection="0"/>
    <xf numFmtId="175" fontId="44" fillId="0" borderId="0" applyNumberFormat="0" applyFill="0" applyBorder="0" applyAlignment="0" applyProtection="0"/>
    <xf numFmtId="175" fontId="28" fillId="0" borderId="12" applyNumberFormat="0" applyFill="0" applyAlignment="0" applyProtection="0"/>
    <xf numFmtId="175" fontId="45" fillId="0" borderId="0" applyNumberFormat="0" applyFill="0" applyBorder="0" applyAlignment="0" applyProtection="0"/>
    <xf numFmtId="9" fontId="17" fillId="0" borderId="0" applyFont="0" applyFill="0" applyBorder="0" applyAlignment="0" applyProtection="0"/>
    <xf numFmtId="175" fontId="15" fillId="0" borderId="0"/>
    <xf numFmtId="175" fontId="14" fillId="0" borderId="0"/>
    <xf numFmtId="175" fontId="17" fillId="0" borderId="0"/>
    <xf numFmtId="175" fontId="19" fillId="2" borderId="0" applyNumberFormat="0" applyBorder="0" applyAlignment="0" applyProtection="0"/>
    <xf numFmtId="175" fontId="19" fillId="3" borderId="0" applyNumberFormat="0" applyBorder="0" applyAlignment="0" applyProtection="0"/>
    <xf numFmtId="175" fontId="19" fillId="4" borderId="0" applyNumberFormat="0" applyBorder="0" applyAlignment="0" applyProtection="0"/>
    <xf numFmtId="175" fontId="19" fillId="5" borderId="0" applyNumberFormat="0" applyBorder="0" applyAlignment="0" applyProtection="0"/>
    <xf numFmtId="175" fontId="19" fillId="6" borderId="0" applyNumberFormat="0" applyBorder="0" applyAlignment="0" applyProtection="0"/>
    <xf numFmtId="175" fontId="19" fillId="7"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2" fillId="8" borderId="0" applyNumberFormat="0" applyBorder="0" applyAlignment="0" applyProtection="0"/>
    <xf numFmtId="175" fontId="22" fillId="3"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8" borderId="0" applyNumberFormat="0" applyBorder="0" applyAlignment="0" applyProtection="0"/>
    <xf numFmtId="175" fontId="22" fillId="11" borderId="0" applyNumberFormat="0" applyBorder="0" applyAlignment="0" applyProtection="0"/>
    <xf numFmtId="175" fontId="23" fillId="12" borderId="0" applyNumberFormat="0" applyBorder="0" applyAlignment="0" applyProtection="0"/>
    <xf numFmtId="175" fontId="23" fillId="16" borderId="0" applyNumberFormat="0" applyBorder="0" applyAlignment="0" applyProtection="0"/>
    <xf numFmtId="175" fontId="23" fillId="19" borderId="0" applyNumberFormat="0" applyBorder="0" applyAlignment="0" applyProtection="0"/>
    <xf numFmtId="175" fontId="23" fillId="23" borderId="0" applyNumberFormat="0" applyBorder="0" applyAlignment="0" applyProtection="0"/>
    <xf numFmtId="175" fontId="23" fillId="24" borderId="0" applyNumberFormat="0" applyBorder="0" applyAlignment="0" applyProtection="0"/>
    <xf numFmtId="175" fontId="23" fillId="25" borderId="0" applyNumberFormat="0" applyBorder="0" applyAlignment="0" applyProtection="0"/>
    <xf numFmtId="175" fontId="25" fillId="18" borderId="0" applyNumberFormat="0" applyBorder="0" applyAlignment="0" applyProtection="0"/>
    <xf numFmtId="175" fontId="26" fillId="28" borderId="1" applyNumberFormat="0" applyAlignment="0" applyProtection="0"/>
    <xf numFmtId="175" fontId="27" fillId="19" borderId="2" applyNumberFormat="0" applyAlignment="0" applyProtection="0"/>
    <xf numFmtId="43" fontId="17" fillId="0" borderId="0" applyFont="0" applyFill="0" applyBorder="0" applyAlignment="0" applyProtection="0"/>
    <xf numFmtId="175" fontId="29" fillId="0" borderId="0" applyNumberFormat="0" applyFill="0" applyBorder="0" applyAlignment="0" applyProtection="0"/>
    <xf numFmtId="175" fontId="30" fillId="32" borderId="0" applyNumberFormat="0" applyBorder="0" applyAlignment="0" applyProtection="0"/>
    <xf numFmtId="175" fontId="31" fillId="0" borderId="3" applyNumberFormat="0" applyFill="0" applyAlignment="0" applyProtection="0"/>
    <xf numFmtId="175" fontId="32" fillId="0" borderId="4" applyNumberFormat="0" applyFill="0" applyAlignment="0" applyProtection="0"/>
    <xf numFmtId="175" fontId="33" fillId="0" borderId="5" applyNumberFormat="0" applyFill="0" applyAlignment="0" applyProtection="0"/>
    <xf numFmtId="175" fontId="33" fillId="0" borderId="0" applyNumberFormat="0" applyFill="0" applyBorder="0" applyAlignment="0" applyProtection="0"/>
    <xf numFmtId="175" fontId="34" fillId="27" borderId="1" applyNumberFormat="0" applyAlignment="0" applyProtection="0"/>
    <xf numFmtId="175" fontId="35" fillId="0" borderId="6" applyNumberFormat="0" applyFill="0" applyAlignment="0" applyProtection="0"/>
    <xf numFmtId="175" fontId="36" fillId="27" borderId="0" applyNumberFormat="0" applyBorder="0" applyAlignment="0" applyProtection="0"/>
    <xf numFmtId="175" fontId="17" fillId="26" borderId="7" applyNumberFormat="0" applyFont="0" applyAlignment="0" applyProtection="0"/>
    <xf numFmtId="175" fontId="37" fillId="28" borderId="8" applyNumberFormat="0" applyAlignment="0" applyProtection="0"/>
    <xf numFmtId="175" fontId="44" fillId="0" borderId="0" applyNumberFormat="0" applyFill="0" applyBorder="0" applyAlignment="0" applyProtection="0"/>
    <xf numFmtId="175" fontId="28" fillId="0" borderId="12" applyNumberFormat="0" applyFill="0" applyAlignment="0" applyProtection="0"/>
    <xf numFmtId="175" fontId="45" fillId="0" borderId="0" applyNumberFormat="0" applyFill="0" applyBorder="0" applyAlignment="0" applyProtection="0"/>
    <xf numFmtId="9" fontId="17" fillId="0" borderId="0" applyFont="0" applyFill="0" applyBorder="0" applyAlignment="0" applyProtection="0"/>
    <xf numFmtId="175" fontId="14" fillId="0" borderId="0"/>
    <xf numFmtId="175" fontId="14" fillId="0" borderId="0"/>
    <xf numFmtId="175" fontId="17" fillId="0" borderId="0"/>
    <xf numFmtId="175" fontId="14" fillId="0" borderId="0"/>
    <xf numFmtId="175" fontId="13" fillId="0" borderId="0"/>
    <xf numFmtId="175" fontId="17" fillId="0" borderId="0"/>
    <xf numFmtId="175" fontId="19" fillId="2" borderId="0" applyNumberFormat="0" applyBorder="0" applyAlignment="0" applyProtection="0"/>
    <xf numFmtId="175" fontId="19" fillId="3" borderId="0" applyNumberFormat="0" applyBorder="0" applyAlignment="0" applyProtection="0"/>
    <xf numFmtId="175" fontId="19" fillId="4" borderId="0" applyNumberFormat="0" applyBorder="0" applyAlignment="0" applyProtection="0"/>
    <xf numFmtId="175" fontId="19" fillId="5" borderId="0" applyNumberFormat="0" applyBorder="0" applyAlignment="0" applyProtection="0"/>
    <xf numFmtId="175" fontId="19" fillId="6" borderId="0" applyNumberFormat="0" applyBorder="0" applyAlignment="0" applyProtection="0"/>
    <xf numFmtId="175" fontId="19" fillId="7"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2" fillId="8" borderId="0" applyNumberFormat="0" applyBorder="0" applyAlignment="0" applyProtection="0"/>
    <xf numFmtId="175" fontId="22" fillId="3"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8" borderId="0" applyNumberFormat="0" applyBorder="0" applyAlignment="0" applyProtection="0"/>
    <xf numFmtId="175" fontId="22" fillId="11" borderId="0" applyNumberFormat="0" applyBorder="0" applyAlignment="0" applyProtection="0"/>
    <xf numFmtId="175" fontId="23" fillId="12" borderId="0" applyNumberFormat="0" applyBorder="0" applyAlignment="0" applyProtection="0"/>
    <xf numFmtId="175" fontId="23" fillId="16" borderId="0" applyNumberFormat="0" applyBorder="0" applyAlignment="0" applyProtection="0"/>
    <xf numFmtId="175" fontId="23" fillId="19" borderId="0" applyNumberFormat="0" applyBorder="0" applyAlignment="0" applyProtection="0"/>
    <xf numFmtId="175" fontId="23" fillId="23" borderId="0" applyNumberFormat="0" applyBorder="0" applyAlignment="0" applyProtection="0"/>
    <xf numFmtId="175" fontId="23" fillId="24" borderId="0" applyNumberFormat="0" applyBorder="0" applyAlignment="0" applyProtection="0"/>
    <xf numFmtId="175" fontId="23" fillId="25" borderId="0" applyNumberFormat="0" applyBorder="0" applyAlignment="0" applyProtection="0"/>
    <xf numFmtId="175" fontId="25" fillId="18" borderId="0" applyNumberFormat="0" applyBorder="0" applyAlignment="0" applyProtection="0"/>
    <xf numFmtId="175" fontId="26" fillId="28" borderId="1" applyNumberFormat="0" applyAlignment="0" applyProtection="0"/>
    <xf numFmtId="175" fontId="27" fillId="19" borderId="2" applyNumberFormat="0" applyAlignment="0" applyProtection="0"/>
    <xf numFmtId="43" fontId="17" fillId="0" borderId="0" applyFont="0" applyFill="0" applyBorder="0" applyAlignment="0" applyProtection="0"/>
    <xf numFmtId="175" fontId="29" fillId="0" borderId="0" applyNumberFormat="0" applyFill="0" applyBorder="0" applyAlignment="0" applyProtection="0"/>
    <xf numFmtId="175" fontId="30" fillId="32" borderId="0" applyNumberFormat="0" applyBorder="0" applyAlignment="0" applyProtection="0"/>
    <xf numFmtId="175" fontId="31" fillId="0" borderId="3" applyNumberFormat="0" applyFill="0" applyAlignment="0" applyProtection="0"/>
    <xf numFmtId="175" fontId="32" fillId="0" borderId="4" applyNumberFormat="0" applyFill="0" applyAlignment="0" applyProtection="0"/>
    <xf numFmtId="175" fontId="33" fillId="0" borderId="5" applyNumberFormat="0" applyFill="0" applyAlignment="0" applyProtection="0"/>
    <xf numFmtId="175" fontId="33" fillId="0" borderId="0" applyNumberFormat="0" applyFill="0" applyBorder="0" applyAlignment="0" applyProtection="0"/>
    <xf numFmtId="175" fontId="34" fillId="27" borderId="1" applyNumberFormat="0" applyAlignment="0" applyProtection="0"/>
    <xf numFmtId="175" fontId="35" fillId="0" borderId="6" applyNumberFormat="0" applyFill="0" applyAlignment="0" applyProtection="0"/>
    <xf numFmtId="175" fontId="36" fillId="27" borderId="0" applyNumberFormat="0" applyBorder="0" applyAlignment="0" applyProtection="0"/>
    <xf numFmtId="175" fontId="17" fillId="26" borderId="7" applyNumberFormat="0" applyFont="0" applyAlignment="0" applyProtection="0"/>
    <xf numFmtId="175" fontId="37" fillId="28" borderId="8" applyNumberFormat="0" applyAlignment="0" applyProtection="0"/>
    <xf numFmtId="175" fontId="44" fillId="0" borderId="0" applyNumberFormat="0" applyFill="0" applyBorder="0" applyAlignment="0" applyProtection="0"/>
    <xf numFmtId="175" fontId="28" fillId="0" borderId="12" applyNumberFormat="0" applyFill="0" applyAlignment="0" applyProtection="0"/>
    <xf numFmtId="175" fontId="45" fillId="0" borderId="0" applyNumberFormat="0" applyFill="0" applyBorder="0" applyAlignment="0" applyProtection="0"/>
    <xf numFmtId="9" fontId="17" fillId="0" borderId="0" applyFont="0" applyFill="0" applyBorder="0" applyAlignment="0" applyProtection="0"/>
    <xf numFmtId="175" fontId="13" fillId="0" borderId="0"/>
    <xf numFmtId="175" fontId="13" fillId="0" borderId="0"/>
    <xf numFmtId="175" fontId="13" fillId="0" borderId="0"/>
    <xf numFmtId="175" fontId="13" fillId="0" borderId="0"/>
    <xf numFmtId="175" fontId="13" fillId="0" borderId="0"/>
    <xf numFmtId="175" fontId="13" fillId="0" borderId="0"/>
    <xf numFmtId="175" fontId="13" fillId="0" borderId="0"/>
    <xf numFmtId="175" fontId="12" fillId="0" borderId="0"/>
    <xf numFmtId="175" fontId="11" fillId="0" borderId="0"/>
    <xf numFmtId="175" fontId="63"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1" fillId="0" borderId="0"/>
    <xf numFmtId="175" fontId="17" fillId="0" borderId="0"/>
    <xf numFmtId="175" fontId="10" fillId="0" borderId="0"/>
    <xf numFmtId="0" fontId="9" fillId="0" borderId="0"/>
    <xf numFmtId="175" fontId="17" fillId="0" borderId="0"/>
    <xf numFmtId="175" fontId="19" fillId="2" borderId="0" applyNumberFormat="0" applyBorder="0" applyAlignment="0" applyProtection="0"/>
    <xf numFmtId="175" fontId="19" fillId="3" borderId="0" applyNumberFormat="0" applyBorder="0" applyAlignment="0" applyProtection="0"/>
    <xf numFmtId="175" fontId="19" fillId="4" borderId="0" applyNumberFormat="0" applyBorder="0" applyAlignment="0" applyProtection="0"/>
    <xf numFmtId="175" fontId="19" fillId="5" borderId="0" applyNumberFormat="0" applyBorder="0" applyAlignment="0" applyProtection="0"/>
    <xf numFmtId="175" fontId="19" fillId="6" borderId="0" applyNumberFormat="0" applyBorder="0" applyAlignment="0" applyProtection="0"/>
    <xf numFmtId="175" fontId="19" fillId="7"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2" fillId="8" borderId="0" applyNumberFormat="0" applyBorder="0" applyAlignment="0" applyProtection="0"/>
    <xf numFmtId="175" fontId="22" fillId="3"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8" borderId="0" applyNumberFormat="0" applyBorder="0" applyAlignment="0" applyProtection="0"/>
    <xf numFmtId="175" fontId="22" fillId="11" borderId="0" applyNumberFormat="0" applyBorder="0" applyAlignment="0" applyProtection="0"/>
    <xf numFmtId="175" fontId="23" fillId="12" borderId="0" applyNumberFormat="0" applyBorder="0" applyAlignment="0" applyProtection="0"/>
    <xf numFmtId="175" fontId="23" fillId="16" borderId="0" applyNumberFormat="0" applyBorder="0" applyAlignment="0" applyProtection="0"/>
    <xf numFmtId="175" fontId="23" fillId="19" borderId="0" applyNumberFormat="0" applyBorder="0" applyAlignment="0" applyProtection="0"/>
    <xf numFmtId="175" fontId="23" fillId="23" borderId="0" applyNumberFormat="0" applyBorder="0" applyAlignment="0" applyProtection="0"/>
    <xf numFmtId="175" fontId="23" fillId="24" borderId="0" applyNumberFormat="0" applyBorder="0" applyAlignment="0" applyProtection="0"/>
    <xf numFmtId="175" fontId="23" fillId="25" borderId="0" applyNumberFormat="0" applyBorder="0" applyAlignment="0" applyProtection="0"/>
    <xf numFmtId="175" fontId="25" fillId="18" borderId="0" applyNumberFormat="0" applyBorder="0" applyAlignment="0" applyProtection="0"/>
    <xf numFmtId="175" fontId="26" fillId="28" borderId="1" applyNumberFormat="0" applyAlignment="0" applyProtection="0"/>
    <xf numFmtId="175" fontId="27" fillId="19" borderId="2" applyNumberFormat="0" applyAlignment="0" applyProtection="0"/>
    <xf numFmtId="43" fontId="17" fillId="0" borderId="0" applyFont="0" applyFill="0" applyBorder="0" applyAlignment="0" applyProtection="0"/>
    <xf numFmtId="175" fontId="29" fillId="0" borderId="0" applyNumberFormat="0" applyFill="0" applyBorder="0" applyAlignment="0" applyProtection="0"/>
    <xf numFmtId="175" fontId="30" fillId="32" borderId="0" applyNumberFormat="0" applyBorder="0" applyAlignment="0" applyProtection="0"/>
    <xf numFmtId="175" fontId="31" fillId="0" borderId="3" applyNumberFormat="0" applyFill="0" applyAlignment="0" applyProtection="0"/>
    <xf numFmtId="175" fontId="32" fillId="0" borderId="4" applyNumberFormat="0" applyFill="0" applyAlignment="0" applyProtection="0"/>
    <xf numFmtId="175" fontId="33" fillId="0" borderId="5" applyNumberFormat="0" applyFill="0" applyAlignment="0" applyProtection="0"/>
    <xf numFmtId="175" fontId="33" fillId="0" borderId="0" applyNumberFormat="0" applyFill="0" applyBorder="0" applyAlignment="0" applyProtection="0"/>
    <xf numFmtId="175" fontId="34" fillId="27" borderId="1" applyNumberFormat="0" applyAlignment="0" applyProtection="0"/>
    <xf numFmtId="175" fontId="35" fillId="0" borderId="6" applyNumberFormat="0" applyFill="0" applyAlignment="0" applyProtection="0"/>
    <xf numFmtId="175" fontId="36" fillId="27" borderId="0" applyNumberFormat="0" applyBorder="0" applyAlignment="0" applyProtection="0"/>
    <xf numFmtId="175" fontId="17" fillId="26" borderId="7" applyNumberFormat="0" applyFont="0" applyAlignment="0" applyProtection="0"/>
    <xf numFmtId="175" fontId="37" fillId="28" borderId="8" applyNumberFormat="0" applyAlignment="0" applyProtection="0"/>
    <xf numFmtId="175" fontId="44" fillId="0" borderId="0" applyNumberFormat="0" applyFill="0" applyBorder="0" applyAlignment="0" applyProtection="0"/>
    <xf numFmtId="175" fontId="28" fillId="0" borderId="12" applyNumberFormat="0" applyFill="0" applyAlignment="0" applyProtection="0"/>
    <xf numFmtId="175" fontId="45" fillId="0" borderId="0" applyNumberFormat="0" applyFill="0" applyBorder="0" applyAlignment="0" applyProtection="0"/>
    <xf numFmtId="9" fontId="17" fillId="0" borderId="0" applyFont="0" applyFill="0" applyBorder="0" applyAlignment="0" applyProtection="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17"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0" fontId="8" fillId="0" borderId="0"/>
    <xf numFmtId="175" fontId="17" fillId="0" borderId="0"/>
    <xf numFmtId="175" fontId="19" fillId="2" borderId="0" applyNumberFormat="0" applyBorder="0" applyAlignment="0" applyProtection="0"/>
    <xf numFmtId="175" fontId="19" fillId="3" borderId="0" applyNumberFormat="0" applyBorder="0" applyAlignment="0" applyProtection="0"/>
    <xf numFmtId="175" fontId="19" fillId="4" borderId="0" applyNumberFormat="0" applyBorder="0" applyAlignment="0" applyProtection="0"/>
    <xf numFmtId="175" fontId="19" fillId="5" borderId="0" applyNumberFormat="0" applyBorder="0" applyAlignment="0" applyProtection="0"/>
    <xf numFmtId="175" fontId="19" fillId="6" borderId="0" applyNumberFormat="0" applyBorder="0" applyAlignment="0" applyProtection="0"/>
    <xf numFmtId="175" fontId="19" fillId="7"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2" fillId="8" borderId="0" applyNumberFormat="0" applyBorder="0" applyAlignment="0" applyProtection="0"/>
    <xf numFmtId="175" fontId="22" fillId="3"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8" borderId="0" applyNumberFormat="0" applyBorder="0" applyAlignment="0" applyProtection="0"/>
    <xf numFmtId="175" fontId="22" fillId="11" borderId="0" applyNumberFormat="0" applyBorder="0" applyAlignment="0" applyProtection="0"/>
    <xf numFmtId="175" fontId="23" fillId="12" borderId="0" applyNumberFormat="0" applyBorder="0" applyAlignment="0" applyProtection="0"/>
    <xf numFmtId="175" fontId="23" fillId="16" borderId="0" applyNumberFormat="0" applyBorder="0" applyAlignment="0" applyProtection="0"/>
    <xf numFmtId="175" fontId="23" fillId="19" borderId="0" applyNumberFormat="0" applyBorder="0" applyAlignment="0" applyProtection="0"/>
    <xf numFmtId="175" fontId="23" fillId="23" borderId="0" applyNumberFormat="0" applyBorder="0" applyAlignment="0" applyProtection="0"/>
    <xf numFmtId="175" fontId="23" fillId="24" borderId="0" applyNumberFormat="0" applyBorder="0" applyAlignment="0" applyProtection="0"/>
    <xf numFmtId="175" fontId="23" fillId="25" borderId="0" applyNumberFormat="0" applyBorder="0" applyAlignment="0" applyProtection="0"/>
    <xf numFmtId="175" fontId="25" fillId="18" borderId="0" applyNumberFormat="0" applyBorder="0" applyAlignment="0" applyProtection="0"/>
    <xf numFmtId="175" fontId="26" fillId="28" borderId="1" applyNumberFormat="0" applyAlignment="0" applyProtection="0"/>
    <xf numFmtId="175" fontId="27" fillId="19" borderId="2" applyNumberFormat="0" applyAlignment="0" applyProtection="0"/>
    <xf numFmtId="43" fontId="17" fillId="0" borderId="0" applyFont="0" applyFill="0" applyBorder="0" applyAlignment="0" applyProtection="0"/>
    <xf numFmtId="175" fontId="29" fillId="0" borderId="0" applyNumberFormat="0" applyFill="0" applyBorder="0" applyAlignment="0" applyProtection="0"/>
    <xf numFmtId="175" fontId="30" fillId="32" borderId="0" applyNumberFormat="0" applyBorder="0" applyAlignment="0" applyProtection="0"/>
    <xf numFmtId="175" fontId="31" fillId="0" borderId="3" applyNumberFormat="0" applyFill="0" applyAlignment="0" applyProtection="0"/>
    <xf numFmtId="175" fontId="32" fillId="0" borderId="4" applyNumberFormat="0" applyFill="0" applyAlignment="0" applyProtection="0"/>
    <xf numFmtId="175" fontId="33" fillId="0" borderId="5" applyNumberFormat="0" applyFill="0" applyAlignment="0" applyProtection="0"/>
    <xf numFmtId="175" fontId="33" fillId="0" borderId="0" applyNumberFormat="0" applyFill="0" applyBorder="0" applyAlignment="0" applyProtection="0"/>
    <xf numFmtId="175" fontId="34" fillId="27" borderId="1" applyNumberFormat="0" applyAlignment="0" applyProtection="0"/>
    <xf numFmtId="175" fontId="35" fillId="0" borderId="6" applyNumberFormat="0" applyFill="0" applyAlignment="0" applyProtection="0"/>
    <xf numFmtId="175" fontId="36" fillId="27" borderId="0" applyNumberFormat="0" applyBorder="0" applyAlignment="0" applyProtection="0"/>
    <xf numFmtId="175" fontId="17" fillId="26" borderId="7" applyNumberFormat="0" applyFont="0" applyAlignment="0" applyProtection="0"/>
    <xf numFmtId="175" fontId="37" fillId="28" borderId="8" applyNumberFormat="0" applyAlignment="0" applyProtection="0"/>
    <xf numFmtId="175" fontId="44" fillId="0" borderId="0" applyNumberFormat="0" applyFill="0" applyBorder="0" applyAlignment="0" applyProtection="0"/>
    <xf numFmtId="175" fontId="28" fillId="0" borderId="12" applyNumberFormat="0" applyFill="0" applyAlignment="0" applyProtection="0"/>
    <xf numFmtId="175" fontId="45" fillId="0" borderId="0" applyNumberFormat="0" applyFill="0" applyBorder="0" applyAlignment="0" applyProtection="0"/>
    <xf numFmtId="9" fontId="17" fillId="0" borderId="0" applyFont="0" applyFill="0" applyBorder="0" applyAlignment="0" applyProtection="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17" fillId="0" borderId="0"/>
    <xf numFmtId="0" fontId="17" fillId="0" borderId="0"/>
    <xf numFmtId="0" fontId="17" fillId="0" borderId="0"/>
    <xf numFmtId="0" fontId="17" fillId="0" borderId="0"/>
    <xf numFmtId="0" fontId="8" fillId="0" borderId="0"/>
    <xf numFmtId="0" fontId="17" fillId="0" borderId="0"/>
    <xf numFmtId="0" fontId="17" fillId="0" borderId="0"/>
    <xf numFmtId="0" fontId="17" fillId="0" borderId="0"/>
    <xf numFmtId="0" fontId="7" fillId="0" borderId="0"/>
    <xf numFmtId="175" fontId="74" fillId="0" borderId="0"/>
    <xf numFmtId="175" fontId="19" fillId="2" borderId="0" applyNumberFormat="0" applyBorder="0" applyAlignment="0" applyProtection="0"/>
    <xf numFmtId="175" fontId="19" fillId="3" borderId="0" applyNumberFormat="0" applyBorder="0" applyAlignment="0" applyProtection="0"/>
    <xf numFmtId="175" fontId="19" fillId="4" borderId="0" applyNumberFormat="0" applyBorder="0" applyAlignment="0" applyProtection="0"/>
    <xf numFmtId="175" fontId="19" fillId="5" borderId="0" applyNumberFormat="0" applyBorder="0" applyAlignment="0" applyProtection="0"/>
    <xf numFmtId="175" fontId="19" fillId="6" borderId="0" applyNumberFormat="0" applyBorder="0" applyAlignment="0" applyProtection="0"/>
    <xf numFmtId="175" fontId="19" fillId="7"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2" fillId="8" borderId="0" applyNumberFormat="0" applyBorder="0" applyAlignment="0" applyProtection="0"/>
    <xf numFmtId="175" fontId="22" fillId="3" borderId="0" applyNumberFormat="0" applyBorder="0" applyAlignment="0" applyProtection="0"/>
    <xf numFmtId="175" fontId="22" fillId="9" borderId="0" applyNumberFormat="0" applyBorder="0" applyAlignment="0" applyProtection="0"/>
    <xf numFmtId="175" fontId="22" fillId="10" borderId="0" applyNumberFormat="0" applyBorder="0" applyAlignment="0" applyProtection="0"/>
    <xf numFmtId="175" fontId="22" fillId="8" borderId="0" applyNumberFormat="0" applyBorder="0" applyAlignment="0" applyProtection="0"/>
    <xf numFmtId="175" fontId="22" fillId="11" borderId="0" applyNumberFormat="0" applyBorder="0" applyAlignment="0" applyProtection="0"/>
    <xf numFmtId="175" fontId="23" fillId="12" borderId="0" applyNumberFormat="0" applyBorder="0" applyAlignment="0" applyProtection="0"/>
    <xf numFmtId="175" fontId="23" fillId="16" borderId="0" applyNumberFormat="0" applyBorder="0" applyAlignment="0" applyProtection="0"/>
    <xf numFmtId="175" fontId="23" fillId="19" borderId="0" applyNumberFormat="0" applyBorder="0" applyAlignment="0" applyProtection="0"/>
    <xf numFmtId="175" fontId="23" fillId="23" borderId="0" applyNumberFormat="0" applyBorder="0" applyAlignment="0" applyProtection="0"/>
    <xf numFmtId="175" fontId="23" fillId="24" borderId="0" applyNumberFormat="0" applyBorder="0" applyAlignment="0" applyProtection="0"/>
    <xf numFmtId="175" fontId="23" fillId="25" borderId="0" applyNumberFormat="0" applyBorder="0" applyAlignment="0" applyProtection="0"/>
    <xf numFmtId="175" fontId="25" fillId="18" borderId="0" applyNumberFormat="0" applyBorder="0" applyAlignment="0" applyProtection="0"/>
    <xf numFmtId="175" fontId="26" fillId="28" borderId="1" applyNumberFormat="0" applyAlignment="0" applyProtection="0"/>
    <xf numFmtId="175" fontId="27" fillId="19" borderId="2" applyNumberFormat="0" applyAlignment="0" applyProtection="0"/>
    <xf numFmtId="43" fontId="17" fillId="0" borderId="0" applyFont="0" applyFill="0" applyBorder="0" applyAlignment="0" applyProtection="0"/>
    <xf numFmtId="175" fontId="29" fillId="0" borderId="0" applyNumberFormat="0" applyFill="0" applyBorder="0" applyAlignment="0" applyProtection="0"/>
    <xf numFmtId="175" fontId="30" fillId="32" borderId="0" applyNumberFormat="0" applyBorder="0" applyAlignment="0" applyProtection="0"/>
    <xf numFmtId="175" fontId="31" fillId="0" borderId="3" applyNumberFormat="0" applyFill="0" applyAlignment="0" applyProtection="0"/>
    <xf numFmtId="175" fontId="32" fillId="0" borderId="4" applyNumberFormat="0" applyFill="0" applyAlignment="0" applyProtection="0"/>
    <xf numFmtId="175" fontId="33" fillId="0" borderId="5" applyNumberFormat="0" applyFill="0" applyAlignment="0" applyProtection="0"/>
    <xf numFmtId="175" fontId="33" fillId="0" borderId="0" applyNumberFormat="0" applyFill="0" applyBorder="0" applyAlignment="0" applyProtection="0"/>
    <xf numFmtId="175" fontId="34" fillId="27" borderId="1" applyNumberFormat="0" applyAlignment="0" applyProtection="0"/>
    <xf numFmtId="175" fontId="35" fillId="0" borderId="6" applyNumberFormat="0" applyFill="0" applyAlignment="0" applyProtection="0"/>
    <xf numFmtId="175" fontId="36" fillId="27" borderId="0" applyNumberFormat="0" applyBorder="0" applyAlignment="0" applyProtection="0"/>
    <xf numFmtId="175" fontId="17" fillId="26" borderId="7" applyNumberFormat="0" applyFont="0" applyAlignment="0" applyProtection="0"/>
    <xf numFmtId="175" fontId="37" fillId="28" borderId="8" applyNumberFormat="0" applyAlignment="0" applyProtection="0"/>
    <xf numFmtId="175" fontId="44" fillId="0" borderId="0" applyNumberFormat="0" applyFill="0" applyBorder="0" applyAlignment="0" applyProtection="0"/>
    <xf numFmtId="175" fontId="28" fillId="0" borderId="12" applyNumberFormat="0" applyFill="0" applyAlignment="0" applyProtection="0"/>
    <xf numFmtId="175" fontId="45" fillId="0" borderId="0" applyNumberFormat="0" applyFill="0" applyBorder="0" applyAlignment="0" applyProtection="0"/>
    <xf numFmtId="9" fontId="17" fillId="0" borderId="0" applyFont="0" applyFill="0" applyBorder="0" applyAlignment="0" applyProtection="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7" fillId="0" borderId="0"/>
    <xf numFmtId="0" fontId="74"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0" fontId="6" fillId="0" borderId="0"/>
    <xf numFmtId="175" fontId="17"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0" fontId="17" fillId="0" borderId="0"/>
    <xf numFmtId="0" fontId="5" fillId="0" borderId="0"/>
    <xf numFmtId="4" fontId="46" fillId="0" borderId="58" applyNumberFormat="0" applyProtection="0">
      <alignment horizontal="right" vertical="center"/>
    </xf>
    <xf numFmtId="4" fontId="46" fillId="51" borderId="58" applyNumberFormat="0" applyProtection="0">
      <alignment horizontal="left" vertical="center" indent="1"/>
    </xf>
    <xf numFmtId="43" fontId="5" fillId="0" borderId="0" applyFont="0" applyFill="0" applyBorder="0" applyAlignment="0" applyProtection="0"/>
    <xf numFmtId="0" fontId="4" fillId="0" borderId="0"/>
    <xf numFmtId="0" fontId="4" fillId="66" borderId="0" applyNumberFormat="0" applyBorder="0" applyAlignment="0" applyProtection="0"/>
    <xf numFmtId="0" fontId="4" fillId="7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3" fillId="22"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3" fillId="2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xf numFmtId="0" fontId="24" fillId="26" borderId="0" applyNumberFormat="0" applyBorder="0" applyAlignment="0" applyProtection="0"/>
    <xf numFmtId="0" fontId="24" fillId="18" borderId="0" applyNumberFormat="0" applyBorder="0" applyAlignment="0" applyProtection="0"/>
    <xf numFmtId="0" fontId="23" fillId="27" borderId="0" applyNumberFormat="0" applyBorder="0" applyAlignment="0" applyProtection="0"/>
    <xf numFmtId="0" fontId="104" fillId="76" borderId="0" applyNumberFormat="0" applyBorder="0" applyAlignment="0" applyProtection="0"/>
    <xf numFmtId="0" fontId="4" fillId="74" borderId="0" applyNumberFormat="0" applyBorder="0" applyAlignment="0" applyProtection="0"/>
    <xf numFmtId="0" fontId="4" fillId="73" borderId="0" applyNumberFormat="0" applyBorder="0" applyAlignment="0" applyProtection="0"/>
    <xf numFmtId="0" fontId="104" fillId="72"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 fillId="65" borderId="0" applyNumberFormat="0" applyBorder="0" applyAlignment="0" applyProtection="0"/>
    <xf numFmtId="0" fontId="103" fillId="0" borderId="70" applyNumberFormat="0" applyFill="0" applyAlignment="0" applyProtection="0"/>
    <xf numFmtId="0" fontId="102" fillId="0" borderId="0" applyNumberFormat="0" applyFill="0" applyBorder="0" applyAlignment="0" applyProtection="0"/>
    <xf numFmtId="0" fontId="98" fillId="57" borderId="65" applyNumberFormat="0" applyAlignment="0" applyProtection="0"/>
    <xf numFmtId="0" fontId="94" fillId="53" borderId="0" applyNumberFormat="0" applyBorder="0" applyAlignment="0" applyProtection="0"/>
    <xf numFmtId="0" fontId="38" fillId="33" borderId="9" applyNumberFormat="0" applyProtection="0">
      <alignment horizontal="left" vertical="top" indent="1"/>
    </xf>
    <xf numFmtId="0" fontId="93" fillId="0" borderId="0" applyNumberFormat="0" applyFill="0" applyBorder="0" applyAlignment="0" applyProtection="0"/>
    <xf numFmtId="0" fontId="93" fillId="0" borderId="64" applyNumberFormat="0" applyFill="0" applyAlignment="0" applyProtection="0"/>
    <xf numFmtId="0" fontId="92" fillId="0" borderId="63" applyNumberFormat="0" applyFill="0" applyAlignment="0" applyProtection="0"/>
    <xf numFmtId="0" fontId="91" fillId="0" borderId="62" applyNumberFormat="0" applyFill="0" applyAlignment="0" applyProtection="0"/>
    <xf numFmtId="43" fontId="17" fillId="0" borderId="0" applyFont="0" applyFill="0" applyBorder="0" applyAlignment="0" applyProtection="0"/>
    <xf numFmtId="0" fontId="104" fillId="64" borderId="0" applyNumberFormat="0" applyBorder="0" applyAlignment="0" applyProtection="0"/>
    <xf numFmtId="0" fontId="4" fillId="61" borderId="0" applyNumberFormat="0" applyBorder="0" applyAlignment="0" applyProtection="0"/>
    <xf numFmtId="0" fontId="17" fillId="8" borderId="9" applyNumberFormat="0" applyProtection="0">
      <alignment horizontal="left" vertical="center" indent="1"/>
    </xf>
    <xf numFmtId="0" fontId="17" fillId="8" borderId="9" applyNumberFormat="0" applyProtection="0">
      <alignment horizontal="left" vertical="top" indent="1"/>
    </xf>
    <xf numFmtId="0" fontId="17" fillId="2" borderId="9" applyNumberFormat="0" applyProtection="0">
      <alignment horizontal="left" vertical="center" indent="1"/>
    </xf>
    <xf numFmtId="0" fontId="17" fillId="2" borderId="9" applyNumberFormat="0" applyProtection="0">
      <alignment horizontal="left" vertical="top" indent="1"/>
    </xf>
    <xf numFmtId="0" fontId="17" fillId="6" borderId="9" applyNumberFormat="0" applyProtection="0">
      <alignment horizontal="left" vertical="center" indent="1"/>
    </xf>
    <xf numFmtId="0" fontId="17" fillId="6" borderId="9" applyNumberFormat="0" applyProtection="0">
      <alignment horizontal="left" vertical="top" indent="1"/>
    </xf>
    <xf numFmtId="0" fontId="17" fillId="41" borderId="9" applyNumberFormat="0" applyProtection="0">
      <alignment horizontal="left" vertical="center" indent="1"/>
    </xf>
    <xf numFmtId="0" fontId="17" fillId="41" borderId="9" applyNumberFormat="0" applyProtection="0">
      <alignment horizontal="left" vertical="top" indent="1"/>
    </xf>
    <xf numFmtId="0" fontId="17" fillId="5" borderId="11" applyNumberFormat="0">
      <protection locked="0"/>
    </xf>
    <xf numFmtId="0" fontId="4" fillId="61" borderId="0" applyNumberFormat="0" applyBorder="0" applyAlignment="0" applyProtection="0"/>
    <xf numFmtId="0" fontId="99" fillId="0" borderId="67" applyNumberFormat="0" applyFill="0" applyAlignment="0" applyProtection="0"/>
    <xf numFmtId="0" fontId="4" fillId="62" borderId="0" applyNumberFormat="0" applyBorder="0" applyAlignment="0" applyProtection="0"/>
    <xf numFmtId="0" fontId="19" fillId="4" borderId="9" applyNumberFormat="0" applyProtection="0">
      <alignment horizontal="left" vertical="top" indent="1"/>
    </xf>
    <xf numFmtId="0" fontId="4" fillId="61" borderId="0" applyNumberFormat="0" applyBorder="0" applyAlignment="0" applyProtection="0"/>
    <xf numFmtId="0" fontId="4" fillId="61" borderId="0" applyNumberFormat="0" applyBorder="0" applyAlignment="0" applyProtection="0"/>
    <xf numFmtId="0" fontId="95" fillId="54" borderId="0" applyNumberFormat="0" applyBorder="0" applyAlignment="0" applyProtection="0"/>
    <xf numFmtId="0" fontId="19" fillId="2" borderId="9" applyNumberFormat="0" applyProtection="0">
      <alignment horizontal="left" vertical="top" indent="1"/>
    </xf>
    <xf numFmtId="0" fontId="104" fillId="64" borderId="0" applyNumberFormat="0" applyBorder="0" applyAlignment="0" applyProtection="0"/>
    <xf numFmtId="0" fontId="104" fillId="60" borderId="0" applyNumberFormat="0" applyBorder="0" applyAlignment="0" applyProtection="0"/>
    <xf numFmtId="0" fontId="44" fillId="0" borderId="0" applyNumberFormat="0" applyFill="0" applyBorder="0" applyAlignment="0" applyProtection="0"/>
    <xf numFmtId="0" fontId="104" fillId="68" borderId="0" applyNumberFormat="0" applyBorder="0" applyAlignment="0" applyProtection="0"/>
    <xf numFmtId="0" fontId="4" fillId="69"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104" fillId="80" borderId="0" applyNumberFormat="0" applyBorder="0" applyAlignment="0" applyProtection="0"/>
    <xf numFmtId="0" fontId="4" fillId="8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24" fillId="85" borderId="0" applyNumberFormat="0" applyBorder="0" applyAlignment="0" applyProtection="0"/>
    <xf numFmtId="0" fontId="24" fillId="8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24" fillId="86" borderId="0" applyNumberFormat="0" applyBorder="0" applyAlignment="0" applyProtection="0"/>
    <xf numFmtId="0" fontId="4" fillId="61" borderId="0" applyNumberFormat="0" applyBorder="0" applyAlignment="0" applyProtection="0"/>
    <xf numFmtId="0" fontId="4" fillId="82" borderId="0" applyNumberFormat="0" applyBorder="0" applyAlignment="0" applyProtection="0"/>
    <xf numFmtId="0" fontId="4" fillId="0" borderId="0"/>
    <xf numFmtId="0" fontId="101" fillId="0" borderId="0" applyNumberFormat="0" applyFill="0" applyBorder="0" applyAlignment="0" applyProtection="0"/>
    <xf numFmtId="0" fontId="100" fillId="58" borderId="68" applyNumberFormat="0" applyAlignment="0" applyProtection="0"/>
    <xf numFmtId="0" fontId="24" fillId="7"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97" fillId="57" borderId="66" applyNumberFormat="0" applyAlignment="0" applyProtection="0"/>
    <xf numFmtId="0" fontId="96" fillId="56" borderId="65" applyNumberFormat="0" applyAlignment="0" applyProtection="0"/>
    <xf numFmtId="0" fontId="24" fillId="7" borderId="0" applyNumberFormat="0" applyBorder="0" applyAlignment="0" applyProtection="0"/>
    <xf numFmtId="0" fontId="24" fillId="86"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24" fillId="87" borderId="0" applyNumberFormat="0" applyBorder="0" applyAlignment="0" applyProtection="0"/>
    <xf numFmtId="0" fontId="24" fillId="8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23" fillId="88" borderId="0" applyNumberFormat="0" applyBorder="0" applyAlignment="0" applyProtection="0"/>
    <xf numFmtId="0" fontId="23" fillId="3" borderId="0" applyNumberFormat="0" applyBorder="0" applyAlignment="0" applyProtection="0"/>
    <xf numFmtId="0" fontId="23" fillId="39" borderId="0" applyNumberFormat="0" applyBorder="0" applyAlignment="0" applyProtection="0"/>
    <xf numFmtId="0" fontId="23" fillId="89" borderId="0" applyNumberFormat="0" applyBorder="0" applyAlignment="0" applyProtection="0"/>
    <xf numFmtId="0" fontId="23" fillId="51" borderId="0" applyNumberFormat="0" applyBorder="0" applyAlignment="0" applyProtection="0"/>
    <xf numFmtId="0" fontId="23" fillId="36" borderId="0" applyNumberFormat="0" applyBorder="0" applyAlignment="0" applyProtection="0"/>
    <xf numFmtId="0" fontId="24" fillId="90" borderId="0" applyNumberFormat="0" applyBorder="0" applyAlignment="0" applyProtection="0"/>
    <xf numFmtId="0" fontId="24" fillId="90"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3" fillId="91" borderId="0" applyNumberFormat="0" applyBorder="0" applyAlignment="0" applyProtection="0"/>
    <xf numFmtId="0" fontId="23" fillId="12" borderId="0" applyNumberFormat="0" applyBorder="0" applyAlignment="0" applyProtection="0"/>
    <xf numFmtId="0" fontId="23" fillId="92" borderId="0" applyNumberFormat="0" applyBorder="0" applyAlignment="0" applyProtection="0"/>
    <xf numFmtId="0" fontId="23" fillId="92" borderId="0" applyNumberFormat="0" applyBorder="0" applyAlignment="0" applyProtection="0"/>
    <xf numFmtId="0" fontId="23" fillId="92" borderId="0" applyNumberFormat="0" applyBorder="0" applyAlignment="0" applyProtection="0"/>
    <xf numFmtId="0" fontId="23" fillId="92" borderId="0" applyNumberFormat="0" applyBorder="0" applyAlignment="0" applyProtection="0"/>
    <xf numFmtId="0" fontId="23" fillId="92"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3" fillId="18" borderId="0" applyNumberFormat="0" applyBorder="0" applyAlignment="0" applyProtection="0"/>
    <xf numFmtId="0" fontId="23" fillId="16"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4" fillId="94" borderId="0" applyNumberFormat="0" applyBorder="0" applyAlignment="0" applyProtection="0"/>
    <xf numFmtId="0" fontId="24" fillId="94" borderId="0" applyNumberFormat="0" applyBorder="0" applyAlignment="0" applyProtection="0"/>
    <xf numFmtId="0" fontId="24" fillId="95" borderId="0" applyNumberFormat="0" applyBorder="0" applyAlignment="0" applyProtection="0"/>
    <xf numFmtId="0" fontId="24" fillId="95" borderId="0" applyNumberFormat="0" applyBorder="0" applyAlignment="0" applyProtection="0"/>
    <xf numFmtId="0" fontId="23" fillId="96" borderId="0" applyNumberFormat="0" applyBorder="0" applyAlignment="0" applyProtection="0"/>
    <xf numFmtId="0" fontId="23" fillId="9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3" fillId="21" borderId="0" applyNumberFormat="0" applyBorder="0" applyAlignment="0" applyProtection="0"/>
    <xf numFmtId="0" fontId="23" fillId="98" borderId="0" applyNumberFormat="0" applyBorder="0" applyAlignment="0" applyProtection="0"/>
    <xf numFmtId="0" fontId="23" fillId="89" borderId="0" applyNumberFormat="0" applyBorder="0" applyAlignment="0" applyProtection="0"/>
    <xf numFmtId="0" fontId="23" fillId="89" borderId="0" applyNumberFormat="0" applyBorder="0" applyAlignment="0" applyProtection="0"/>
    <xf numFmtId="0" fontId="23" fillId="89" borderId="0" applyNumberFormat="0" applyBorder="0" applyAlignment="0" applyProtection="0"/>
    <xf numFmtId="0" fontId="23" fillId="89" borderId="0" applyNumberFormat="0" applyBorder="0" applyAlignment="0" applyProtection="0"/>
    <xf numFmtId="0" fontId="23" fillId="8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104" fillId="68" borderId="0" applyNumberFormat="0" applyBorder="0" applyAlignment="0" applyProtection="0"/>
    <xf numFmtId="0" fontId="23" fillId="91" borderId="0" applyNumberFormat="0" applyBorder="0" applyAlignment="0" applyProtection="0"/>
    <xf numFmtId="0" fontId="23" fillId="9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3" fillId="99" borderId="0" applyNumberFormat="0" applyBorder="0" applyAlignment="0" applyProtection="0"/>
    <xf numFmtId="0" fontId="23" fillId="100"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06" fillId="26" borderId="0" applyNumberFormat="0" applyBorder="0" applyAlignment="0" applyProtection="0"/>
    <xf numFmtId="0" fontId="95" fillId="54" borderId="0" applyNumberFormat="0" applyBorder="0" applyAlignment="0" applyProtection="0"/>
    <xf numFmtId="0" fontId="107" fillId="7" borderId="0" applyNumberFormat="0" applyBorder="0" applyAlignment="0" applyProtection="0"/>
    <xf numFmtId="0" fontId="108" fillId="101" borderId="58" applyNumberFormat="0" applyAlignment="0" applyProtection="0"/>
    <xf numFmtId="0" fontId="109" fillId="10" borderId="1" applyNumberFormat="0" applyAlignment="0" applyProtection="0"/>
    <xf numFmtId="0" fontId="27" fillId="98" borderId="2" applyNumberFormat="0" applyAlignment="0" applyProtection="0"/>
    <xf numFmtId="0" fontId="27" fillId="102" borderId="2" applyNumberFormat="0" applyAlignment="0" applyProtection="0"/>
    <xf numFmtId="41" fontId="1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7" fillId="0" borderId="0" applyFont="0" applyFill="0" applyBorder="0" applyAlignment="0" applyProtection="0"/>
    <xf numFmtId="43" fontId="110" fillId="0" borderId="0" applyFont="0" applyFill="0" applyBorder="0" applyAlignment="0" applyProtection="0"/>
    <xf numFmtId="43" fontId="17"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04" fillId="60"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7" fillId="0" borderId="0" applyFont="0" applyFill="0" applyBorder="0" applyAlignment="0" applyProtection="0"/>
    <xf numFmtId="44" fontId="110" fillId="0" borderId="0" applyFont="0" applyFill="0" applyBorder="0" applyAlignment="0" applyProtection="0"/>
    <xf numFmtId="44" fontId="17"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7"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7"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4" fillId="0" borderId="0" applyFont="0" applyFill="0" applyBorder="0" applyAlignment="0" applyProtection="0"/>
    <xf numFmtId="44" fontId="17"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24" fillId="0" borderId="0" applyFont="0" applyFill="0" applyBorder="0" applyAlignment="0" applyProtection="0"/>
    <xf numFmtId="44" fontId="17" fillId="0" borderId="0" applyFont="0" applyFill="0" applyBorder="0" applyAlignment="0" applyProtection="0"/>
    <xf numFmtId="44" fontId="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28" fillId="103" borderId="0" applyNumberFormat="0" applyBorder="0" applyAlignment="0" applyProtection="0"/>
    <xf numFmtId="0" fontId="28" fillId="104" borderId="0" applyNumberFormat="0" applyBorder="0" applyAlignment="0" applyProtection="0"/>
    <xf numFmtId="0" fontId="111" fillId="0" borderId="0" applyNumberFormat="0" applyFill="0" applyBorder="0" applyAlignment="0" applyProtection="0"/>
    <xf numFmtId="0" fontId="24" fillId="95" borderId="0" applyNumberFormat="0" applyBorder="0" applyAlignment="0" applyProtection="0"/>
    <xf numFmtId="0" fontId="30" fillId="85" borderId="0" applyNumberFormat="0" applyBorder="0" applyAlignment="0" applyProtection="0"/>
    <xf numFmtId="0" fontId="24" fillId="95" borderId="0" applyNumberFormat="0" applyBorder="0" applyAlignment="0" applyProtection="0"/>
    <xf numFmtId="0" fontId="31" fillId="0" borderId="3" applyNumberFormat="0" applyFill="0" applyAlignment="0" applyProtection="0"/>
    <xf numFmtId="0" fontId="112" fillId="0" borderId="72" applyNumberFormat="0" applyFill="0" applyAlignment="0" applyProtection="0"/>
    <xf numFmtId="0" fontId="32" fillId="0" borderId="73" applyNumberFormat="0" applyFill="0" applyAlignment="0" applyProtection="0"/>
    <xf numFmtId="0" fontId="113" fillId="0" borderId="4" applyNumberFormat="0" applyFill="0" applyAlignment="0" applyProtection="0"/>
    <xf numFmtId="0" fontId="33" fillId="0" borderId="74" applyNumberFormat="0" applyFill="0" applyAlignment="0" applyProtection="0"/>
    <xf numFmtId="0" fontId="114" fillId="0" borderId="75" applyNumberFormat="0" applyFill="0" applyAlignment="0" applyProtection="0"/>
    <xf numFmtId="0" fontId="33" fillId="0" borderId="0" applyNumberFormat="0" applyFill="0" applyBorder="0" applyAlignment="0" applyProtection="0"/>
    <xf numFmtId="0" fontId="114" fillId="0" borderId="0" applyNumberFormat="0" applyFill="0" applyBorder="0" applyAlignment="0" applyProtection="0"/>
    <xf numFmtId="0" fontId="34" fillId="27" borderId="58" applyNumberFormat="0" applyAlignment="0" applyProtection="0"/>
    <xf numFmtId="0" fontId="115" fillId="11" borderId="1" applyNumberFormat="0" applyAlignment="0" applyProtection="0"/>
    <xf numFmtId="0" fontId="30" fillId="0" borderId="76" applyNumberFormat="0" applyFill="0" applyAlignment="0" applyProtection="0"/>
    <xf numFmtId="0" fontId="116" fillId="0" borderId="77" applyNumberFormat="0" applyFill="0" applyAlignment="0" applyProtection="0"/>
    <xf numFmtId="0" fontId="30" fillId="27" borderId="0" applyNumberFormat="0" applyBorder="0" applyAlignment="0" applyProtection="0"/>
    <xf numFmtId="0" fontId="105" fillId="55" borderId="0" applyNumberFormat="0" applyBorder="0" applyAlignment="0" applyProtection="0"/>
    <xf numFmtId="0" fontId="36" fillId="33" borderId="0" applyNumberFormat="0" applyBorder="0" applyAlignment="0" applyProtection="0"/>
    <xf numFmtId="0" fontId="4" fillId="0" borderId="0"/>
    <xf numFmtId="0" fontId="4" fillId="0" borderId="0"/>
    <xf numFmtId="0" fontId="110" fillId="0" borderId="0"/>
    <xf numFmtId="0" fontId="110" fillId="0" borderId="0"/>
    <xf numFmtId="0" fontId="17" fillId="0" borderId="0"/>
    <xf numFmtId="0" fontId="110" fillId="0" borderId="0"/>
    <xf numFmtId="0" fontId="110" fillId="0" borderId="0"/>
    <xf numFmtId="0" fontId="110" fillId="0" borderId="0"/>
    <xf numFmtId="0" fontId="1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17" fillId="0" borderId="0"/>
    <xf numFmtId="0" fontId="4" fillId="0" borderId="0"/>
    <xf numFmtId="0" fontId="4" fillId="0" borderId="0"/>
    <xf numFmtId="0" fontId="24" fillId="0" borderId="0"/>
    <xf numFmtId="0" fontId="24" fillId="0" borderId="0"/>
    <xf numFmtId="0" fontId="24" fillId="0" borderId="0"/>
    <xf numFmtId="0" fontId="24" fillId="0" borderId="0"/>
    <xf numFmtId="0" fontId="17" fillId="0" borderId="0"/>
    <xf numFmtId="0" fontId="24" fillId="0" borderId="0"/>
    <xf numFmtId="0" fontId="24" fillId="0" borderId="0"/>
    <xf numFmtId="0" fontId="24" fillId="0" borderId="0"/>
    <xf numFmtId="0" fontId="24" fillId="0" borderId="0"/>
    <xf numFmtId="0" fontId="46" fillId="105" borderId="0"/>
    <xf numFmtId="0" fontId="24" fillId="0" borderId="0"/>
    <xf numFmtId="0" fontId="17" fillId="0" borderId="0"/>
    <xf numFmtId="0" fontId="17" fillId="0" borderId="0"/>
    <xf numFmtId="0" fontId="24" fillId="0" borderId="0"/>
    <xf numFmtId="0" fontId="24" fillId="0" borderId="0"/>
    <xf numFmtId="0" fontId="46" fillId="105" borderId="0"/>
    <xf numFmtId="0" fontId="24" fillId="0" borderId="0"/>
    <xf numFmtId="0" fontId="24"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0" fillId="0" borderId="0"/>
    <xf numFmtId="0" fontId="1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4" fillId="0" borderId="0"/>
    <xf numFmtId="0" fontId="17" fillId="0" borderId="0"/>
    <xf numFmtId="0" fontId="4" fillId="0" borderId="0"/>
    <xf numFmtId="0" fontId="4" fillId="0" borderId="0"/>
    <xf numFmtId="0" fontId="17" fillId="0" borderId="0"/>
    <xf numFmtId="0"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4"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0" fillId="0" borderId="0"/>
    <xf numFmtId="0" fontId="4" fillId="59" borderId="69" applyNumberFormat="0" applyFont="0" applyAlignment="0" applyProtection="0"/>
    <xf numFmtId="0" fontId="19" fillId="4" borderId="7" applyNumberFormat="0" applyFont="0" applyAlignment="0" applyProtection="0"/>
    <xf numFmtId="0" fontId="24" fillId="59" borderId="69" applyNumberFormat="0" applyFont="0" applyAlignment="0" applyProtection="0"/>
    <xf numFmtId="0" fontId="46" fillId="26" borderId="58" applyNumberFormat="0" applyFont="0" applyAlignment="0" applyProtection="0"/>
    <xf numFmtId="0" fontId="24" fillId="59" borderId="69" applyNumberFormat="0" applyFont="0" applyAlignment="0" applyProtection="0"/>
    <xf numFmtId="0" fontId="24" fillId="59" borderId="69" applyNumberFormat="0" applyFont="0" applyAlignment="0" applyProtection="0"/>
    <xf numFmtId="0" fontId="4" fillId="59" borderId="69" applyNumberFormat="0" applyFont="0" applyAlignment="0" applyProtection="0"/>
    <xf numFmtId="0" fontId="37" fillId="101" borderId="8" applyNumberFormat="0" applyAlignment="0" applyProtection="0"/>
    <xf numFmtId="0" fontId="37" fillId="10" borderId="8"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7"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110" fillId="0" borderId="0" applyFont="0" applyFill="0" applyBorder="0" applyAlignment="0" applyProtection="0"/>
    <xf numFmtId="9" fontId="17"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 fontId="19" fillId="106" borderId="8" applyNumberFormat="0" applyProtection="0">
      <alignment vertical="center"/>
    </xf>
    <xf numFmtId="4" fontId="19" fillId="106" borderId="8" applyNumberFormat="0" applyProtection="0">
      <alignment vertical="center"/>
    </xf>
    <xf numFmtId="4" fontId="46" fillId="33" borderId="58" applyNumberFormat="0" applyProtection="0">
      <alignment vertical="center"/>
    </xf>
    <xf numFmtId="4" fontId="46" fillId="33" borderId="58" applyNumberFormat="0" applyProtection="0">
      <alignment vertical="center"/>
    </xf>
    <xf numFmtId="4" fontId="46" fillId="33" borderId="58" applyNumberFormat="0" applyProtection="0">
      <alignment vertical="center"/>
    </xf>
    <xf numFmtId="4" fontId="41" fillId="106" borderId="8" applyNumberFormat="0" applyProtection="0">
      <alignment vertical="center"/>
    </xf>
    <xf numFmtId="4" fontId="117" fillId="106" borderId="58" applyNumberFormat="0" applyProtection="0">
      <alignment vertical="center"/>
    </xf>
    <xf numFmtId="4" fontId="19" fillId="106" borderId="8" applyNumberFormat="0" applyProtection="0">
      <alignment horizontal="left" vertical="center" indent="1"/>
    </xf>
    <xf numFmtId="4" fontId="46" fillId="106" borderId="58" applyNumberFormat="0" applyProtection="0">
      <alignment horizontal="left" vertical="center" indent="1"/>
    </xf>
    <xf numFmtId="4" fontId="46" fillId="106" borderId="58" applyNumberFormat="0" applyProtection="0">
      <alignment horizontal="left" vertical="center" indent="1"/>
    </xf>
    <xf numFmtId="4" fontId="46" fillId="106" borderId="58" applyNumberFormat="0" applyProtection="0">
      <alignment horizontal="left" vertical="center" indent="1"/>
    </xf>
    <xf numFmtId="4" fontId="19" fillId="106" borderId="8" applyNumberFormat="0" applyProtection="0">
      <alignment horizontal="left" vertical="center" indent="1"/>
    </xf>
    <xf numFmtId="0" fontId="118" fillId="33" borderId="9" applyNumberFormat="0" applyProtection="0">
      <alignment horizontal="left" vertical="top" indent="1"/>
    </xf>
    <xf numFmtId="0" fontId="17" fillId="107" borderId="8" applyNumberFormat="0" applyProtection="0">
      <alignment horizontal="left" vertical="center" indent="1"/>
    </xf>
    <xf numFmtId="4" fontId="46" fillId="51" borderId="58" applyNumberFormat="0" applyProtection="0">
      <alignment horizontal="left" vertical="center" indent="1"/>
    </xf>
    <xf numFmtId="4" fontId="46" fillId="51" borderId="58" applyNumberFormat="0" applyProtection="0">
      <alignment horizontal="left" vertical="center" indent="1"/>
    </xf>
    <xf numFmtId="4" fontId="46" fillId="51" borderId="58" applyNumberFormat="0" applyProtection="0">
      <alignment horizontal="left" vertical="center" indent="1"/>
    </xf>
    <xf numFmtId="4" fontId="46" fillId="51" borderId="58" applyNumberFormat="0" applyProtection="0">
      <alignment horizontal="left" vertical="center" indent="1"/>
    </xf>
    <xf numFmtId="4" fontId="19" fillId="108" borderId="8" applyNumberFormat="0" applyProtection="0">
      <alignment horizontal="right" vertical="center"/>
    </xf>
    <xf numFmtId="4" fontId="46" fillId="7" borderId="58" applyNumberFormat="0" applyProtection="0">
      <alignment horizontal="right" vertical="center"/>
    </xf>
    <xf numFmtId="4" fontId="46" fillId="7" borderId="58" applyNumberFormat="0" applyProtection="0">
      <alignment horizontal="right" vertical="center"/>
    </xf>
    <xf numFmtId="4" fontId="46" fillId="7" borderId="58" applyNumberFormat="0" applyProtection="0">
      <alignment horizontal="right" vertical="center"/>
    </xf>
    <xf numFmtId="4" fontId="19" fillId="109" borderId="8" applyNumberFormat="0" applyProtection="0">
      <alignment horizontal="right" vertical="center"/>
    </xf>
    <xf numFmtId="4" fontId="46" fillId="110" borderId="58" applyNumberFormat="0" applyProtection="0">
      <alignment horizontal="right" vertical="center"/>
    </xf>
    <xf numFmtId="4" fontId="46" fillId="110" borderId="58" applyNumberFormat="0" applyProtection="0">
      <alignment horizontal="right" vertical="center"/>
    </xf>
    <xf numFmtId="4" fontId="46" fillId="110" borderId="58" applyNumberFormat="0" applyProtection="0">
      <alignment horizontal="right" vertical="center"/>
    </xf>
    <xf numFmtId="4" fontId="19" fillId="111" borderId="8" applyNumberFormat="0" applyProtection="0">
      <alignment horizontal="right" vertical="center"/>
    </xf>
    <xf numFmtId="4" fontId="46" fillId="34" borderId="71" applyNumberFormat="0" applyProtection="0">
      <alignment horizontal="right" vertical="center"/>
    </xf>
    <xf numFmtId="4" fontId="46" fillId="34" borderId="71" applyNumberFormat="0" applyProtection="0">
      <alignment horizontal="right" vertical="center"/>
    </xf>
    <xf numFmtId="4" fontId="46" fillId="34" borderId="71" applyNumberFormat="0" applyProtection="0">
      <alignment horizontal="right" vertical="center"/>
    </xf>
    <xf numFmtId="4" fontId="19" fillId="112" borderId="8" applyNumberFormat="0" applyProtection="0">
      <alignment horizontal="right" vertical="center"/>
    </xf>
    <xf numFmtId="4" fontId="46" fillId="35" borderId="58" applyNumberFormat="0" applyProtection="0">
      <alignment horizontal="right" vertical="center"/>
    </xf>
    <xf numFmtId="4" fontId="46" fillId="35" borderId="58" applyNumberFormat="0" applyProtection="0">
      <alignment horizontal="right" vertical="center"/>
    </xf>
    <xf numFmtId="4" fontId="46" fillId="35" borderId="58" applyNumberFormat="0" applyProtection="0">
      <alignment horizontal="right" vertical="center"/>
    </xf>
    <xf numFmtId="4" fontId="19" fillId="113" borderId="8" applyNumberFormat="0" applyProtection="0">
      <alignment horizontal="right" vertical="center"/>
    </xf>
    <xf numFmtId="4" fontId="46" fillId="36" borderId="58" applyNumberFormat="0" applyProtection="0">
      <alignment horizontal="right" vertical="center"/>
    </xf>
    <xf numFmtId="4" fontId="46" fillId="36" borderId="58" applyNumberFormat="0" applyProtection="0">
      <alignment horizontal="right" vertical="center"/>
    </xf>
    <xf numFmtId="4" fontId="46" fillId="36" borderId="58" applyNumberFormat="0" applyProtection="0">
      <alignment horizontal="right" vertical="center"/>
    </xf>
    <xf numFmtId="4" fontId="19" fillId="114" borderId="8" applyNumberFormat="0" applyProtection="0">
      <alignment horizontal="right" vertical="center"/>
    </xf>
    <xf numFmtId="4" fontId="46" fillId="37" borderId="58" applyNumberFormat="0" applyProtection="0">
      <alignment horizontal="right" vertical="center"/>
    </xf>
    <xf numFmtId="4" fontId="46" fillId="37" borderId="58" applyNumberFormat="0" applyProtection="0">
      <alignment horizontal="right" vertical="center"/>
    </xf>
    <xf numFmtId="4" fontId="46" fillId="37" borderId="58" applyNumberFormat="0" applyProtection="0">
      <alignment horizontal="right" vertical="center"/>
    </xf>
    <xf numFmtId="4" fontId="19" fillId="115" borderId="8" applyNumberFormat="0" applyProtection="0">
      <alignment horizontal="right" vertical="center"/>
    </xf>
    <xf numFmtId="4" fontId="46" fillId="9" borderId="58" applyNumberFormat="0" applyProtection="0">
      <alignment horizontal="right" vertical="center"/>
    </xf>
    <xf numFmtId="4" fontId="46" fillId="9" borderId="58" applyNumberFormat="0" applyProtection="0">
      <alignment horizontal="right" vertical="center"/>
    </xf>
    <xf numFmtId="4" fontId="46" fillId="9" borderId="58" applyNumberFormat="0" applyProtection="0">
      <alignment horizontal="right" vertical="center"/>
    </xf>
    <xf numFmtId="4" fontId="19" fillId="116" borderId="8" applyNumberFormat="0" applyProtection="0">
      <alignment horizontal="right" vertical="center"/>
    </xf>
    <xf numFmtId="4" fontId="46" fillId="38" borderId="58" applyNumberFormat="0" applyProtection="0">
      <alignment horizontal="right" vertical="center"/>
    </xf>
    <xf numFmtId="4" fontId="46" fillId="38" borderId="58" applyNumberFormat="0" applyProtection="0">
      <alignment horizontal="right" vertical="center"/>
    </xf>
    <xf numFmtId="4" fontId="46" fillId="38" borderId="58" applyNumberFormat="0" applyProtection="0">
      <alignment horizontal="right" vertical="center"/>
    </xf>
    <xf numFmtId="4" fontId="19" fillId="117" borderId="8" applyNumberFormat="0" applyProtection="0">
      <alignment horizontal="right" vertical="center"/>
    </xf>
    <xf numFmtId="4" fontId="46" fillId="39" borderId="58" applyNumberFormat="0" applyProtection="0">
      <alignment horizontal="right" vertical="center"/>
    </xf>
    <xf numFmtId="4" fontId="46" fillId="39" borderId="58" applyNumberFormat="0" applyProtection="0">
      <alignment horizontal="right" vertical="center"/>
    </xf>
    <xf numFmtId="4" fontId="46" fillId="39" borderId="58" applyNumberFormat="0" applyProtection="0">
      <alignment horizontal="right" vertical="center"/>
    </xf>
    <xf numFmtId="4" fontId="38" fillId="118" borderId="8" applyNumberFormat="0" applyProtection="0">
      <alignment horizontal="left" vertical="center" indent="1"/>
    </xf>
    <xf numFmtId="4" fontId="46" fillId="40" borderId="71" applyNumberFormat="0" applyProtection="0">
      <alignment horizontal="left" vertical="center" indent="1"/>
    </xf>
    <xf numFmtId="4" fontId="46" fillId="40" borderId="71" applyNumberFormat="0" applyProtection="0">
      <alignment horizontal="left" vertical="center" indent="1"/>
    </xf>
    <xf numFmtId="4" fontId="46" fillId="40" borderId="71" applyNumberFormat="0" applyProtection="0">
      <alignment horizontal="left" vertical="center" indent="1"/>
    </xf>
    <xf numFmtId="4" fontId="19" fillId="119" borderId="78" applyNumberFormat="0" applyProtection="0">
      <alignment horizontal="left" vertical="center" indent="1"/>
    </xf>
    <xf numFmtId="4" fontId="17" fillId="8" borderId="71" applyNumberFormat="0" applyProtection="0">
      <alignment horizontal="left" vertical="center" indent="1"/>
    </xf>
    <xf numFmtId="4" fontId="40" fillId="120" borderId="0" applyNumberFormat="0" applyProtection="0">
      <alignment horizontal="left" vertical="center" indent="1"/>
    </xf>
    <xf numFmtId="4" fontId="17" fillId="8" borderId="71" applyNumberFormat="0" applyProtection="0">
      <alignment horizontal="left" vertical="center" indent="1"/>
    </xf>
    <xf numFmtId="0" fontId="17" fillId="107" borderId="8" applyNumberFormat="0" applyProtection="0">
      <alignment horizontal="left" vertical="center" indent="1"/>
    </xf>
    <xf numFmtId="4" fontId="46" fillId="2" borderId="58" applyNumberFormat="0" applyProtection="0">
      <alignment horizontal="right" vertical="center"/>
    </xf>
    <xf numFmtId="4" fontId="46" fillId="2" borderId="58" applyNumberFormat="0" applyProtection="0">
      <alignment horizontal="right" vertical="center"/>
    </xf>
    <xf numFmtId="4" fontId="46" fillId="2" borderId="58" applyNumberFormat="0" applyProtection="0">
      <alignment horizontal="right" vertical="center"/>
    </xf>
    <xf numFmtId="4" fontId="19" fillId="119" borderId="8" applyNumberFormat="0" applyProtection="0">
      <alignment horizontal="left" vertical="center" indent="1"/>
    </xf>
    <xf numFmtId="4" fontId="46" fillId="41" borderId="71" applyNumberFormat="0" applyProtection="0">
      <alignment horizontal="left" vertical="center" indent="1"/>
    </xf>
    <xf numFmtId="4" fontId="46" fillId="41" borderId="71" applyNumberFormat="0" applyProtection="0">
      <alignment horizontal="left" vertical="center" indent="1"/>
    </xf>
    <xf numFmtId="4" fontId="46" fillId="41" borderId="71" applyNumberFormat="0" applyProtection="0">
      <alignment horizontal="left" vertical="center" indent="1"/>
    </xf>
    <xf numFmtId="4" fontId="19" fillId="46" borderId="8" applyNumberFormat="0" applyProtection="0">
      <alignment horizontal="left" vertical="center" indent="1"/>
    </xf>
    <xf numFmtId="4" fontId="46" fillId="2" borderId="71" applyNumberFormat="0" applyProtection="0">
      <alignment horizontal="left" vertical="center" indent="1"/>
    </xf>
    <xf numFmtId="4" fontId="46" fillId="2" borderId="71" applyNumberFormat="0" applyProtection="0">
      <alignment horizontal="left" vertical="center" indent="1"/>
    </xf>
    <xf numFmtId="4" fontId="46" fillId="2" borderId="71" applyNumberFormat="0" applyProtection="0">
      <alignment horizontal="left" vertical="center" indent="1"/>
    </xf>
    <xf numFmtId="0" fontId="17" fillId="46" borderId="8" applyNumberFormat="0" applyProtection="0">
      <alignment horizontal="left" vertical="center" indent="1"/>
    </xf>
    <xf numFmtId="0" fontId="46" fillId="10" borderId="58" applyNumberFormat="0" applyProtection="0">
      <alignment horizontal="left" vertical="center" indent="1"/>
    </xf>
    <xf numFmtId="0" fontId="46" fillId="10" borderId="58" applyNumberFormat="0" applyProtection="0">
      <alignment horizontal="left" vertical="center" indent="1"/>
    </xf>
    <xf numFmtId="0" fontId="46" fillId="10" borderId="58" applyNumberFormat="0" applyProtection="0">
      <alignment horizontal="left" vertical="center" indent="1"/>
    </xf>
    <xf numFmtId="0" fontId="17" fillId="46" borderId="8" applyNumberFormat="0" applyProtection="0">
      <alignment horizontal="left" vertical="center" indent="1"/>
    </xf>
    <xf numFmtId="0" fontId="46" fillId="8" borderId="9" applyNumberFormat="0" applyProtection="0">
      <alignment horizontal="left" vertical="top" indent="1"/>
    </xf>
    <xf numFmtId="0" fontId="17" fillId="45" borderId="8" applyNumberFormat="0" applyProtection="0">
      <alignment horizontal="left" vertical="center" indent="1"/>
    </xf>
    <xf numFmtId="0" fontId="46" fillId="121" borderId="58" applyNumberFormat="0" applyProtection="0">
      <alignment horizontal="left" vertical="center" indent="1"/>
    </xf>
    <xf numFmtId="0" fontId="46" fillId="121" borderId="58" applyNumberFormat="0" applyProtection="0">
      <alignment horizontal="left" vertical="center" indent="1"/>
    </xf>
    <xf numFmtId="0" fontId="46" fillId="121" borderId="58" applyNumberFormat="0" applyProtection="0">
      <alignment horizontal="left" vertical="center" indent="1"/>
    </xf>
    <xf numFmtId="0" fontId="17" fillId="45" borderId="8" applyNumberFormat="0" applyProtection="0">
      <alignment horizontal="left" vertical="center" indent="1"/>
    </xf>
    <xf numFmtId="0" fontId="46" fillId="2" borderId="9" applyNumberFormat="0" applyProtection="0">
      <alignment horizontal="left" vertical="top" indent="1"/>
    </xf>
    <xf numFmtId="0" fontId="17" fillId="122" borderId="8" applyNumberFormat="0" applyProtection="0">
      <alignment horizontal="left" vertical="center" indent="1"/>
    </xf>
    <xf numFmtId="0" fontId="46" fillId="6" borderId="58" applyNumberFormat="0" applyProtection="0">
      <alignment horizontal="left" vertical="center" indent="1"/>
    </xf>
    <xf numFmtId="0" fontId="46" fillId="6" borderId="58" applyNumberFormat="0" applyProtection="0">
      <alignment horizontal="left" vertical="center" indent="1"/>
    </xf>
    <xf numFmtId="0" fontId="46" fillId="6" borderId="58" applyNumberFormat="0" applyProtection="0">
      <alignment horizontal="left" vertical="center" indent="1"/>
    </xf>
    <xf numFmtId="0" fontId="17" fillId="122" borderId="8" applyNumberFormat="0" applyProtection="0">
      <alignment horizontal="left" vertical="center" indent="1"/>
    </xf>
    <xf numFmtId="0" fontId="46" fillId="6" borderId="9" applyNumberFormat="0" applyProtection="0">
      <alignment horizontal="left" vertical="top" indent="1"/>
    </xf>
    <xf numFmtId="0" fontId="17" fillId="107" borderId="8" applyNumberFormat="0" applyProtection="0">
      <alignment horizontal="left" vertical="center" indent="1"/>
    </xf>
    <xf numFmtId="0" fontId="46" fillId="41" borderId="58" applyNumberFormat="0" applyProtection="0">
      <alignment horizontal="left" vertical="center" indent="1"/>
    </xf>
    <xf numFmtId="0" fontId="46" fillId="41" borderId="58" applyNumberFormat="0" applyProtection="0">
      <alignment horizontal="left" vertical="center" indent="1"/>
    </xf>
    <xf numFmtId="0" fontId="46" fillId="41" borderId="58" applyNumberFormat="0" applyProtection="0">
      <alignment horizontal="left" vertical="center" indent="1"/>
    </xf>
    <xf numFmtId="0" fontId="17" fillId="107" borderId="8" applyNumberFormat="0" applyProtection="0">
      <alignment horizontal="left" vertical="center" indent="1"/>
    </xf>
    <xf numFmtId="0" fontId="46" fillId="41" borderId="9" applyNumberFormat="0" applyProtection="0">
      <alignment horizontal="left" vertical="top" indent="1"/>
    </xf>
    <xf numFmtId="0" fontId="4" fillId="0" borderId="0"/>
    <xf numFmtId="0" fontId="46" fillId="5" borderId="79" applyNumberFormat="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9" fillId="8" borderId="80" applyBorder="0"/>
    <xf numFmtId="4" fontId="19" fillId="123" borderId="8" applyNumberFormat="0" applyProtection="0">
      <alignment vertical="center"/>
    </xf>
    <xf numFmtId="4" fontId="120" fillId="4" borderId="9" applyNumberFormat="0" applyProtection="0">
      <alignment vertical="center"/>
    </xf>
    <xf numFmtId="4" fontId="41" fillId="123" borderId="8" applyNumberFormat="0" applyProtection="0">
      <alignment vertical="center"/>
    </xf>
    <xf numFmtId="4" fontId="117" fillId="123" borderId="11" applyNumberFormat="0" applyProtection="0">
      <alignment vertical="center"/>
    </xf>
    <xf numFmtId="4" fontId="19" fillId="123" borderId="8" applyNumberFormat="0" applyProtection="0">
      <alignment horizontal="left" vertical="center" indent="1"/>
    </xf>
    <xf numFmtId="4" fontId="120" fillId="10" borderId="9" applyNumberFormat="0" applyProtection="0">
      <alignment horizontal="left" vertical="center" indent="1"/>
    </xf>
    <xf numFmtId="4" fontId="19" fillId="123" borderId="8" applyNumberFormat="0" applyProtection="0">
      <alignment horizontal="left" vertical="center" indent="1"/>
    </xf>
    <xf numFmtId="0" fontId="120" fillId="4" borderId="9" applyNumberFormat="0" applyProtection="0">
      <alignment horizontal="left" vertical="top" indent="1"/>
    </xf>
    <xf numFmtId="4" fontId="19" fillId="119" borderId="8" applyNumberFormat="0" applyProtection="0">
      <alignment horizontal="right" vertical="center"/>
    </xf>
    <xf numFmtId="4" fontId="19" fillId="119" borderId="8" applyNumberFormat="0" applyProtection="0">
      <alignment horizontal="right" vertical="center"/>
    </xf>
    <xf numFmtId="4" fontId="46" fillId="0" borderId="58" applyNumberFormat="0" applyProtection="0">
      <alignment horizontal="right" vertical="center"/>
    </xf>
    <xf numFmtId="4" fontId="46" fillId="0" borderId="58" applyNumberFormat="0" applyProtection="0">
      <alignment horizontal="right" vertical="center"/>
    </xf>
    <xf numFmtId="4" fontId="46" fillId="0" borderId="58" applyNumberFormat="0" applyProtection="0">
      <alignment horizontal="right" vertical="center"/>
    </xf>
    <xf numFmtId="4" fontId="46" fillId="0" borderId="58" applyNumberFormat="0" applyProtection="0">
      <alignment horizontal="right" vertical="center"/>
    </xf>
    <xf numFmtId="4" fontId="41" fillId="119" borderId="8" applyNumberFormat="0" applyProtection="0">
      <alignment horizontal="right" vertical="center"/>
    </xf>
    <xf numFmtId="4" fontId="117" fillId="43" borderId="58" applyNumberFormat="0" applyProtection="0">
      <alignment horizontal="right" vertical="center"/>
    </xf>
    <xf numFmtId="0" fontId="17" fillId="107" borderId="8" applyNumberFormat="0" applyProtection="0">
      <alignment horizontal="left" vertical="center" indent="1"/>
    </xf>
    <xf numFmtId="4" fontId="46" fillId="51" borderId="58" applyNumberFormat="0" applyProtection="0">
      <alignment horizontal="left" vertical="center" indent="1"/>
    </xf>
    <xf numFmtId="4" fontId="46" fillId="51" borderId="58" applyNumberFormat="0" applyProtection="0">
      <alignment horizontal="left" vertical="center" indent="1"/>
    </xf>
    <xf numFmtId="4" fontId="46" fillId="51" borderId="58" applyNumberFormat="0" applyProtection="0">
      <alignment horizontal="left" vertical="center" indent="1"/>
    </xf>
    <xf numFmtId="4" fontId="46" fillId="51" borderId="58" applyNumberFormat="0" applyProtection="0">
      <alignment horizontal="left" vertical="center" indent="1"/>
    </xf>
    <xf numFmtId="0" fontId="17" fillId="107" borderId="8" applyNumberFormat="0" applyProtection="0">
      <alignment horizontal="left" vertical="center" indent="1"/>
    </xf>
    <xf numFmtId="0" fontId="120" fillId="2" borderId="9" applyNumberFormat="0" applyProtection="0">
      <alignment horizontal="left" vertical="top" indent="1"/>
    </xf>
    <xf numFmtId="0" fontId="121" fillId="0" borderId="0"/>
    <xf numFmtId="4" fontId="122" fillId="42" borderId="71" applyNumberFormat="0" applyProtection="0">
      <alignment horizontal="left" vertical="center" indent="1"/>
    </xf>
    <xf numFmtId="0" fontId="46" fillId="124" borderId="11"/>
    <xf numFmtId="0" fontId="46" fillId="124" borderId="11"/>
    <xf numFmtId="0" fontId="46" fillId="124" borderId="11"/>
    <xf numFmtId="4" fontId="43" fillId="119" borderId="8" applyNumberFormat="0" applyProtection="0">
      <alignment horizontal="right" vertical="center"/>
    </xf>
    <xf numFmtId="4" fontId="123" fillId="5" borderId="58" applyNumberFormat="0" applyProtection="0">
      <alignment horizontal="right" vertical="center"/>
    </xf>
    <xf numFmtId="0" fontId="124" fillId="0" borderId="0" applyNumberFormat="0" applyFill="0" applyBorder="0" applyAlignment="0" applyProtection="0"/>
    <xf numFmtId="0" fontId="28" fillId="0" borderId="12" applyNumberFormat="0" applyFill="0" applyAlignment="0" applyProtection="0"/>
    <xf numFmtId="0" fontId="28" fillId="0" borderId="81" applyNumberFormat="0" applyFill="0" applyAlignment="0" applyProtection="0"/>
    <xf numFmtId="0" fontId="125" fillId="0" borderId="0" applyNumberFormat="0" applyFill="0" applyBorder="0" applyAlignment="0" applyProtection="0"/>
    <xf numFmtId="0" fontId="45" fillId="0" borderId="0" applyNumberFormat="0" applyFill="0" applyBorder="0" applyAlignment="0" applyProtection="0"/>
    <xf numFmtId="0" fontId="126" fillId="0" borderId="0" applyNumberFormat="0" applyFill="0" applyBorder="0" applyAlignment="0" applyProtection="0"/>
    <xf numFmtId="0" fontId="105" fillId="55" borderId="0" applyNumberFormat="0" applyBorder="0" applyAlignment="0" applyProtection="0"/>
    <xf numFmtId="0" fontId="104" fillId="63" borderId="0" applyNumberFormat="0" applyBorder="0" applyAlignment="0" applyProtection="0"/>
    <xf numFmtId="0" fontId="104" fillId="67" borderId="0" applyNumberFormat="0" applyBorder="0" applyAlignment="0" applyProtection="0"/>
    <xf numFmtId="0" fontId="104" fillId="71" borderId="0" applyNumberFormat="0" applyBorder="0" applyAlignment="0" applyProtection="0"/>
    <xf numFmtId="0" fontId="104" fillId="75" borderId="0" applyNumberFormat="0" applyBorder="0" applyAlignment="0" applyProtection="0"/>
    <xf numFmtId="0" fontId="104" fillId="79" borderId="0" applyNumberFormat="0" applyBorder="0" applyAlignment="0" applyProtection="0"/>
    <xf numFmtId="0" fontId="104" fillId="83"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59" borderId="69" applyNumberFormat="0" applyFont="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59" borderId="69" applyNumberFormat="0" applyFont="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9" borderId="69" applyNumberFormat="0" applyFont="0" applyAlignment="0" applyProtection="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81" borderId="0" applyNumberFormat="0" applyBorder="0" applyAlignment="0" applyProtection="0"/>
    <xf numFmtId="0" fontId="4" fillId="8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 fillId="59" borderId="69" applyNumberFormat="0" applyFont="0" applyAlignment="0" applyProtection="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81" borderId="0" applyNumberFormat="0" applyBorder="0" applyAlignment="0" applyProtection="0"/>
    <xf numFmtId="0" fontId="4" fillId="82" borderId="0" applyNumberFormat="0" applyBorder="0" applyAlignment="0" applyProtection="0"/>
    <xf numFmtId="0" fontId="4" fillId="0" borderId="0"/>
    <xf numFmtId="0" fontId="4" fillId="59" borderId="69" applyNumberFormat="0" applyFont="0" applyAlignment="0" applyProtection="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81" borderId="0" applyNumberFormat="0" applyBorder="0" applyAlignment="0" applyProtection="0"/>
    <xf numFmtId="0" fontId="4" fillId="8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4" fillId="59" borderId="69"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9" borderId="69" applyNumberFormat="0" applyFont="0" applyAlignment="0" applyProtection="0"/>
    <xf numFmtId="0" fontId="4" fillId="0" borderId="0"/>
    <xf numFmtId="9" fontId="4" fillId="0" borderId="0" applyFont="0" applyFill="0" applyBorder="0" applyAlignment="0" applyProtection="0"/>
    <xf numFmtId="0" fontId="24" fillId="84" borderId="0" applyNumberFormat="0" applyBorder="0" applyAlignment="0" applyProtection="0"/>
    <xf numFmtId="0" fontId="24" fillId="7" borderId="0" applyNumberFormat="0" applyBorder="0" applyAlignment="0" applyProtection="0"/>
    <xf numFmtId="0" fontId="24" fillId="85" borderId="0" applyNumberFormat="0" applyBorder="0" applyAlignment="0" applyProtection="0"/>
    <xf numFmtId="0" fontId="24" fillId="86" borderId="0" applyNumberFormat="0" applyBorder="0" applyAlignment="0" applyProtection="0"/>
    <xf numFmtId="0" fontId="24" fillId="87" borderId="0" applyNumberFormat="0" applyBorder="0" applyAlignment="0" applyProtection="0"/>
    <xf numFmtId="0" fontId="24" fillId="11" borderId="0" applyNumberFormat="0" applyBorder="0" applyAlignment="0" applyProtection="0"/>
    <xf numFmtId="0" fontId="17" fillId="0" borderId="0"/>
    <xf numFmtId="0" fontId="24" fillId="6" borderId="0" applyNumberFormat="0" applyBorder="0" applyAlignment="0" applyProtection="0"/>
    <xf numFmtId="0" fontId="24" fillId="3" borderId="0" applyNumberFormat="0" applyBorder="0" applyAlignment="0" applyProtection="0"/>
    <xf numFmtId="0" fontId="24" fillId="39" borderId="0" applyNumberFormat="0" applyBorder="0" applyAlignment="0" applyProtection="0"/>
    <xf numFmtId="0" fontId="24" fillId="86" borderId="0" applyNumberFormat="0" applyBorder="0" applyAlignment="0" applyProtection="0"/>
    <xf numFmtId="0" fontId="24" fillId="6" borderId="0" applyNumberFormat="0" applyBorder="0" applyAlignment="0" applyProtection="0"/>
    <xf numFmtId="0" fontId="24" fillId="35" borderId="0" applyNumberFormat="0" applyBorder="0" applyAlignment="0" applyProtection="0"/>
    <xf numFmtId="0" fontId="4" fillId="0" borderId="0"/>
    <xf numFmtId="0" fontId="17"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7" fillId="0" borderId="0"/>
    <xf numFmtId="0" fontId="4" fillId="0" borderId="0"/>
    <xf numFmtId="0" fontId="4" fillId="0" borderId="0"/>
    <xf numFmtId="0" fontId="4" fillId="0" borderId="0"/>
    <xf numFmtId="0" fontId="17" fillId="0" borderId="0"/>
    <xf numFmtId="0" fontId="4" fillId="0" borderId="0"/>
    <xf numFmtId="0" fontId="4" fillId="0" borderId="0"/>
    <xf numFmtId="0" fontId="4" fillId="0" borderId="0"/>
    <xf numFmtId="0" fontId="4" fillId="0" borderId="0"/>
    <xf numFmtId="0" fontId="110" fillId="0" borderId="0"/>
    <xf numFmtId="0" fontId="19" fillId="4" borderId="7" applyNumberFormat="0" applyFont="0" applyAlignment="0" applyProtection="0"/>
    <xf numFmtId="0" fontId="17" fillId="0" borderId="0"/>
    <xf numFmtId="0" fontId="17" fillId="0" borderId="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4" fontId="4" fillId="0" borderId="0" applyFont="0" applyFill="0" applyBorder="0" applyAlignment="0" applyProtection="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 fillId="59" borderId="69" applyNumberFormat="0" applyFont="0" applyAlignment="0" applyProtection="0"/>
    <xf numFmtId="0" fontId="4" fillId="0" borderId="0"/>
    <xf numFmtId="0" fontId="4" fillId="0" borderId="0"/>
    <xf numFmtId="0" fontId="4" fillId="0" borderId="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9" borderId="69" applyNumberFormat="0" applyFont="0" applyAlignment="0" applyProtection="0"/>
    <xf numFmtId="0" fontId="4" fillId="59" borderId="6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81" borderId="0" applyNumberFormat="0" applyBorder="0" applyAlignment="0" applyProtection="0"/>
    <xf numFmtId="0" fontId="4" fillId="82"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59" borderId="69" applyNumberFormat="0" applyFont="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1"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59" borderId="69" applyNumberFormat="0" applyFont="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9" borderId="69" applyNumberFormat="0" applyFont="0" applyAlignment="0" applyProtection="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81" borderId="0" applyNumberFormat="0" applyBorder="0" applyAlignment="0" applyProtection="0"/>
    <xf numFmtId="0" fontId="4" fillId="8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 fillId="59" borderId="69" applyNumberFormat="0" applyFont="0" applyAlignment="0" applyProtection="0"/>
    <xf numFmtId="0" fontId="17" fillId="0" borderId="0"/>
    <xf numFmtId="43" fontId="4" fillId="0" borderId="0" applyFont="0" applyFill="0" applyBorder="0" applyAlignment="0" applyProtection="0"/>
    <xf numFmtId="4" fontId="46" fillId="0" borderId="58" applyNumberFormat="0" applyProtection="0">
      <alignment horizontal="right" vertical="center"/>
    </xf>
    <xf numFmtId="4" fontId="19" fillId="123" borderId="8" applyNumberFormat="0" applyProtection="0">
      <alignment vertical="center"/>
    </xf>
    <xf numFmtId="4" fontId="46" fillId="34" borderId="71" applyNumberFormat="0" applyProtection="0">
      <alignment horizontal="right" vertical="center"/>
    </xf>
    <xf numFmtId="4" fontId="46" fillId="40" borderId="71" applyNumberFormat="0" applyProtection="0">
      <alignment horizontal="left" vertical="center" indent="1"/>
    </xf>
    <xf numFmtId="4" fontId="46" fillId="37" borderId="58" applyNumberFormat="0" applyProtection="0">
      <alignment horizontal="right" vertical="center"/>
    </xf>
    <xf numFmtId="4" fontId="41" fillId="106" borderId="8" applyNumberFormat="0" applyProtection="0">
      <alignment vertical="center"/>
    </xf>
    <xf numFmtId="0" fontId="17" fillId="107" borderId="8" applyNumberFormat="0" applyProtection="0">
      <alignment horizontal="left" vertical="center" indent="1"/>
    </xf>
    <xf numFmtId="4" fontId="46" fillId="37" borderId="58" applyNumberFormat="0" applyProtection="0">
      <alignment horizontal="right" vertical="center"/>
    </xf>
    <xf numFmtId="4" fontId="46" fillId="0" borderId="58" applyNumberFormat="0" applyProtection="0">
      <alignment horizontal="right" vertical="center"/>
    </xf>
    <xf numFmtId="0" fontId="46" fillId="41" borderId="58" applyNumberFormat="0" applyProtection="0">
      <alignment horizontal="left" vertical="center" indent="1"/>
    </xf>
    <xf numFmtId="0" fontId="17" fillId="46" borderId="8" applyNumberFormat="0" applyProtection="0">
      <alignment horizontal="left" vertical="center" indent="1"/>
    </xf>
    <xf numFmtId="4" fontId="19" fillId="106" borderId="8" applyNumberFormat="0" applyProtection="0">
      <alignment horizontal="left" vertical="center" indent="1"/>
    </xf>
    <xf numFmtId="4" fontId="19" fillId="119" borderId="78" applyNumberFormat="0" applyProtection="0">
      <alignment horizontal="left" vertical="center" indent="1"/>
    </xf>
    <xf numFmtId="0" fontId="46" fillId="10" borderId="58" applyNumberFormat="0" applyProtection="0">
      <alignment horizontal="left" vertical="center" indent="1"/>
    </xf>
    <xf numFmtId="4" fontId="46" fillId="35" borderId="58" applyNumberFormat="0" applyProtection="0">
      <alignment horizontal="right" vertical="center"/>
    </xf>
    <xf numFmtId="0" fontId="118" fillId="33" borderId="9" applyNumberFormat="0" applyProtection="0">
      <alignment horizontal="left" vertical="top" indent="1"/>
    </xf>
    <xf numFmtId="0" fontId="119" fillId="8" borderId="80" applyBorder="0"/>
    <xf numFmtId="0" fontId="46" fillId="121" borderId="58" applyNumberFormat="0" applyProtection="0">
      <alignment horizontal="left" vertical="center" indent="1"/>
    </xf>
    <xf numFmtId="0" fontId="46" fillId="41" borderId="9" applyNumberFormat="0" applyProtection="0">
      <alignment horizontal="left" vertical="top" indent="1"/>
    </xf>
    <xf numFmtId="4" fontId="46" fillId="39" borderId="58" applyNumberFormat="0" applyProtection="0">
      <alignment horizontal="right" vertical="center"/>
    </xf>
    <xf numFmtId="4" fontId="46" fillId="35" borderId="58" applyNumberFormat="0" applyProtection="0">
      <alignment horizontal="right" vertical="center"/>
    </xf>
    <xf numFmtId="0" fontId="46" fillId="10" borderId="58" applyNumberFormat="0" applyProtection="0">
      <alignment horizontal="left" vertical="center" indent="1"/>
    </xf>
    <xf numFmtId="4" fontId="19" fillId="113" borderId="8" applyNumberFormat="0" applyProtection="0">
      <alignment horizontal="right" vertical="center"/>
    </xf>
    <xf numFmtId="0" fontId="46" fillId="10" borderId="58" applyNumberFormat="0" applyProtection="0">
      <alignment horizontal="left" vertical="center" indent="1"/>
    </xf>
    <xf numFmtId="4" fontId="123" fillId="5" borderId="58" applyNumberFormat="0" applyProtection="0">
      <alignment horizontal="right" vertical="center"/>
    </xf>
    <xf numFmtId="4" fontId="19" fillId="117" borderId="8" applyNumberFormat="0" applyProtection="0">
      <alignment horizontal="right" vertical="center"/>
    </xf>
    <xf numFmtId="4" fontId="46" fillId="33" borderId="58" applyNumberFormat="0" applyProtection="0">
      <alignment vertical="center"/>
    </xf>
    <xf numFmtId="4" fontId="46" fillId="37" borderId="58" applyNumberFormat="0" applyProtection="0">
      <alignment horizontal="right" vertical="center"/>
    </xf>
    <xf numFmtId="0" fontId="46" fillId="121" borderId="58" applyNumberFormat="0" applyProtection="0">
      <alignment horizontal="left" vertical="center" indent="1"/>
    </xf>
    <xf numFmtId="4" fontId="19" fillId="46" borderId="8" applyNumberFormat="0" applyProtection="0">
      <alignment horizontal="left" vertical="center" indent="1"/>
    </xf>
    <xf numFmtId="4" fontId="46" fillId="37" borderId="58" applyNumberFormat="0" applyProtection="0">
      <alignment horizontal="right" vertical="center"/>
    </xf>
    <xf numFmtId="4" fontId="38" fillId="118" borderId="8" applyNumberFormat="0" applyProtection="0">
      <alignment horizontal="left" vertical="center" indent="1"/>
    </xf>
    <xf numFmtId="4" fontId="46" fillId="9" borderId="58" applyNumberFormat="0" applyProtection="0">
      <alignment horizontal="right" vertical="center"/>
    </xf>
    <xf numFmtId="0" fontId="46" fillId="6" borderId="58" applyNumberFormat="0" applyProtection="0">
      <alignment horizontal="left" vertical="center" indent="1"/>
    </xf>
    <xf numFmtId="0" fontId="120" fillId="4" borderId="9" applyNumberFormat="0" applyProtection="0">
      <alignment horizontal="left" vertical="top" indent="1"/>
    </xf>
    <xf numFmtId="4" fontId="46" fillId="41" borderId="71" applyNumberFormat="0" applyProtection="0">
      <alignment horizontal="left" vertical="center" indent="1"/>
    </xf>
    <xf numFmtId="0" fontId="46" fillId="124" borderId="82"/>
    <xf numFmtId="4" fontId="46" fillId="51" borderId="58" applyNumberFormat="0" applyProtection="0">
      <alignment horizontal="left" vertical="center" indent="1"/>
    </xf>
    <xf numFmtId="0" fontId="37" fillId="10" borderId="8" applyNumberFormat="0" applyAlignment="0" applyProtection="0"/>
    <xf numFmtId="0" fontId="19" fillId="4" borderId="7" applyNumberFormat="0" applyFont="0" applyAlignment="0" applyProtection="0"/>
    <xf numFmtId="4" fontId="19" fillId="112" borderId="8" applyNumberFormat="0" applyProtection="0">
      <alignment horizontal="right" vertical="center"/>
    </xf>
    <xf numFmtId="0" fontId="17" fillId="45" borderId="8" applyNumberFormat="0" applyProtection="0">
      <alignment horizontal="left" vertical="center" indent="1"/>
    </xf>
    <xf numFmtId="0" fontId="17" fillId="46" borderId="8" applyNumberFormat="0" applyProtection="0">
      <alignment horizontal="left" vertical="center" indent="1"/>
    </xf>
    <xf numFmtId="4" fontId="46" fillId="38" borderId="58" applyNumberFormat="0" applyProtection="0">
      <alignment horizontal="right" vertical="center"/>
    </xf>
    <xf numFmtId="4" fontId="19" fillId="108" borderId="8" applyNumberFormat="0" applyProtection="0">
      <alignment horizontal="right" vertical="center"/>
    </xf>
    <xf numFmtId="4" fontId="46" fillId="51" borderId="58" applyNumberFormat="0" applyProtection="0">
      <alignment horizontal="left" vertical="center" indent="1"/>
    </xf>
    <xf numFmtId="0" fontId="46" fillId="41" borderId="58" applyNumberFormat="0" applyProtection="0">
      <alignment horizontal="left" vertical="center" indent="1"/>
    </xf>
    <xf numFmtId="4" fontId="46" fillId="2" borderId="58" applyNumberFormat="0" applyProtection="0">
      <alignment horizontal="right" vertical="center"/>
    </xf>
    <xf numFmtId="0" fontId="17" fillId="107" borderId="8" applyNumberFormat="0" applyProtection="0">
      <alignment horizontal="left" vertical="center" indent="1"/>
    </xf>
    <xf numFmtId="4" fontId="19" fillId="109" borderId="8" applyNumberFormat="0" applyProtection="0">
      <alignment horizontal="right" vertical="center"/>
    </xf>
    <xf numFmtId="0" fontId="46" fillId="6" borderId="58" applyNumberFormat="0" applyProtection="0">
      <alignment horizontal="left" vertical="center" indent="1"/>
    </xf>
    <xf numFmtId="4" fontId="46" fillId="51" borderId="58" applyNumberFormat="0" applyProtection="0">
      <alignment horizontal="left" vertical="center" indent="1"/>
    </xf>
    <xf numFmtId="4" fontId="46" fillId="41" borderId="71" applyNumberFormat="0" applyProtection="0">
      <alignment horizontal="left" vertical="center" indent="1"/>
    </xf>
    <xf numFmtId="0" fontId="17" fillId="107" borderId="8" applyNumberFormat="0" applyProtection="0">
      <alignment horizontal="left" vertical="center" indent="1"/>
    </xf>
    <xf numFmtId="4" fontId="19" fillId="119" borderId="8" applyNumberFormat="0" applyProtection="0">
      <alignment horizontal="right" vertical="center"/>
    </xf>
    <xf numFmtId="4" fontId="41" fillId="106" borderId="8" applyNumberFormat="0" applyProtection="0">
      <alignment vertical="center"/>
    </xf>
    <xf numFmtId="4" fontId="19" fillId="119" borderId="8" applyNumberFormat="0" applyProtection="0">
      <alignment horizontal="right" vertical="center"/>
    </xf>
    <xf numFmtId="4" fontId="46" fillId="40" borderId="71" applyNumberFormat="0" applyProtection="0">
      <alignment horizontal="left" vertical="center" indent="1"/>
    </xf>
    <xf numFmtId="0" fontId="46" fillId="2" borderId="9" applyNumberFormat="0" applyProtection="0">
      <alignment horizontal="left" vertical="top" indent="1"/>
    </xf>
    <xf numFmtId="4" fontId="46" fillId="33" borderId="58" applyNumberFormat="0" applyProtection="0">
      <alignment vertical="center"/>
    </xf>
    <xf numFmtId="4" fontId="117" fillId="123" borderId="82" applyNumberFormat="0" applyProtection="0">
      <alignment vertical="center"/>
    </xf>
    <xf numFmtId="0" fontId="120" fillId="2" borderId="9" applyNumberFormat="0" applyProtection="0">
      <alignment horizontal="left" vertical="top" indent="1"/>
    </xf>
    <xf numFmtId="4" fontId="46" fillId="37" borderId="58" applyNumberFormat="0" applyProtection="0">
      <alignment horizontal="right" vertical="center"/>
    </xf>
    <xf numFmtId="0" fontId="108" fillId="101" borderId="58" applyNumberFormat="0" applyAlignment="0" applyProtection="0"/>
    <xf numFmtId="4" fontId="46" fillId="51" borderId="58" applyNumberFormat="0" applyProtection="0">
      <alignment horizontal="left" vertical="center" indent="1"/>
    </xf>
    <xf numFmtId="4" fontId="41" fillId="123" borderId="8" applyNumberFormat="0" applyProtection="0">
      <alignment vertical="center"/>
    </xf>
    <xf numFmtId="4" fontId="46" fillId="33" borderId="58" applyNumberFormat="0" applyProtection="0">
      <alignment vertical="center"/>
    </xf>
    <xf numFmtId="0" fontId="17" fillId="107" borderId="8" applyNumberFormat="0" applyProtection="0">
      <alignment horizontal="left" vertical="center" indent="1"/>
    </xf>
    <xf numFmtId="4" fontId="46" fillId="40" borderId="71" applyNumberFormat="0" applyProtection="0">
      <alignment horizontal="left" vertical="center" indent="1"/>
    </xf>
    <xf numFmtId="4" fontId="19" fillId="119" borderId="8" applyNumberFormat="0" applyProtection="0">
      <alignment horizontal="right" vertical="center"/>
    </xf>
    <xf numFmtId="0" fontId="17" fillId="107" borderId="8" applyNumberFormat="0" applyProtection="0">
      <alignment horizontal="left" vertical="center" indent="1"/>
    </xf>
    <xf numFmtId="4" fontId="46" fillId="39" borderId="58" applyNumberFormat="0" applyProtection="0">
      <alignment horizontal="right" vertical="center"/>
    </xf>
    <xf numFmtId="0" fontId="34" fillId="27" borderId="58" applyNumberFormat="0" applyAlignment="0" applyProtection="0"/>
    <xf numFmtId="4" fontId="19" fillId="112" borderId="8" applyNumberFormat="0" applyProtection="0">
      <alignment horizontal="right" vertical="center"/>
    </xf>
    <xf numFmtId="4" fontId="46" fillId="38" borderId="58" applyNumberFormat="0" applyProtection="0">
      <alignment horizontal="right" vertical="center"/>
    </xf>
    <xf numFmtId="4" fontId="46" fillId="106" borderId="58" applyNumberFormat="0" applyProtection="0">
      <alignment horizontal="left" vertical="center" indent="1"/>
    </xf>
    <xf numFmtId="4" fontId="46" fillId="36" borderId="58" applyNumberFormat="0" applyProtection="0">
      <alignment horizontal="right" vertical="center"/>
    </xf>
    <xf numFmtId="4" fontId="46" fillId="41" borderId="71" applyNumberFormat="0" applyProtection="0">
      <alignment horizontal="left" vertical="center" indent="1"/>
    </xf>
    <xf numFmtId="4" fontId="46" fillId="110" borderId="58" applyNumberFormat="0" applyProtection="0">
      <alignment horizontal="right" vertical="center"/>
    </xf>
    <xf numFmtId="4" fontId="46" fillId="2" borderId="71" applyNumberFormat="0" applyProtection="0">
      <alignment horizontal="left" vertical="center" indent="1"/>
    </xf>
    <xf numFmtId="4" fontId="46" fillId="39" borderId="58" applyNumberFormat="0" applyProtection="0">
      <alignment horizontal="right" vertical="center"/>
    </xf>
    <xf numFmtId="4" fontId="46" fillId="41" borderId="71" applyNumberFormat="0" applyProtection="0">
      <alignment horizontal="left" vertical="center" indent="1"/>
    </xf>
    <xf numFmtId="4" fontId="19" fillId="106" borderId="8" applyNumberFormat="0" applyProtection="0">
      <alignment horizontal="left" vertical="center" indent="1"/>
    </xf>
    <xf numFmtId="4" fontId="19" fillId="115" borderId="8" applyNumberFormat="0" applyProtection="0">
      <alignment horizontal="right" vertical="center"/>
    </xf>
    <xf numFmtId="4" fontId="19" fillId="106" borderId="8" applyNumberFormat="0" applyProtection="0">
      <alignment horizontal="left" vertical="center" indent="1"/>
    </xf>
    <xf numFmtId="4" fontId="46" fillId="38" borderId="58" applyNumberFormat="0" applyProtection="0">
      <alignment horizontal="right" vertical="center"/>
    </xf>
    <xf numFmtId="4" fontId="46" fillId="2" borderId="71" applyNumberFormat="0" applyProtection="0">
      <alignment horizontal="left" vertical="center" indent="1"/>
    </xf>
    <xf numFmtId="4" fontId="46" fillId="35" borderId="58" applyNumberFormat="0" applyProtection="0">
      <alignment horizontal="right" vertical="center"/>
    </xf>
    <xf numFmtId="0" fontId="46" fillId="2" borderId="9" applyNumberFormat="0" applyProtection="0">
      <alignment horizontal="left" vertical="top" indent="1"/>
    </xf>
    <xf numFmtId="4" fontId="46" fillId="7" borderId="58" applyNumberFormat="0" applyProtection="0">
      <alignment horizontal="right" vertical="center"/>
    </xf>
    <xf numFmtId="0" fontId="37" fillId="10" borderId="8" applyNumberFormat="0" applyAlignment="0" applyProtection="0"/>
    <xf numFmtId="4" fontId="46" fillId="51" borderId="58" applyNumberFormat="0" applyProtection="0">
      <alignment horizontal="left" vertical="center" indent="1"/>
    </xf>
    <xf numFmtId="4" fontId="46" fillId="40" borderId="71" applyNumberFormat="0" applyProtection="0">
      <alignment horizontal="left" vertical="center" indent="1"/>
    </xf>
    <xf numFmtId="0" fontId="46" fillId="41" borderId="9" applyNumberFormat="0" applyProtection="0">
      <alignment horizontal="left" vertical="top" indent="1"/>
    </xf>
    <xf numFmtId="4" fontId="46" fillId="37" borderId="58" applyNumberFormat="0" applyProtection="0">
      <alignment horizontal="right" vertical="center"/>
    </xf>
    <xf numFmtId="0" fontId="17" fillId="122" borderId="8" applyNumberFormat="0" applyProtection="0">
      <alignment horizontal="left" vertical="center" indent="1"/>
    </xf>
    <xf numFmtId="0" fontId="37" fillId="101" borderId="8" applyNumberFormat="0" applyAlignment="0" applyProtection="0"/>
    <xf numFmtId="0" fontId="109" fillId="10" borderId="1" applyNumberFormat="0" applyAlignment="0" applyProtection="0"/>
    <xf numFmtId="4" fontId="19" fillId="123" borderId="8" applyNumberFormat="0" applyProtection="0">
      <alignment horizontal="left" vertical="center" indent="1"/>
    </xf>
    <xf numFmtId="4" fontId="46" fillId="34" borderId="71" applyNumberFormat="0" applyProtection="0">
      <alignment horizontal="right" vertical="center"/>
    </xf>
    <xf numFmtId="4" fontId="19" fillId="46" borderId="8" applyNumberFormat="0" applyProtection="0">
      <alignment horizontal="left" vertical="center" indent="1"/>
    </xf>
    <xf numFmtId="4" fontId="120" fillId="10" borderId="9" applyNumberFormat="0" applyProtection="0">
      <alignment horizontal="left" vertical="center" indent="1"/>
    </xf>
    <xf numFmtId="4" fontId="46" fillId="41" borderId="71" applyNumberFormat="0" applyProtection="0">
      <alignment horizontal="left" vertical="center" indent="1"/>
    </xf>
    <xf numFmtId="0" fontId="46" fillId="41" borderId="58" applyNumberFormat="0" applyProtection="0">
      <alignment horizontal="left" vertical="center" indent="1"/>
    </xf>
    <xf numFmtId="4" fontId="122" fillId="42" borderId="71" applyNumberFormat="0" applyProtection="0">
      <alignment horizontal="left" vertical="center" indent="1"/>
    </xf>
    <xf numFmtId="4" fontId="46" fillId="51" borderId="58" applyNumberFormat="0" applyProtection="0">
      <alignment horizontal="left" vertical="center" indent="1"/>
    </xf>
    <xf numFmtId="0" fontId="17" fillId="107" borderId="8" applyNumberFormat="0" applyProtection="0">
      <alignment horizontal="left" vertical="center" indent="1"/>
    </xf>
    <xf numFmtId="0" fontId="46" fillId="124" borderId="82"/>
    <xf numFmtId="0" fontId="46" fillId="6" borderId="58" applyNumberFormat="0" applyProtection="0">
      <alignment horizontal="left" vertical="center" indent="1"/>
    </xf>
    <xf numFmtId="0" fontId="17" fillId="107" borderId="8" applyNumberFormat="0" applyProtection="0">
      <alignment horizontal="left" vertical="center" indent="1"/>
    </xf>
    <xf numFmtId="4" fontId="46" fillId="38" borderId="58" applyNumberFormat="0" applyProtection="0">
      <alignment horizontal="right" vertical="center"/>
    </xf>
    <xf numFmtId="4" fontId="46" fillId="2" borderId="58" applyNumberFormat="0" applyProtection="0">
      <alignment horizontal="right" vertical="center"/>
    </xf>
    <xf numFmtId="4" fontId="19" fillId="111" borderId="8" applyNumberFormat="0" applyProtection="0">
      <alignment horizontal="right" vertical="center"/>
    </xf>
    <xf numFmtId="4" fontId="46" fillId="35" borderId="58" applyNumberFormat="0" applyProtection="0">
      <alignment horizontal="right" vertical="center"/>
    </xf>
    <xf numFmtId="4" fontId="19" fillId="119" borderId="8" applyNumberFormat="0" applyProtection="0">
      <alignment horizontal="left" vertical="center" indent="1"/>
    </xf>
    <xf numFmtId="4" fontId="19" fillId="119" borderId="8" applyNumberFormat="0" applyProtection="0">
      <alignment horizontal="right" vertical="center"/>
    </xf>
    <xf numFmtId="0" fontId="19" fillId="4" borderId="7" applyNumberFormat="0" applyFont="0" applyAlignment="0" applyProtection="0"/>
    <xf numFmtId="0" fontId="46" fillId="6" borderId="9" applyNumberFormat="0" applyProtection="0">
      <alignment horizontal="left" vertical="top" indent="1"/>
    </xf>
    <xf numFmtId="0" fontId="28" fillId="0" borderId="81" applyNumberFormat="0" applyFill="0" applyAlignment="0" applyProtection="0"/>
    <xf numFmtId="0" fontId="46" fillId="10" borderId="58" applyNumberFormat="0" applyProtection="0">
      <alignment horizontal="left" vertical="center" indent="1"/>
    </xf>
    <xf numFmtId="4" fontId="19" fillId="117" borderId="8" applyNumberFormat="0" applyProtection="0">
      <alignment horizontal="right" vertical="center"/>
    </xf>
    <xf numFmtId="4" fontId="19" fillId="123" borderId="8" applyNumberFormat="0" applyProtection="0">
      <alignment vertical="center"/>
    </xf>
    <xf numFmtId="4" fontId="46" fillId="51" borderId="58" applyNumberFormat="0" applyProtection="0">
      <alignment horizontal="left" vertical="center" indent="1"/>
    </xf>
    <xf numFmtId="0" fontId="17" fillId="122" borderId="8" applyNumberFormat="0" applyProtection="0">
      <alignment horizontal="left" vertical="center" indent="1"/>
    </xf>
    <xf numFmtId="4" fontId="46" fillId="9" borderId="58" applyNumberFormat="0" applyProtection="0">
      <alignment horizontal="right" vertical="center"/>
    </xf>
    <xf numFmtId="4" fontId="19" fillId="114" borderId="8" applyNumberFormat="0" applyProtection="0">
      <alignment horizontal="right" vertical="center"/>
    </xf>
    <xf numFmtId="4" fontId="46" fillId="36" borderId="58" applyNumberFormat="0" applyProtection="0">
      <alignment horizontal="right" vertical="center"/>
    </xf>
    <xf numFmtId="4" fontId="46" fillId="34" borderId="71" applyNumberFormat="0" applyProtection="0">
      <alignment horizontal="right" vertical="center"/>
    </xf>
    <xf numFmtId="0" fontId="28" fillId="0" borderId="12" applyNumberFormat="0" applyFill="0" applyAlignment="0" applyProtection="0"/>
    <xf numFmtId="4" fontId="46" fillId="7" borderId="58" applyNumberFormat="0" applyProtection="0">
      <alignment horizontal="right" vertical="center"/>
    </xf>
    <xf numFmtId="4" fontId="46" fillId="40" borderId="71" applyNumberFormat="0" applyProtection="0">
      <alignment horizontal="left" vertical="center" indent="1"/>
    </xf>
    <xf numFmtId="4" fontId="46" fillId="110" borderId="58" applyNumberFormat="0" applyProtection="0">
      <alignment horizontal="right" vertical="center"/>
    </xf>
    <xf numFmtId="4" fontId="46" fillId="7" borderId="58" applyNumberFormat="0" applyProtection="0">
      <alignment horizontal="right" vertical="center"/>
    </xf>
    <xf numFmtId="4" fontId="46" fillId="51" borderId="58" applyNumberFormat="0" applyProtection="0">
      <alignment horizontal="left" vertical="center" indent="1"/>
    </xf>
    <xf numFmtId="4" fontId="46" fillId="110" borderId="58" applyNumberFormat="0" applyProtection="0">
      <alignment horizontal="right" vertical="center"/>
    </xf>
    <xf numFmtId="0" fontId="46" fillId="121" borderId="58" applyNumberFormat="0" applyProtection="0">
      <alignment horizontal="left" vertical="center" indent="1"/>
    </xf>
    <xf numFmtId="4" fontId="46" fillId="51" borderId="58" applyNumberFormat="0" applyProtection="0">
      <alignment horizontal="left" vertical="center" indent="1"/>
    </xf>
    <xf numFmtId="4" fontId="46" fillId="36" borderId="58" applyNumberFormat="0" applyProtection="0">
      <alignment horizontal="right" vertical="center"/>
    </xf>
    <xf numFmtId="4" fontId="46" fillId="2" borderId="58" applyNumberFormat="0" applyProtection="0">
      <alignment horizontal="right" vertical="center"/>
    </xf>
    <xf numFmtId="4" fontId="46" fillId="51" borderId="58" applyNumberFormat="0" applyProtection="0">
      <alignment horizontal="left" vertical="center" indent="1"/>
    </xf>
    <xf numFmtId="0" fontId="120" fillId="4" borderId="9" applyNumberFormat="0" applyProtection="0">
      <alignment horizontal="left" vertical="top" indent="1"/>
    </xf>
    <xf numFmtId="0" fontId="17" fillId="107" borderId="8" applyNumberFormat="0" applyProtection="0">
      <alignment horizontal="left" vertical="center" indent="1"/>
    </xf>
    <xf numFmtId="4" fontId="46" fillId="36" borderId="58" applyNumberFormat="0" applyProtection="0">
      <alignment horizontal="right" vertical="center"/>
    </xf>
    <xf numFmtId="4" fontId="46" fillId="35" borderId="58" applyNumberFormat="0" applyProtection="0">
      <alignment horizontal="right" vertical="center"/>
    </xf>
    <xf numFmtId="0" fontId="46" fillId="121" borderId="58" applyNumberFormat="0" applyProtection="0">
      <alignment horizontal="left" vertical="center" indent="1"/>
    </xf>
    <xf numFmtId="0" fontId="46" fillId="6" borderId="58" applyNumberFormat="0" applyProtection="0">
      <alignment horizontal="left" vertical="center" indent="1"/>
    </xf>
    <xf numFmtId="4" fontId="117" fillId="106" borderId="58" applyNumberFormat="0" applyProtection="0">
      <alignment vertical="center"/>
    </xf>
    <xf numFmtId="4" fontId="46" fillId="33" borderId="58" applyNumberFormat="0" applyProtection="0">
      <alignment vertical="center"/>
    </xf>
    <xf numFmtId="4" fontId="117" fillId="106" borderId="58" applyNumberFormat="0" applyProtection="0">
      <alignment vertical="center"/>
    </xf>
    <xf numFmtId="0" fontId="17" fillId="46" borderId="8" applyNumberFormat="0" applyProtection="0">
      <alignment horizontal="left" vertical="center" indent="1"/>
    </xf>
    <xf numFmtId="4" fontId="46" fillId="34" borderId="71" applyNumberFormat="0" applyProtection="0">
      <alignment horizontal="right" vertical="center"/>
    </xf>
    <xf numFmtId="4" fontId="46" fillId="106" borderId="58" applyNumberFormat="0" applyProtection="0">
      <alignment horizontal="left" vertical="center" indent="1"/>
    </xf>
    <xf numFmtId="4" fontId="17" fillId="8" borderId="71" applyNumberFormat="0" applyProtection="0">
      <alignment horizontal="left" vertical="center" indent="1"/>
    </xf>
    <xf numFmtId="0" fontId="46" fillId="6" borderId="58" applyNumberFormat="0" applyProtection="0">
      <alignment horizontal="left" vertical="center" indent="1"/>
    </xf>
    <xf numFmtId="4" fontId="17" fillId="8" borderId="71" applyNumberFormat="0" applyProtection="0">
      <alignment horizontal="left" vertical="center" indent="1"/>
    </xf>
    <xf numFmtId="0" fontId="17" fillId="46" borderId="8" applyNumberFormat="0" applyProtection="0">
      <alignment horizontal="left" vertical="center" indent="1"/>
    </xf>
    <xf numFmtId="0" fontId="17" fillId="107" borderId="8" applyNumberFormat="0" applyProtection="0">
      <alignment horizontal="left" vertical="center" indent="1"/>
    </xf>
    <xf numFmtId="4" fontId="19" fillId="106" borderId="8" applyNumberFormat="0" applyProtection="0">
      <alignment vertical="center"/>
    </xf>
    <xf numFmtId="4" fontId="46" fillId="36" borderId="58" applyNumberFormat="0" applyProtection="0">
      <alignment horizontal="right" vertical="center"/>
    </xf>
    <xf numFmtId="4" fontId="17" fillId="8" borderId="71" applyNumberFormat="0" applyProtection="0">
      <alignment horizontal="left" vertical="center" indent="1"/>
    </xf>
    <xf numFmtId="4" fontId="38" fillId="118" borderId="8" applyNumberFormat="0" applyProtection="0">
      <alignment horizontal="left" vertical="center" indent="1"/>
    </xf>
    <xf numFmtId="4" fontId="19" fillId="116" borderId="8" applyNumberFormat="0" applyProtection="0">
      <alignment horizontal="right" vertical="center"/>
    </xf>
    <xf numFmtId="4" fontId="19" fillId="106" borderId="8" applyNumberFormat="0" applyProtection="0">
      <alignment vertical="center"/>
    </xf>
    <xf numFmtId="4" fontId="41" fillId="123" borderId="8" applyNumberFormat="0" applyProtection="0">
      <alignment vertical="center"/>
    </xf>
    <xf numFmtId="4" fontId="41" fillId="119" borderId="8" applyNumberFormat="0" applyProtection="0">
      <alignment horizontal="right" vertical="center"/>
    </xf>
    <xf numFmtId="4" fontId="19" fillId="114" borderId="8" applyNumberFormat="0" applyProtection="0">
      <alignment horizontal="right" vertical="center"/>
    </xf>
    <xf numFmtId="0" fontId="19" fillId="4" borderId="7" applyNumberFormat="0" applyFont="0" applyAlignment="0" applyProtection="0"/>
    <xf numFmtId="4" fontId="19" fillId="108" borderId="8" applyNumberFormat="0" applyProtection="0">
      <alignment horizontal="right" vertical="center"/>
    </xf>
    <xf numFmtId="4" fontId="46" fillId="9" borderId="58" applyNumberFormat="0" applyProtection="0">
      <alignment horizontal="right" vertical="center"/>
    </xf>
    <xf numFmtId="4" fontId="123" fillId="5" borderId="58" applyNumberFormat="0" applyProtection="0">
      <alignment horizontal="right" vertical="center"/>
    </xf>
    <xf numFmtId="0" fontId="17" fillId="122" borderId="8" applyNumberFormat="0" applyProtection="0">
      <alignment horizontal="left" vertical="center" indent="1"/>
    </xf>
    <xf numFmtId="0" fontId="46" fillId="41" borderId="58" applyNumberFormat="0" applyProtection="0">
      <alignment horizontal="left" vertical="center" indent="1"/>
    </xf>
    <xf numFmtId="0" fontId="46" fillId="121" borderId="58" applyNumberFormat="0" applyProtection="0">
      <alignment horizontal="left" vertical="center" indent="1"/>
    </xf>
    <xf numFmtId="4" fontId="46" fillId="34" borderId="71" applyNumberFormat="0" applyProtection="0">
      <alignment horizontal="right" vertical="center"/>
    </xf>
    <xf numFmtId="4" fontId="46" fillId="106" borderId="58" applyNumberFormat="0" applyProtection="0">
      <alignment horizontal="left" vertical="center" indent="1"/>
    </xf>
    <xf numFmtId="0" fontId="46" fillId="8" borderId="9" applyNumberFormat="0" applyProtection="0">
      <alignment horizontal="left" vertical="top" indent="1"/>
    </xf>
    <xf numFmtId="4" fontId="46" fillId="34" borderId="71" applyNumberFormat="0" applyProtection="0">
      <alignment horizontal="right" vertical="center"/>
    </xf>
    <xf numFmtId="4" fontId="46" fillId="2" borderId="71" applyNumberFormat="0" applyProtection="0">
      <alignment horizontal="left" vertical="center" indent="1"/>
    </xf>
    <xf numFmtId="4" fontId="46" fillId="40" borderId="71" applyNumberFormat="0" applyProtection="0">
      <alignment horizontal="left" vertical="center" indent="1"/>
    </xf>
    <xf numFmtId="4" fontId="46" fillId="2" borderId="58" applyNumberFormat="0" applyProtection="0">
      <alignment horizontal="right" vertical="center"/>
    </xf>
    <xf numFmtId="0" fontId="46" fillId="8" borderId="9" applyNumberFormat="0" applyProtection="0">
      <alignment horizontal="left" vertical="top" indent="1"/>
    </xf>
    <xf numFmtId="4" fontId="46" fillId="38" borderId="58" applyNumberFormat="0" applyProtection="0">
      <alignment horizontal="right" vertical="center"/>
    </xf>
    <xf numFmtId="0" fontId="46" fillId="121" borderId="58" applyNumberFormat="0" applyProtection="0">
      <alignment horizontal="left" vertical="center" indent="1"/>
    </xf>
    <xf numFmtId="0" fontId="115" fillId="11" borderId="1" applyNumberFormat="0" applyAlignment="0" applyProtection="0"/>
    <xf numFmtId="4" fontId="19" fillId="123" borderId="8" applyNumberFormat="0" applyProtection="0">
      <alignment horizontal="left" vertical="center" indent="1"/>
    </xf>
    <xf numFmtId="4" fontId="120" fillId="4" borderId="9" applyNumberFormat="0" applyProtection="0">
      <alignment vertical="center"/>
    </xf>
    <xf numFmtId="4" fontId="120" fillId="4" borderId="9" applyNumberFormat="0" applyProtection="0">
      <alignment vertical="center"/>
    </xf>
    <xf numFmtId="0" fontId="46" fillId="6" borderId="9" applyNumberFormat="0" applyProtection="0">
      <alignment horizontal="left" vertical="top" indent="1"/>
    </xf>
    <xf numFmtId="4" fontId="46" fillId="110" borderId="58" applyNumberFormat="0" applyProtection="0">
      <alignment horizontal="right" vertical="center"/>
    </xf>
    <xf numFmtId="4" fontId="46" fillId="2" borderId="71" applyNumberFormat="0" applyProtection="0">
      <alignment horizontal="left" vertical="center" indent="1"/>
    </xf>
    <xf numFmtId="0" fontId="46" fillId="10" borderId="58" applyNumberFormat="0" applyProtection="0">
      <alignment horizontal="left" vertical="center" indent="1"/>
    </xf>
    <xf numFmtId="4" fontId="19" fillId="119" borderId="8" applyNumberFormat="0" applyProtection="0">
      <alignment horizontal="left" vertical="center" indent="1"/>
    </xf>
    <xf numFmtId="4" fontId="46" fillId="9" borderId="58" applyNumberFormat="0" applyProtection="0">
      <alignment horizontal="right" vertical="center"/>
    </xf>
    <xf numFmtId="4" fontId="46" fillId="2" borderId="58" applyNumberFormat="0" applyProtection="0">
      <alignment horizontal="right" vertical="center"/>
    </xf>
    <xf numFmtId="0" fontId="46" fillId="41" borderId="58" applyNumberFormat="0" applyProtection="0">
      <alignment horizontal="left" vertical="center" indent="1"/>
    </xf>
    <xf numFmtId="4" fontId="117" fillId="43" borderId="58" applyNumberFormat="0" applyProtection="0">
      <alignment horizontal="right" vertical="center"/>
    </xf>
    <xf numFmtId="4" fontId="46" fillId="2" borderId="58" applyNumberFormat="0" applyProtection="0">
      <alignment horizontal="right" vertical="center"/>
    </xf>
    <xf numFmtId="4" fontId="46" fillId="0" borderId="58" applyNumberFormat="0" applyProtection="0">
      <alignment horizontal="right" vertical="center"/>
    </xf>
    <xf numFmtId="0" fontId="17" fillId="45" borderId="8" applyNumberFormat="0" applyProtection="0">
      <alignment horizontal="left" vertical="center" indent="1"/>
    </xf>
    <xf numFmtId="4" fontId="19" fillId="111" borderId="8" applyNumberFormat="0" applyProtection="0">
      <alignment horizontal="right" vertical="center"/>
    </xf>
    <xf numFmtId="0" fontId="17" fillId="107" borderId="8" applyNumberFormat="0" applyProtection="0">
      <alignment horizontal="left" vertical="center" indent="1"/>
    </xf>
    <xf numFmtId="4" fontId="19" fillId="106" borderId="8" applyNumberFormat="0" applyProtection="0">
      <alignment vertical="center"/>
    </xf>
    <xf numFmtId="4" fontId="46" fillId="39" borderId="58" applyNumberFormat="0" applyProtection="0">
      <alignment horizontal="right" vertical="center"/>
    </xf>
    <xf numFmtId="0" fontId="34" fillId="27" borderId="58" applyNumberFormat="0" applyAlignment="0" applyProtection="0"/>
    <xf numFmtId="0" fontId="46" fillId="41" borderId="58" applyNumberFormat="0" applyProtection="0">
      <alignment horizontal="left" vertical="center" indent="1"/>
    </xf>
    <xf numFmtId="4" fontId="19" fillId="115" borderId="8" applyNumberFormat="0" applyProtection="0">
      <alignment horizontal="right" vertical="center"/>
    </xf>
    <xf numFmtId="4" fontId="46" fillId="9" borderId="58" applyNumberFormat="0" applyProtection="0">
      <alignment horizontal="right" vertical="center"/>
    </xf>
    <xf numFmtId="4" fontId="46" fillId="39" borderId="58" applyNumberFormat="0" applyProtection="0">
      <alignment horizontal="right" vertical="center"/>
    </xf>
    <xf numFmtId="0" fontId="17" fillId="107" borderId="8" applyNumberFormat="0" applyProtection="0">
      <alignment horizontal="left" vertical="center" indent="1"/>
    </xf>
    <xf numFmtId="4" fontId="19" fillId="109" borderId="8" applyNumberFormat="0" applyProtection="0">
      <alignment horizontal="right" vertical="center"/>
    </xf>
    <xf numFmtId="4" fontId="46" fillId="0" borderId="58" applyNumberFormat="0" applyProtection="0">
      <alignment horizontal="right" vertical="center"/>
    </xf>
    <xf numFmtId="4" fontId="46" fillId="110" borderId="58" applyNumberFormat="0" applyProtection="0">
      <alignment horizontal="right" vertical="center"/>
    </xf>
    <xf numFmtId="4" fontId="19" fillId="106" borderId="8" applyNumberFormat="0" applyProtection="0">
      <alignment horizontal="left" vertical="center" indent="1"/>
    </xf>
    <xf numFmtId="4" fontId="46" fillId="51" borderId="58" applyNumberFormat="0" applyProtection="0">
      <alignment horizontal="left" vertical="center" indent="1"/>
    </xf>
    <xf numFmtId="0" fontId="17" fillId="122" borderId="8" applyNumberFormat="0" applyProtection="0">
      <alignment horizontal="left" vertical="center" indent="1"/>
    </xf>
    <xf numFmtId="4" fontId="19" fillId="123" borderId="8" applyNumberFormat="0" applyProtection="0">
      <alignment horizontal="left" vertical="center" indent="1"/>
    </xf>
    <xf numFmtId="4" fontId="46" fillId="7" borderId="58" applyNumberFormat="0" applyProtection="0">
      <alignment horizontal="right" vertical="center"/>
    </xf>
    <xf numFmtId="0" fontId="115" fillId="11" borderId="1" applyNumberFormat="0" applyAlignment="0" applyProtection="0"/>
    <xf numFmtId="4" fontId="117" fillId="43" borderId="58" applyNumberFormat="0" applyProtection="0">
      <alignment horizontal="right" vertical="center"/>
    </xf>
    <xf numFmtId="4" fontId="46" fillId="110" borderId="58" applyNumberFormat="0" applyProtection="0">
      <alignment horizontal="right" vertical="center"/>
    </xf>
    <xf numFmtId="0" fontId="17" fillId="45" borderId="8" applyNumberFormat="0" applyProtection="0">
      <alignment horizontal="left" vertical="center" indent="1"/>
    </xf>
    <xf numFmtId="0" fontId="119" fillId="8" borderId="80" applyBorder="0"/>
    <xf numFmtId="0" fontId="46" fillId="6" borderId="58" applyNumberFormat="0" applyProtection="0">
      <alignment horizontal="left" vertical="center" indent="1"/>
    </xf>
    <xf numFmtId="4" fontId="19" fillId="116" borderId="8" applyNumberFormat="0" applyProtection="0">
      <alignment horizontal="right" vertical="center"/>
    </xf>
    <xf numFmtId="4" fontId="46" fillId="36" borderId="58" applyNumberFormat="0" applyProtection="0">
      <alignment horizontal="right" vertical="center"/>
    </xf>
    <xf numFmtId="4" fontId="46" fillId="9" borderId="58" applyNumberFormat="0" applyProtection="0">
      <alignment horizontal="right" vertical="center"/>
    </xf>
    <xf numFmtId="4" fontId="46" fillId="38" borderId="58" applyNumberFormat="0" applyProtection="0">
      <alignment horizontal="right" vertical="center"/>
    </xf>
    <xf numFmtId="4" fontId="120" fillId="10" borderId="9" applyNumberFormat="0" applyProtection="0">
      <alignment horizontal="left" vertical="center" indent="1"/>
    </xf>
    <xf numFmtId="4" fontId="46" fillId="7" borderId="58" applyNumberFormat="0" applyProtection="0">
      <alignment horizontal="right" vertical="center"/>
    </xf>
    <xf numFmtId="4" fontId="46" fillId="33" borderId="58" applyNumberFormat="0" applyProtection="0">
      <alignment vertical="center"/>
    </xf>
    <xf numFmtId="4" fontId="19" fillId="123" borderId="8" applyNumberFormat="0" applyProtection="0">
      <alignment horizontal="left" vertical="center" indent="1"/>
    </xf>
    <xf numFmtId="4" fontId="46" fillId="106" borderId="58" applyNumberFormat="0" applyProtection="0">
      <alignment horizontal="left" vertical="center" indent="1"/>
    </xf>
    <xf numFmtId="0" fontId="46" fillId="10" borderId="58" applyNumberFormat="0" applyProtection="0">
      <alignment horizontal="left" vertical="center" indent="1"/>
    </xf>
    <xf numFmtId="4" fontId="46" fillId="41" borderId="71" applyNumberFormat="0" applyProtection="0">
      <alignment horizontal="left" vertical="center" indent="1"/>
    </xf>
    <xf numFmtId="4" fontId="19" fillId="113" borderId="8" applyNumberFormat="0" applyProtection="0">
      <alignment horizontal="right" vertical="center"/>
    </xf>
    <xf numFmtId="4" fontId="46" fillId="35" borderId="58" applyNumberFormat="0" applyProtection="0">
      <alignment horizontal="right" vertical="center"/>
    </xf>
    <xf numFmtId="4" fontId="17" fillId="8" borderId="71" applyNumberFormat="0" applyProtection="0">
      <alignment horizontal="left" vertical="center" indent="1"/>
    </xf>
    <xf numFmtId="0" fontId="17" fillId="45" borderId="8" applyNumberFormat="0" applyProtection="0">
      <alignment horizontal="left" vertical="center" indent="1"/>
    </xf>
    <xf numFmtId="4" fontId="46" fillId="39" borderId="58" applyNumberFormat="0" applyProtection="0">
      <alignment horizontal="right" vertical="center"/>
    </xf>
    <xf numFmtId="4" fontId="46" fillId="2" borderId="71" applyNumberFormat="0" applyProtection="0">
      <alignment horizontal="left" vertical="center" indent="1"/>
    </xf>
    <xf numFmtId="4" fontId="43" fillId="119" borderId="8" applyNumberFormat="0" applyProtection="0">
      <alignment horizontal="right" vertical="center"/>
    </xf>
    <xf numFmtId="4" fontId="46" fillId="2" borderId="71" applyNumberFormat="0" applyProtection="0">
      <alignment horizontal="left" vertical="center" indent="1"/>
    </xf>
    <xf numFmtId="4" fontId="46" fillId="106" borderId="58" applyNumberFormat="0" applyProtection="0">
      <alignment horizontal="left" vertical="center" indent="1"/>
    </xf>
    <xf numFmtId="4" fontId="19" fillId="106" borderId="8" applyNumberFormat="0" applyProtection="0">
      <alignment vertical="center"/>
    </xf>
    <xf numFmtId="4" fontId="46" fillId="106" borderId="58" applyNumberFormat="0" applyProtection="0">
      <alignment horizontal="left" vertical="center" indent="1"/>
    </xf>
    <xf numFmtId="0" fontId="46" fillId="26" borderId="58" applyNumberFormat="0" applyFont="0" applyAlignment="0" applyProtection="0"/>
    <xf numFmtId="0" fontId="109" fillId="10" borderId="1" applyNumberFormat="0" applyAlignment="0" applyProtection="0"/>
    <xf numFmtId="4" fontId="46" fillId="7" borderId="58" applyNumberFormat="0" applyProtection="0">
      <alignment horizontal="right" vertical="center"/>
    </xf>
    <xf numFmtId="0" fontId="118" fillId="33" borderId="9" applyNumberFormat="0" applyProtection="0">
      <alignment horizontal="left" vertical="top" indent="1"/>
    </xf>
    <xf numFmtId="4" fontId="46" fillId="33" borderId="58" applyNumberFormat="0" applyProtection="0">
      <alignment vertical="center"/>
    </xf>
    <xf numFmtId="0" fontId="108" fillId="101" borderId="58" applyNumberFormat="0" applyAlignment="0" applyProtection="0"/>
    <xf numFmtId="4" fontId="122" fillId="42" borderId="71" applyNumberFormat="0" applyProtection="0">
      <alignment horizontal="left" vertical="center" indent="1"/>
    </xf>
    <xf numFmtId="0" fontId="46" fillId="124" borderId="82"/>
    <xf numFmtId="0" fontId="120" fillId="2" borderId="9" applyNumberFormat="0" applyProtection="0">
      <alignment horizontal="left" vertical="top" indent="1"/>
    </xf>
    <xf numFmtId="4" fontId="43" fillId="119" borderId="8" applyNumberFormat="0" applyProtection="0">
      <alignment horizontal="right" vertical="center"/>
    </xf>
    <xf numFmtId="4" fontId="46" fillId="0" borderId="58" applyNumberFormat="0" applyProtection="0">
      <alignment horizontal="right" vertical="center"/>
    </xf>
    <xf numFmtId="0" fontId="17" fillId="107" borderId="8" applyNumberFormat="0" applyProtection="0">
      <alignment horizontal="left" vertical="center" indent="1"/>
    </xf>
    <xf numFmtId="4" fontId="46" fillId="0" borderId="58" applyNumberFormat="0" applyProtection="0">
      <alignment horizontal="right" vertical="center"/>
    </xf>
    <xf numFmtId="4" fontId="46" fillId="51" borderId="58" applyNumberFormat="0" applyProtection="0">
      <alignment horizontal="left" vertical="center" indent="1"/>
    </xf>
    <xf numFmtId="4" fontId="41" fillId="119" borderId="8" applyNumberFormat="0" applyProtection="0">
      <alignment horizontal="right" vertical="center"/>
    </xf>
    <xf numFmtId="0" fontId="37" fillId="101" borderId="8" applyNumberFormat="0" applyAlignment="0" applyProtection="0"/>
    <xf numFmtId="0" fontId="46" fillId="26" borderId="58" applyNumberFormat="0" applyFont="0" applyAlignment="0" applyProtection="0"/>
    <xf numFmtId="0" fontId="19" fillId="4"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04" fillId="72" borderId="0" applyNumberFormat="0" applyBorder="0" applyAlignment="0" applyProtection="0"/>
    <xf numFmtId="0" fontId="104" fillId="76" borderId="0" applyNumberFormat="0" applyBorder="0" applyAlignment="0" applyProtection="0"/>
    <xf numFmtId="0" fontId="104" fillId="80" borderId="0" applyNumberFormat="0" applyBorder="0" applyAlignment="0" applyProtection="0"/>
    <xf numFmtId="175" fontId="26" fillId="28" borderId="86" applyNumberFormat="0" applyAlignment="0" applyProtection="0"/>
    <xf numFmtId="175" fontId="34" fillId="27" borderId="86" applyNumberFormat="0" applyAlignment="0" applyProtection="0"/>
    <xf numFmtId="175" fontId="17" fillId="26" borderId="87" applyNumberFormat="0" applyFont="0" applyAlignment="0" applyProtection="0"/>
    <xf numFmtId="175" fontId="37" fillId="28" borderId="88" applyNumberFormat="0" applyAlignment="0" applyProtection="0"/>
    <xf numFmtId="4" fontId="38" fillId="33" borderId="89" applyNumberFormat="0" applyProtection="0">
      <alignment vertical="center"/>
    </xf>
    <xf numFmtId="4" fontId="39" fillId="33" borderId="89" applyNumberFormat="0" applyProtection="0">
      <alignment vertical="center"/>
    </xf>
    <xf numFmtId="4" fontId="38" fillId="33" borderId="89" applyNumberFormat="0" applyProtection="0">
      <alignment horizontal="left" vertical="center" indent="1"/>
    </xf>
    <xf numFmtId="175" fontId="38" fillId="33" borderId="89" applyNumberFormat="0" applyProtection="0">
      <alignment horizontal="left" vertical="top" indent="1"/>
    </xf>
    <xf numFmtId="4" fontId="19" fillId="7" borderId="89" applyNumberFormat="0" applyProtection="0">
      <alignment horizontal="right" vertical="center"/>
    </xf>
    <xf numFmtId="4" fontId="19" fillId="3" borderId="89" applyNumberFormat="0" applyProtection="0">
      <alignment horizontal="right" vertical="center"/>
    </xf>
    <xf numFmtId="4" fontId="19" fillId="34" borderId="89" applyNumberFormat="0" applyProtection="0">
      <alignment horizontal="right" vertical="center"/>
    </xf>
    <xf numFmtId="4" fontId="19" fillId="35" borderId="89" applyNumberFormat="0" applyProtection="0">
      <alignment horizontal="right" vertical="center"/>
    </xf>
    <xf numFmtId="4" fontId="19" fillId="36" borderId="89" applyNumberFormat="0" applyProtection="0">
      <alignment horizontal="right" vertical="center"/>
    </xf>
    <xf numFmtId="4" fontId="19" fillId="37" borderId="89" applyNumberFormat="0" applyProtection="0">
      <alignment horizontal="right" vertical="center"/>
    </xf>
    <xf numFmtId="4" fontId="19" fillId="9" borderId="89" applyNumberFormat="0" applyProtection="0">
      <alignment horizontal="right" vertical="center"/>
    </xf>
    <xf numFmtId="4" fontId="19" fillId="38" borderId="89" applyNumberFormat="0" applyProtection="0">
      <alignment horizontal="right" vertical="center"/>
    </xf>
    <xf numFmtId="4" fontId="19" fillId="39" borderId="89" applyNumberFormat="0" applyProtection="0">
      <alignment horizontal="right" vertical="center"/>
    </xf>
    <xf numFmtId="4" fontId="19" fillId="2" borderId="89" applyNumberFormat="0" applyProtection="0">
      <alignment horizontal="right" vertical="center"/>
    </xf>
    <xf numFmtId="175" fontId="17" fillId="8" borderId="89" applyNumberFormat="0" applyProtection="0">
      <alignment horizontal="left" vertical="center" indent="1"/>
    </xf>
    <xf numFmtId="175" fontId="17" fillId="8" borderId="89" applyNumberFormat="0" applyProtection="0">
      <alignment horizontal="left" vertical="top" indent="1"/>
    </xf>
    <xf numFmtId="175" fontId="17" fillId="2" borderId="89" applyNumberFormat="0" applyProtection="0">
      <alignment horizontal="left" vertical="center" indent="1"/>
    </xf>
    <xf numFmtId="175" fontId="17" fillId="2" borderId="89" applyNumberFormat="0" applyProtection="0">
      <alignment horizontal="left" vertical="top" indent="1"/>
    </xf>
    <xf numFmtId="175" fontId="17" fillId="6" borderId="89" applyNumberFormat="0" applyProtection="0">
      <alignment horizontal="left" vertical="center" indent="1"/>
    </xf>
    <xf numFmtId="175" fontId="17" fillId="6" borderId="89" applyNumberFormat="0" applyProtection="0">
      <alignment horizontal="left" vertical="top" indent="1"/>
    </xf>
    <xf numFmtId="175" fontId="17" fillId="41" borderId="89" applyNumberFormat="0" applyProtection="0">
      <alignment horizontal="left" vertical="center" indent="1"/>
    </xf>
    <xf numFmtId="175" fontId="17" fillId="41" borderId="89" applyNumberFormat="0" applyProtection="0">
      <alignment horizontal="left" vertical="top" indent="1"/>
    </xf>
    <xf numFmtId="4" fontId="19" fillId="4" borderId="89" applyNumberFormat="0" applyProtection="0">
      <alignment vertical="center"/>
    </xf>
    <xf numFmtId="4" fontId="41" fillId="4" borderId="89" applyNumberFormat="0" applyProtection="0">
      <alignment vertical="center"/>
    </xf>
    <xf numFmtId="4" fontId="19" fillId="4" borderId="89" applyNumberFormat="0" applyProtection="0">
      <alignment horizontal="left" vertical="center" indent="1"/>
    </xf>
    <xf numFmtId="175" fontId="19" fillId="4" borderId="89" applyNumberFormat="0" applyProtection="0">
      <alignment horizontal="left" vertical="top" indent="1"/>
    </xf>
    <xf numFmtId="4" fontId="19" fillId="41" borderId="89" applyNumberFormat="0" applyProtection="0">
      <alignment horizontal="right" vertical="center"/>
    </xf>
    <xf numFmtId="4" fontId="41" fillId="41" borderId="89" applyNumberFormat="0" applyProtection="0">
      <alignment horizontal="right" vertical="center"/>
    </xf>
    <xf numFmtId="4" fontId="19" fillId="2" borderId="89" applyNumberFormat="0" applyProtection="0">
      <alignment horizontal="left" vertical="center" indent="1"/>
    </xf>
    <xf numFmtId="175" fontId="19" fillId="2" borderId="89" applyNumberFormat="0" applyProtection="0">
      <alignment horizontal="left" vertical="top" indent="1"/>
    </xf>
    <xf numFmtId="4" fontId="43" fillId="41" borderId="89" applyNumberFormat="0" applyProtection="0">
      <alignment horizontal="right" vertical="center"/>
    </xf>
    <xf numFmtId="175" fontId="28" fillId="0" borderId="90" applyNumberFormat="0" applyFill="0" applyAlignment="0" applyProtection="0"/>
    <xf numFmtId="4" fontId="19" fillId="7" borderId="89" applyNumberFormat="0" applyProtection="0">
      <alignment horizontal="right" vertical="center"/>
    </xf>
    <xf numFmtId="4" fontId="19" fillId="3" borderId="89" applyNumberFormat="0" applyProtection="0">
      <alignment horizontal="right" vertical="center"/>
    </xf>
    <xf numFmtId="4" fontId="19" fillId="34" borderId="89" applyNumberFormat="0" applyProtection="0">
      <alignment horizontal="right" vertical="center"/>
    </xf>
    <xf numFmtId="4" fontId="19" fillId="35" borderId="89" applyNumberFormat="0" applyProtection="0">
      <alignment horizontal="right" vertical="center"/>
    </xf>
    <xf numFmtId="4" fontId="19" fillId="36" borderId="89" applyNumberFormat="0" applyProtection="0">
      <alignment horizontal="right" vertical="center"/>
    </xf>
    <xf numFmtId="4" fontId="19" fillId="37" borderId="89" applyNumberFormat="0" applyProtection="0">
      <alignment horizontal="right" vertical="center"/>
    </xf>
    <xf numFmtId="4" fontId="19" fillId="9" borderId="89" applyNumberFormat="0" applyProtection="0">
      <alignment horizontal="right" vertical="center"/>
    </xf>
    <xf numFmtId="4" fontId="19" fillId="38" borderId="89" applyNumberFormat="0" applyProtection="0">
      <alignment horizontal="right" vertical="center"/>
    </xf>
    <xf numFmtId="4" fontId="19" fillId="39" borderId="89" applyNumberFormat="0" applyProtection="0">
      <alignment horizontal="right" vertical="center"/>
    </xf>
    <xf numFmtId="4" fontId="19" fillId="2" borderId="89" applyNumberFormat="0" applyProtection="0">
      <alignment horizontal="right" vertical="center"/>
    </xf>
    <xf numFmtId="4" fontId="19" fillId="4" borderId="89" applyNumberFormat="0" applyProtection="0">
      <alignment vertical="center"/>
    </xf>
    <xf numFmtId="4" fontId="19" fillId="4" borderId="89" applyNumberFormat="0" applyProtection="0">
      <alignment horizontal="left" vertical="center" indent="1"/>
    </xf>
    <xf numFmtId="175" fontId="19" fillId="4" borderId="89" applyNumberFormat="0" applyProtection="0">
      <alignment horizontal="left" vertical="top" indent="1"/>
    </xf>
    <xf numFmtId="4" fontId="19" fillId="41" borderId="89" applyNumberFormat="0" applyProtection="0">
      <alignment horizontal="right" vertical="center"/>
    </xf>
    <xf numFmtId="4" fontId="19" fillId="2" borderId="89" applyNumberFormat="0" applyProtection="0">
      <alignment horizontal="left" vertical="center" indent="1"/>
    </xf>
    <xf numFmtId="175" fontId="19" fillId="2" borderId="89" applyNumberFormat="0" applyProtection="0">
      <alignment horizontal="left" vertical="top" indent="1"/>
    </xf>
    <xf numFmtId="175" fontId="3" fillId="0" borderId="0"/>
    <xf numFmtId="175" fontId="26" fillId="28" borderId="86" applyNumberFormat="0" applyAlignment="0" applyProtection="0"/>
    <xf numFmtId="175" fontId="34" fillId="27" borderId="86" applyNumberFormat="0" applyAlignment="0" applyProtection="0"/>
    <xf numFmtId="175" fontId="17" fillId="26" borderId="87" applyNumberFormat="0" applyFont="0" applyAlignment="0" applyProtection="0"/>
    <xf numFmtId="175" fontId="37" fillId="28" borderId="88" applyNumberFormat="0" applyAlignment="0" applyProtection="0"/>
    <xf numFmtId="175" fontId="28" fillId="0" borderId="90" applyNumberFormat="0" applyFill="0" applyAlignment="0" applyProtection="0"/>
    <xf numFmtId="175" fontId="3" fillId="0" borderId="0"/>
    <xf numFmtId="175" fontId="26" fillId="28" borderId="86" applyNumberFormat="0" applyAlignment="0" applyProtection="0"/>
    <xf numFmtId="175" fontId="34" fillId="27" borderId="86" applyNumberFormat="0" applyAlignment="0" applyProtection="0"/>
    <xf numFmtId="175" fontId="17" fillId="26" borderId="87" applyNumberFormat="0" applyFont="0" applyAlignment="0" applyProtection="0"/>
    <xf numFmtId="175" fontId="37" fillId="28" borderId="88" applyNumberFormat="0" applyAlignment="0" applyProtection="0"/>
    <xf numFmtId="175" fontId="28" fillId="0" borderId="90" applyNumberFormat="0" applyFill="0" applyAlignment="0" applyProtection="0"/>
    <xf numFmtId="175" fontId="3" fillId="0" borderId="0"/>
    <xf numFmtId="175" fontId="3" fillId="0" borderId="0"/>
    <xf numFmtId="175" fontId="26" fillId="28" borderId="86" applyNumberFormat="0" applyAlignment="0" applyProtection="0"/>
    <xf numFmtId="175" fontId="34" fillId="27" borderId="86" applyNumberFormat="0" applyAlignment="0" applyProtection="0"/>
    <xf numFmtId="175" fontId="17" fillId="26" borderId="87" applyNumberFormat="0" applyFont="0" applyAlignment="0" applyProtection="0"/>
    <xf numFmtId="175" fontId="37" fillId="28" borderId="88" applyNumberFormat="0" applyAlignment="0" applyProtection="0"/>
    <xf numFmtId="175" fontId="28" fillId="0" borderId="90" applyNumberFormat="0" applyFill="0" applyAlignment="0" applyProtection="0"/>
    <xf numFmtId="175" fontId="3" fillId="0" borderId="0"/>
    <xf numFmtId="175" fontId="3" fillId="0" borderId="0"/>
    <xf numFmtId="175" fontId="3" fillId="0" borderId="0"/>
    <xf numFmtId="175" fontId="3" fillId="0" borderId="0"/>
    <xf numFmtId="175" fontId="26" fillId="28" borderId="86" applyNumberFormat="0" applyAlignment="0" applyProtection="0"/>
    <xf numFmtId="175" fontId="34" fillId="27" borderId="86" applyNumberFormat="0" applyAlignment="0" applyProtection="0"/>
    <xf numFmtId="175" fontId="17" fillId="26" borderId="87" applyNumberFormat="0" applyFont="0" applyAlignment="0" applyProtection="0"/>
    <xf numFmtId="175" fontId="37" fillId="28" borderId="88" applyNumberFormat="0" applyAlignment="0" applyProtection="0"/>
    <xf numFmtId="175" fontId="28" fillId="0" borderId="90" applyNumberFormat="0" applyFill="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26" fillId="28" borderId="86" applyNumberFormat="0" applyAlignment="0" applyProtection="0"/>
    <xf numFmtId="175" fontId="34" fillId="27" borderId="86" applyNumberFormat="0" applyAlignment="0" applyProtection="0"/>
    <xf numFmtId="175" fontId="17" fillId="26" borderId="87" applyNumberFormat="0" applyFont="0" applyAlignment="0" applyProtection="0"/>
    <xf numFmtId="175" fontId="37" fillId="28" borderId="88" applyNumberFormat="0" applyAlignment="0" applyProtection="0"/>
    <xf numFmtId="175" fontId="28" fillId="0" borderId="90" applyNumberFormat="0" applyFill="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26" fillId="28" borderId="86" applyNumberFormat="0" applyAlignment="0" applyProtection="0"/>
    <xf numFmtId="175" fontId="34" fillId="27" borderId="86" applyNumberFormat="0" applyAlignment="0" applyProtection="0"/>
    <xf numFmtId="175" fontId="17" fillId="26" borderId="87" applyNumberFormat="0" applyFont="0" applyAlignment="0" applyProtection="0"/>
    <xf numFmtId="175" fontId="37" fillId="28" borderId="88" applyNumberFormat="0" applyAlignment="0" applyProtection="0"/>
    <xf numFmtId="175" fontId="28" fillId="0" borderId="90" applyNumberFormat="0" applyFill="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3" fillId="0" borderId="0"/>
    <xf numFmtId="175" fontId="26" fillId="28" borderId="86" applyNumberFormat="0" applyAlignment="0" applyProtection="0"/>
    <xf numFmtId="175" fontId="34" fillId="27" borderId="86" applyNumberFormat="0" applyAlignment="0" applyProtection="0"/>
    <xf numFmtId="175" fontId="17" fillId="26" borderId="87" applyNumberFormat="0" applyFont="0" applyAlignment="0" applyProtection="0"/>
    <xf numFmtId="175" fontId="37" fillId="28" borderId="88" applyNumberFormat="0" applyAlignment="0" applyProtection="0"/>
    <xf numFmtId="175" fontId="28" fillId="0" borderId="90" applyNumberFormat="0" applyFill="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3" fillId="0" borderId="0"/>
    <xf numFmtId="4" fontId="46" fillId="0" borderId="91" applyNumberFormat="0" applyProtection="0">
      <alignment horizontal="right" vertical="center"/>
    </xf>
    <xf numFmtId="4" fontId="46" fillId="51" borderId="91" applyNumberFormat="0" applyProtection="0">
      <alignment horizontal="left" vertical="center" indent="1"/>
    </xf>
    <xf numFmtId="43" fontId="3" fillId="0" borderId="0" applyFont="0" applyFill="0" applyBorder="0" applyAlignment="0" applyProtection="0"/>
    <xf numFmtId="0" fontId="3" fillId="0" borderId="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3" borderId="0" applyNumberFormat="0" applyBorder="0" applyAlignment="0" applyProtection="0"/>
    <xf numFmtId="0" fontId="3" fillId="65" borderId="0" applyNumberFormat="0" applyBorder="0" applyAlignment="0" applyProtection="0"/>
    <xf numFmtId="0" fontId="38" fillId="33" borderId="89" applyNumberFormat="0" applyProtection="0">
      <alignment horizontal="left" vertical="top" indent="1"/>
    </xf>
    <xf numFmtId="0" fontId="3" fillId="61" borderId="0" applyNumberFormat="0" applyBorder="0" applyAlignment="0" applyProtection="0"/>
    <xf numFmtId="0" fontId="17" fillId="8" borderId="89" applyNumberFormat="0" applyProtection="0">
      <alignment horizontal="left" vertical="center" indent="1"/>
    </xf>
    <xf numFmtId="0" fontId="17" fillId="8" borderId="89" applyNumberFormat="0" applyProtection="0">
      <alignment horizontal="left" vertical="top" indent="1"/>
    </xf>
    <xf numFmtId="0" fontId="17" fillId="2" borderId="89" applyNumberFormat="0" applyProtection="0">
      <alignment horizontal="left" vertical="center" indent="1"/>
    </xf>
    <xf numFmtId="0" fontId="17" fillId="2" borderId="89" applyNumberFormat="0" applyProtection="0">
      <alignment horizontal="left" vertical="top" indent="1"/>
    </xf>
    <xf numFmtId="0" fontId="17" fillId="6" borderId="89" applyNumberFormat="0" applyProtection="0">
      <alignment horizontal="left" vertical="center" indent="1"/>
    </xf>
    <xf numFmtId="0" fontId="17" fillId="6" borderId="89" applyNumberFormat="0" applyProtection="0">
      <alignment horizontal="left" vertical="top" indent="1"/>
    </xf>
    <xf numFmtId="0" fontId="17" fillId="41" borderId="89" applyNumberFormat="0" applyProtection="0">
      <alignment horizontal="left" vertical="center" indent="1"/>
    </xf>
    <xf numFmtId="0" fontId="17" fillId="41" borderId="89" applyNumberFormat="0" applyProtection="0">
      <alignment horizontal="left" vertical="top" indent="1"/>
    </xf>
    <xf numFmtId="0" fontId="3" fillId="61" borderId="0" applyNumberFormat="0" applyBorder="0" applyAlignment="0" applyProtection="0"/>
    <xf numFmtId="0" fontId="3" fillId="62" borderId="0" applyNumberFormat="0" applyBorder="0" applyAlignment="0" applyProtection="0"/>
    <xf numFmtId="0" fontId="19" fillId="4" borderId="89" applyNumberFormat="0" applyProtection="0">
      <alignment horizontal="left" vertical="top" indent="1"/>
    </xf>
    <xf numFmtId="0" fontId="3" fillId="61" borderId="0" applyNumberFormat="0" applyBorder="0" applyAlignment="0" applyProtection="0"/>
    <xf numFmtId="0" fontId="3" fillId="61" borderId="0" applyNumberFormat="0" applyBorder="0" applyAlignment="0" applyProtection="0"/>
    <xf numFmtId="0" fontId="19" fillId="2" borderId="89" applyNumberFormat="0" applyProtection="0">
      <alignment horizontal="left" vertical="top" indent="1"/>
    </xf>
    <xf numFmtId="0" fontId="3" fillId="69"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1" borderId="0" applyNumberFormat="0" applyBorder="0" applyAlignment="0" applyProtection="0"/>
    <xf numFmtId="0" fontId="3" fillId="82" borderId="0" applyNumberFormat="0" applyBorder="0" applyAlignment="0" applyProtection="0"/>
    <xf numFmtId="0" fontId="3" fillId="0" borderId="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108" fillId="101" borderId="91" applyNumberFormat="0" applyAlignment="0" applyProtection="0"/>
    <xf numFmtId="0" fontId="109" fillId="10" borderId="86"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0" fontId="34" fillId="27" borderId="91" applyNumberFormat="0" applyAlignment="0" applyProtection="0"/>
    <xf numFmtId="0" fontId="115" fillId="11" borderId="8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9" applyNumberFormat="0" applyFont="0" applyAlignment="0" applyProtection="0"/>
    <xf numFmtId="0" fontId="19" fillId="4" borderId="87" applyNumberFormat="0" applyFont="0" applyAlignment="0" applyProtection="0"/>
    <xf numFmtId="0" fontId="46" fillId="26" borderId="91" applyNumberFormat="0" applyFont="0" applyAlignment="0" applyProtection="0"/>
    <xf numFmtId="0" fontId="3" fillId="59" borderId="69" applyNumberFormat="0" applyFont="0" applyAlignment="0" applyProtection="0"/>
    <xf numFmtId="0" fontId="37" fillId="101" borderId="88" applyNumberFormat="0" applyAlignment="0" applyProtection="0"/>
    <xf numFmtId="0" fontId="37" fillId="10" borderId="88" applyNumberFormat="0" applyAlignment="0" applyProtection="0"/>
    <xf numFmtId="9" fontId="3" fillId="0" borderId="0" applyFont="0" applyFill="0" applyBorder="0" applyAlignment="0" applyProtection="0"/>
    <xf numFmtId="9" fontId="3" fillId="0" borderId="0" applyFont="0" applyFill="0" applyBorder="0" applyAlignment="0" applyProtection="0"/>
    <xf numFmtId="4" fontId="19" fillId="106" borderId="88" applyNumberFormat="0" applyProtection="0">
      <alignment vertical="center"/>
    </xf>
    <xf numFmtId="4" fontId="19" fillId="106" borderId="88" applyNumberFormat="0" applyProtection="0">
      <alignment vertical="center"/>
    </xf>
    <xf numFmtId="4" fontId="46" fillId="33" borderId="91" applyNumberFormat="0" applyProtection="0">
      <alignment vertical="center"/>
    </xf>
    <xf numFmtId="4" fontId="46" fillId="33" borderId="91" applyNumberFormat="0" applyProtection="0">
      <alignment vertical="center"/>
    </xf>
    <xf numFmtId="4" fontId="46" fillId="33" borderId="91" applyNumberFormat="0" applyProtection="0">
      <alignment vertical="center"/>
    </xf>
    <xf numFmtId="4" fontId="41" fillId="106" borderId="88" applyNumberFormat="0" applyProtection="0">
      <alignment vertical="center"/>
    </xf>
    <xf numFmtId="4" fontId="117" fillId="106" borderId="91" applyNumberFormat="0" applyProtection="0">
      <alignment vertical="center"/>
    </xf>
    <xf numFmtId="4" fontId="19" fillId="106" borderId="88" applyNumberFormat="0" applyProtection="0">
      <alignment horizontal="left" vertical="center" indent="1"/>
    </xf>
    <xf numFmtId="4" fontId="46" fillId="106" borderId="91" applyNumberFormat="0" applyProtection="0">
      <alignment horizontal="left" vertical="center" indent="1"/>
    </xf>
    <xf numFmtId="4" fontId="46" fillId="106" borderId="91" applyNumberFormat="0" applyProtection="0">
      <alignment horizontal="left" vertical="center" indent="1"/>
    </xf>
    <xf numFmtId="4" fontId="46" fillId="106" borderId="91" applyNumberFormat="0" applyProtection="0">
      <alignment horizontal="left" vertical="center" indent="1"/>
    </xf>
    <xf numFmtId="4" fontId="19" fillId="106" borderId="88" applyNumberFormat="0" applyProtection="0">
      <alignment horizontal="left" vertical="center" indent="1"/>
    </xf>
    <xf numFmtId="0" fontId="118" fillId="33" borderId="89" applyNumberFormat="0" applyProtection="0">
      <alignment horizontal="left" vertical="top" indent="1"/>
    </xf>
    <xf numFmtId="0" fontId="17" fillId="107" borderId="88" applyNumberFormat="0" applyProtection="0">
      <alignment horizontal="left" vertical="center" indent="1"/>
    </xf>
    <xf numFmtId="4" fontId="46" fillId="51" borderId="91" applyNumberFormat="0" applyProtection="0">
      <alignment horizontal="left" vertical="center" indent="1"/>
    </xf>
    <xf numFmtId="4" fontId="46" fillId="51" borderId="91" applyNumberFormat="0" applyProtection="0">
      <alignment horizontal="left" vertical="center" indent="1"/>
    </xf>
    <xf numFmtId="4" fontId="46" fillId="51" borderId="91" applyNumberFormat="0" applyProtection="0">
      <alignment horizontal="left" vertical="center" indent="1"/>
    </xf>
    <xf numFmtId="4" fontId="19" fillId="108" borderId="88" applyNumberFormat="0" applyProtection="0">
      <alignment horizontal="right" vertical="center"/>
    </xf>
    <xf numFmtId="4" fontId="46" fillId="7" borderId="91" applyNumberFormat="0" applyProtection="0">
      <alignment horizontal="right" vertical="center"/>
    </xf>
    <xf numFmtId="4" fontId="46" fillId="7" borderId="91" applyNumberFormat="0" applyProtection="0">
      <alignment horizontal="right" vertical="center"/>
    </xf>
    <xf numFmtId="4" fontId="46" fillId="7" borderId="91" applyNumberFormat="0" applyProtection="0">
      <alignment horizontal="right" vertical="center"/>
    </xf>
    <xf numFmtId="4" fontId="19" fillId="109" borderId="88" applyNumberFormat="0" applyProtection="0">
      <alignment horizontal="right" vertical="center"/>
    </xf>
    <xf numFmtId="4" fontId="46" fillId="110" borderId="91" applyNumberFormat="0" applyProtection="0">
      <alignment horizontal="right" vertical="center"/>
    </xf>
    <xf numFmtId="4" fontId="46" fillId="110" borderId="91" applyNumberFormat="0" applyProtection="0">
      <alignment horizontal="right" vertical="center"/>
    </xf>
    <xf numFmtId="4" fontId="46" fillId="110" borderId="91" applyNumberFormat="0" applyProtection="0">
      <alignment horizontal="right" vertical="center"/>
    </xf>
    <xf numFmtId="4" fontId="19" fillId="111" borderId="88" applyNumberFormat="0" applyProtection="0">
      <alignment horizontal="right" vertical="center"/>
    </xf>
    <xf numFmtId="4" fontId="46" fillId="34" borderId="92" applyNumberFormat="0" applyProtection="0">
      <alignment horizontal="right" vertical="center"/>
    </xf>
    <xf numFmtId="4" fontId="46" fillId="34" borderId="92" applyNumberFormat="0" applyProtection="0">
      <alignment horizontal="right" vertical="center"/>
    </xf>
    <xf numFmtId="4" fontId="46" fillId="34" borderId="92" applyNumberFormat="0" applyProtection="0">
      <alignment horizontal="right" vertical="center"/>
    </xf>
    <xf numFmtId="4" fontId="19" fillId="112" borderId="88" applyNumberFormat="0" applyProtection="0">
      <alignment horizontal="right" vertical="center"/>
    </xf>
    <xf numFmtId="4" fontId="46" fillId="35" borderId="91" applyNumberFormat="0" applyProtection="0">
      <alignment horizontal="right" vertical="center"/>
    </xf>
    <xf numFmtId="4" fontId="46" fillId="35" borderId="91" applyNumberFormat="0" applyProtection="0">
      <alignment horizontal="right" vertical="center"/>
    </xf>
    <xf numFmtId="4" fontId="46" fillId="35" borderId="91" applyNumberFormat="0" applyProtection="0">
      <alignment horizontal="right" vertical="center"/>
    </xf>
    <xf numFmtId="4" fontId="19" fillId="113" borderId="88" applyNumberFormat="0" applyProtection="0">
      <alignment horizontal="right" vertical="center"/>
    </xf>
    <xf numFmtId="4" fontId="46" fillId="36" borderId="91" applyNumberFormat="0" applyProtection="0">
      <alignment horizontal="right" vertical="center"/>
    </xf>
    <xf numFmtId="4" fontId="46" fillId="36" borderId="91" applyNumberFormat="0" applyProtection="0">
      <alignment horizontal="right" vertical="center"/>
    </xf>
    <xf numFmtId="4" fontId="46" fillId="36" borderId="91" applyNumberFormat="0" applyProtection="0">
      <alignment horizontal="right" vertical="center"/>
    </xf>
    <xf numFmtId="4" fontId="19" fillId="114" borderId="88" applyNumberFormat="0" applyProtection="0">
      <alignment horizontal="right" vertical="center"/>
    </xf>
    <xf numFmtId="4" fontId="46" fillId="37" borderId="91" applyNumberFormat="0" applyProtection="0">
      <alignment horizontal="right" vertical="center"/>
    </xf>
    <xf numFmtId="4" fontId="46" fillId="37" borderId="91" applyNumberFormat="0" applyProtection="0">
      <alignment horizontal="right" vertical="center"/>
    </xf>
    <xf numFmtId="4" fontId="46" fillId="37" borderId="91" applyNumberFormat="0" applyProtection="0">
      <alignment horizontal="right" vertical="center"/>
    </xf>
    <xf numFmtId="4" fontId="19" fillId="115" borderId="88" applyNumberFormat="0" applyProtection="0">
      <alignment horizontal="right" vertical="center"/>
    </xf>
    <xf numFmtId="4" fontId="46" fillId="9" borderId="91" applyNumberFormat="0" applyProtection="0">
      <alignment horizontal="right" vertical="center"/>
    </xf>
    <xf numFmtId="4" fontId="46" fillId="9" borderId="91" applyNumberFormat="0" applyProtection="0">
      <alignment horizontal="right" vertical="center"/>
    </xf>
    <xf numFmtId="4" fontId="46" fillId="9" borderId="91" applyNumberFormat="0" applyProtection="0">
      <alignment horizontal="right" vertical="center"/>
    </xf>
    <xf numFmtId="4" fontId="19" fillId="116" borderId="88" applyNumberFormat="0" applyProtection="0">
      <alignment horizontal="right" vertical="center"/>
    </xf>
    <xf numFmtId="4" fontId="46" fillId="38" borderId="91" applyNumberFormat="0" applyProtection="0">
      <alignment horizontal="right" vertical="center"/>
    </xf>
    <xf numFmtId="4" fontId="46" fillId="38" borderId="91" applyNumberFormat="0" applyProtection="0">
      <alignment horizontal="right" vertical="center"/>
    </xf>
    <xf numFmtId="4" fontId="46" fillId="38" borderId="91" applyNumberFormat="0" applyProtection="0">
      <alignment horizontal="right" vertical="center"/>
    </xf>
    <xf numFmtId="4" fontId="19" fillId="117" borderId="88" applyNumberFormat="0" applyProtection="0">
      <alignment horizontal="right" vertical="center"/>
    </xf>
    <xf numFmtId="4" fontId="46" fillId="39" borderId="91" applyNumberFormat="0" applyProtection="0">
      <alignment horizontal="right" vertical="center"/>
    </xf>
    <xf numFmtId="4" fontId="46" fillId="39" borderId="91" applyNumberFormat="0" applyProtection="0">
      <alignment horizontal="right" vertical="center"/>
    </xf>
    <xf numFmtId="4" fontId="46" fillId="39" borderId="91" applyNumberFormat="0" applyProtection="0">
      <alignment horizontal="right" vertical="center"/>
    </xf>
    <xf numFmtId="4" fontId="38" fillId="118" borderId="88" applyNumberFormat="0" applyProtection="0">
      <alignment horizontal="left" vertical="center" indent="1"/>
    </xf>
    <xf numFmtId="4" fontId="46" fillId="40" borderId="92" applyNumberFormat="0" applyProtection="0">
      <alignment horizontal="left" vertical="center" indent="1"/>
    </xf>
    <xf numFmtId="4" fontId="46" fillId="40" borderId="92" applyNumberFormat="0" applyProtection="0">
      <alignment horizontal="left" vertical="center" indent="1"/>
    </xf>
    <xf numFmtId="4" fontId="46" fillId="40" borderId="92" applyNumberFormat="0" applyProtection="0">
      <alignment horizontal="left" vertical="center" indent="1"/>
    </xf>
    <xf numFmtId="4" fontId="19" fillId="119" borderId="93" applyNumberFormat="0" applyProtection="0">
      <alignment horizontal="left" vertical="center" indent="1"/>
    </xf>
    <xf numFmtId="4" fontId="17" fillId="8" borderId="92" applyNumberFormat="0" applyProtection="0">
      <alignment horizontal="left" vertical="center" indent="1"/>
    </xf>
    <xf numFmtId="4" fontId="17" fillId="8" borderId="92" applyNumberFormat="0" applyProtection="0">
      <alignment horizontal="left" vertical="center" indent="1"/>
    </xf>
    <xf numFmtId="0" fontId="17" fillId="107" borderId="88" applyNumberFormat="0" applyProtection="0">
      <alignment horizontal="left" vertical="center" indent="1"/>
    </xf>
    <xf numFmtId="4" fontId="46" fillId="2" borderId="91" applyNumberFormat="0" applyProtection="0">
      <alignment horizontal="right" vertical="center"/>
    </xf>
    <xf numFmtId="4" fontId="46" fillId="2" borderId="91" applyNumberFormat="0" applyProtection="0">
      <alignment horizontal="right" vertical="center"/>
    </xf>
    <xf numFmtId="4" fontId="46" fillId="2" borderId="91" applyNumberFormat="0" applyProtection="0">
      <alignment horizontal="right" vertical="center"/>
    </xf>
    <xf numFmtId="4" fontId="19" fillId="119" borderId="88" applyNumberFormat="0" applyProtection="0">
      <alignment horizontal="left" vertical="center" indent="1"/>
    </xf>
    <xf numFmtId="4" fontId="46" fillId="41" borderId="92" applyNumberFormat="0" applyProtection="0">
      <alignment horizontal="left" vertical="center" indent="1"/>
    </xf>
    <xf numFmtId="4" fontId="46" fillId="41" borderId="92" applyNumberFormat="0" applyProtection="0">
      <alignment horizontal="left" vertical="center" indent="1"/>
    </xf>
    <xf numFmtId="4" fontId="46" fillId="41" borderId="92" applyNumberFormat="0" applyProtection="0">
      <alignment horizontal="left" vertical="center" indent="1"/>
    </xf>
    <xf numFmtId="4" fontId="19" fillId="46" borderId="88" applyNumberFormat="0" applyProtection="0">
      <alignment horizontal="left" vertical="center" indent="1"/>
    </xf>
    <xf numFmtId="4" fontId="46" fillId="2" borderId="92" applyNumberFormat="0" applyProtection="0">
      <alignment horizontal="left" vertical="center" indent="1"/>
    </xf>
    <xf numFmtId="4" fontId="46" fillId="2" borderId="92" applyNumberFormat="0" applyProtection="0">
      <alignment horizontal="left" vertical="center" indent="1"/>
    </xf>
    <xf numFmtId="4" fontId="46" fillId="2" borderId="92" applyNumberFormat="0" applyProtection="0">
      <alignment horizontal="left" vertical="center" indent="1"/>
    </xf>
    <xf numFmtId="0" fontId="17" fillId="46" borderId="88" applyNumberFormat="0" applyProtection="0">
      <alignment horizontal="left" vertical="center" indent="1"/>
    </xf>
    <xf numFmtId="0" fontId="46" fillId="10" borderId="91" applyNumberFormat="0" applyProtection="0">
      <alignment horizontal="left" vertical="center" indent="1"/>
    </xf>
    <xf numFmtId="0" fontId="46" fillId="10" borderId="91" applyNumberFormat="0" applyProtection="0">
      <alignment horizontal="left" vertical="center" indent="1"/>
    </xf>
    <xf numFmtId="0" fontId="46" fillId="10" borderId="91" applyNumberFormat="0" applyProtection="0">
      <alignment horizontal="left" vertical="center" indent="1"/>
    </xf>
    <xf numFmtId="0" fontId="17" fillId="46" borderId="88" applyNumberFormat="0" applyProtection="0">
      <alignment horizontal="left" vertical="center" indent="1"/>
    </xf>
    <xf numFmtId="0" fontId="46" fillId="8" borderId="89" applyNumberFormat="0" applyProtection="0">
      <alignment horizontal="left" vertical="top" indent="1"/>
    </xf>
    <xf numFmtId="0" fontId="17" fillId="45" borderId="88" applyNumberFormat="0" applyProtection="0">
      <alignment horizontal="left" vertical="center" indent="1"/>
    </xf>
    <xf numFmtId="0" fontId="46" fillId="121" borderId="91" applyNumberFormat="0" applyProtection="0">
      <alignment horizontal="left" vertical="center" indent="1"/>
    </xf>
    <xf numFmtId="0" fontId="46" fillId="121" borderId="91" applyNumberFormat="0" applyProtection="0">
      <alignment horizontal="left" vertical="center" indent="1"/>
    </xf>
    <xf numFmtId="0" fontId="46" fillId="121" borderId="91" applyNumberFormat="0" applyProtection="0">
      <alignment horizontal="left" vertical="center" indent="1"/>
    </xf>
    <xf numFmtId="0" fontId="17" fillId="45" borderId="88" applyNumberFormat="0" applyProtection="0">
      <alignment horizontal="left" vertical="center" indent="1"/>
    </xf>
    <xf numFmtId="0" fontId="46" fillId="2" borderId="89" applyNumberFormat="0" applyProtection="0">
      <alignment horizontal="left" vertical="top" indent="1"/>
    </xf>
    <xf numFmtId="0" fontId="17" fillId="122" borderId="88" applyNumberFormat="0" applyProtection="0">
      <alignment horizontal="left" vertical="center" indent="1"/>
    </xf>
    <xf numFmtId="0" fontId="46" fillId="6" borderId="91" applyNumberFormat="0" applyProtection="0">
      <alignment horizontal="left" vertical="center" indent="1"/>
    </xf>
    <xf numFmtId="0" fontId="46" fillId="6" borderId="91" applyNumberFormat="0" applyProtection="0">
      <alignment horizontal="left" vertical="center" indent="1"/>
    </xf>
    <xf numFmtId="0" fontId="46" fillId="6" borderId="91" applyNumberFormat="0" applyProtection="0">
      <alignment horizontal="left" vertical="center" indent="1"/>
    </xf>
    <xf numFmtId="0" fontId="17" fillId="122" borderId="88" applyNumberFormat="0" applyProtection="0">
      <alignment horizontal="left" vertical="center" indent="1"/>
    </xf>
    <xf numFmtId="0" fontId="46" fillId="6" borderId="89" applyNumberFormat="0" applyProtection="0">
      <alignment horizontal="left" vertical="top" indent="1"/>
    </xf>
    <xf numFmtId="0" fontId="17" fillId="107" borderId="88" applyNumberFormat="0" applyProtection="0">
      <alignment horizontal="left" vertical="center" indent="1"/>
    </xf>
    <xf numFmtId="0" fontId="46" fillId="41" borderId="91" applyNumberFormat="0" applyProtection="0">
      <alignment horizontal="left" vertical="center" indent="1"/>
    </xf>
    <xf numFmtId="0" fontId="46" fillId="41" borderId="91" applyNumberFormat="0" applyProtection="0">
      <alignment horizontal="left" vertical="center" indent="1"/>
    </xf>
    <xf numFmtId="0" fontId="46" fillId="41" borderId="91" applyNumberFormat="0" applyProtection="0">
      <alignment horizontal="left" vertical="center" indent="1"/>
    </xf>
    <xf numFmtId="0" fontId="17" fillId="107" borderId="88" applyNumberFormat="0" applyProtection="0">
      <alignment horizontal="left" vertical="center" indent="1"/>
    </xf>
    <xf numFmtId="0" fontId="46" fillId="41" borderId="89"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8" borderId="94" applyBorder="0"/>
    <xf numFmtId="4" fontId="19" fillId="123" borderId="88" applyNumberFormat="0" applyProtection="0">
      <alignment vertical="center"/>
    </xf>
    <xf numFmtId="4" fontId="120" fillId="4" borderId="89" applyNumberFormat="0" applyProtection="0">
      <alignment vertical="center"/>
    </xf>
    <xf numFmtId="4" fontId="41" fillId="123" borderId="88" applyNumberFormat="0" applyProtection="0">
      <alignment vertical="center"/>
    </xf>
    <xf numFmtId="4" fontId="19" fillId="123" borderId="88" applyNumberFormat="0" applyProtection="0">
      <alignment horizontal="left" vertical="center" indent="1"/>
    </xf>
    <xf numFmtId="4" fontId="120" fillId="10" borderId="89" applyNumberFormat="0" applyProtection="0">
      <alignment horizontal="left" vertical="center" indent="1"/>
    </xf>
    <xf numFmtId="4" fontId="19" fillId="123" borderId="88" applyNumberFormat="0" applyProtection="0">
      <alignment horizontal="left" vertical="center" indent="1"/>
    </xf>
    <xf numFmtId="0" fontId="120" fillId="4" borderId="89" applyNumberFormat="0" applyProtection="0">
      <alignment horizontal="left" vertical="top" indent="1"/>
    </xf>
    <xf numFmtId="4" fontId="19" fillId="119" borderId="88" applyNumberFormat="0" applyProtection="0">
      <alignment horizontal="right" vertical="center"/>
    </xf>
    <xf numFmtId="4" fontId="19" fillId="119" borderId="88" applyNumberFormat="0" applyProtection="0">
      <alignment horizontal="right" vertical="center"/>
    </xf>
    <xf numFmtId="4" fontId="46" fillId="0" borderId="91" applyNumberFormat="0" applyProtection="0">
      <alignment horizontal="right" vertical="center"/>
    </xf>
    <xf numFmtId="4" fontId="46" fillId="0" borderId="91" applyNumberFormat="0" applyProtection="0">
      <alignment horizontal="right" vertical="center"/>
    </xf>
    <xf numFmtId="4" fontId="46" fillId="0" borderId="91" applyNumberFormat="0" applyProtection="0">
      <alignment horizontal="right" vertical="center"/>
    </xf>
    <xf numFmtId="4" fontId="41" fillId="119" borderId="88" applyNumberFormat="0" applyProtection="0">
      <alignment horizontal="right" vertical="center"/>
    </xf>
    <xf numFmtId="4" fontId="117" fillId="43" borderId="91" applyNumberFormat="0" applyProtection="0">
      <alignment horizontal="right" vertical="center"/>
    </xf>
    <xf numFmtId="0" fontId="17" fillId="107" borderId="88" applyNumberFormat="0" applyProtection="0">
      <alignment horizontal="left" vertical="center" indent="1"/>
    </xf>
    <xf numFmtId="4" fontId="46" fillId="51" borderId="91" applyNumberFormat="0" applyProtection="0">
      <alignment horizontal="left" vertical="center" indent="1"/>
    </xf>
    <xf numFmtId="4" fontId="46" fillId="51" borderId="91" applyNumberFormat="0" applyProtection="0">
      <alignment horizontal="left" vertical="center" indent="1"/>
    </xf>
    <xf numFmtId="4" fontId="46" fillId="51" borderId="91" applyNumberFormat="0" applyProtection="0">
      <alignment horizontal="left" vertical="center" indent="1"/>
    </xf>
    <xf numFmtId="0" fontId="17" fillId="107" borderId="88" applyNumberFormat="0" applyProtection="0">
      <alignment horizontal="left" vertical="center" indent="1"/>
    </xf>
    <xf numFmtId="0" fontId="120" fillId="2" borderId="89" applyNumberFormat="0" applyProtection="0">
      <alignment horizontal="left" vertical="top" indent="1"/>
    </xf>
    <xf numFmtId="4" fontId="122" fillId="42" borderId="92" applyNumberFormat="0" applyProtection="0">
      <alignment horizontal="left" vertical="center" indent="1"/>
    </xf>
    <xf numFmtId="4" fontId="43" fillId="119" borderId="88" applyNumberFormat="0" applyProtection="0">
      <alignment horizontal="right" vertical="center"/>
    </xf>
    <xf numFmtId="4" fontId="123" fillId="5" borderId="91" applyNumberFormat="0" applyProtection="0">
      <alignment horizontal="right" vertical="center"/>
    </xf>
    <xf numFmtId="0" fontId="28" fillId="0" borderId="90" applyNumberFormat="0" applyFill="0" applyAlignment="0" applyProtection="0"/>
    <xf numFmtId="0" fontId="28" fillId="0" borderId="95" applyNumberFormat="0" applyFill="0" applyAlignment="0" applyProtection="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9"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9"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9"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59" borderId="69"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0" borderId="0"/>
    <xf numFmtId="0" fontId="3" fillId="59" borderId="69"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59" borderId="6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9" applyNumberFormat="0" applyFont="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4" borderId="87" applyNumberFormat="0" applyFont="0" applyAlignment="0" applyProtection="0"/>
    <xf numFmtId="0" fontId="3" fillId="0" borderId="0"/>
    <xf numFmtId="44" fontId="3" fillId="0" borderId="0" applyFont="0" applyFill="0" applyBorder="0" applyAlignment="0" applyProtection="0"/>
    <xf numFmtId="0" fontId="3" fillId="0" borderId="0"/>
    <xf numFmtId="0" fontId="3" fillId="59" borderId="69" applyNumberFormat="0" applyFont="0" applyAlignment="0" applyProtection="0"/>
    <xf numFmtId="0" fontId="3" fillId="0" borderId="0"/>
    <xf numFmtId="0" fontId="3" fillId="0" borderId="0"/>
    <xf numFmtId="0" fontId="3" fillId="0" borderId="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9" applyNumberFormat="0" applyFont="0" applyAlignment="0" applyProtection="0"/>
    <xf numFmtId="0" fontId="3" fillId="59" borderId="6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9"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9"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9"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59" borderId="69" applyNumberFormat="0" applyFont="0" applyAlignment="0" applyProtection="0"/>
    <xf numFmtId="43" fontId="3" fillId="0" borderId="0" applyFont="0" applyFill="0" applyBorder="0" applyAlignment="0" applyProtection="0"/>
    <xf numFmtId="4" fontId="46" fillId="0" borderId="91" applyNumberFormat="0" applyProtection="0">
      <alignment horizontal="right" vertical="center"/>
    </xf>
    <xf numFmtId="4" fontId="19" fillId="123" borderId="88" applyNumberFormat="0" applyProtection="0">
      <alignment vertical="center"/>
    </xf>
    <xf numFmtId="4" fontId="46" fillId="34" borderId="92" applyNumberFormat="0" applyProtection="0">
      <alignment horizontal="right" vertical="center"/>
    </xf>
    <xf numFmtId="4" fontId="46" fillId="40" borderId="92" applyNumberFormat="0" applyProtection="0">
      <alignment horizontal="left" vertical="center" indent="1"/>
    </xf>
    <xf numFmtId="4" fontId="46" fillId="37" borderId="91" applyNumberFormat="0" applyProtection="0">
      <alignment horizontal="right" vertical="center"/>
    </xf>
    <xf numFmtId="4" fontId="41" fillId="106" borderId="88" applyNumberFormat="0" applyProtection="0">
      <alignment vertical="center"/>
    </xf>
    <xf numFmtId="0" fontId="17" fillId="107" borderId="88" applyNumberFormat="0" applyProtection="0">
      <alignment horizontal="left" vertical="center" indent="1"/>
    </xf>
    <xf numFmtId="4" fontId="46" fillId="37" borderId="91" applyNumberFormat="0" applyProtection="0">
      <alignment horizontal="right" vertical="center"/>
    </xf>
    <xf numFmtId="4" fontId="46" fillId="0" borderId="91" applyNumberFormat="0" applyProtection="0">
      <alignment horizontal="right" vertical="center"/>
    </xf>
    <xf numFmtId="0" fontId="46" fillId="41" borderId="91" applyNumberFormat="0" applyProtection="0">
      <alignment horizontal="left" vertical="center" indent="1"/>
    </xf>
    <xf numFmtId="0" fontId="17" fillId="46" borderId="88" applyNumberFormat="0" applyProtection="0">
      <alignment horizontal="left" vertical="center" indent="1"/>
    </xf>
    <xf numFmtId="4" fontId="19" fillId="106" borderId="88" applyNumberFormat="0" applyProtection="0">
      <alignment horizontal="left" vertical="center" indent="1"/>
    </xf>
    <xf numFmtId="4" fontId="19" fillId="119" borderId="93" applyNumberFormat="0" applyProtection="0">
      <alignment horizontal="left" vertical="center" indent="1"/>
    </xf>
    <xf numFmtId="0" fontId="46" fillId="10" borderId="91" applyNumberFormat="0" applyProtection="0">
      <alignment horizontal="left" vertical="center" indent="1"/>
    </xf>
    <xf numFmtId="4" fontId="46" fillId="35" borderId="91" applyNumberFormat="0" applyProtection="0">
      <alignment horizontal="right" vertical="center"/>
    </xf>
    <xf numFmtId="0" fontId="118" fillId="33" borderId="89" applyNumberFormat="0" applyProtection="0">
      <alignment horizontal="left" vertical="top" indent="1"/>
    </xf>
    <xf numFmtId="0" fontId="119" fillId="8" borderId="94" applyBorder="0"/>
    <xf numFmtId="0" fontId="46" fillId="121" borderId="91" applyNumberFormat="0" applyProtection="0">
      <alignment horizontal="left" vertical="center" indent="1"/>
    </xf>
    <xf numFmtId="0" fontId="46" fillId="41" borderId="89" applyNumberFormat="0" applyProtection="0">
      <alignment horizontal="left" vertical="top" indent="1"/>
    </xf>
    <xf numFmtId="4" fontId="46" fillId="39" borderId="91" applyNumberFormat="0" applyProtection="0">
      <alignment horizontal="right" vertical="center"/>
    </xf>
    <xf numFmtId="4" fontId="46" fillId="35" borderId="91" applyNumberFormat="0" applyProtection="0">
      <alignment horizontal="right" vertical="center"/>
    </xf>
    <xf numFmtId="0" fontId="46" fillId="10" borderId="91" applyNumberFormat="0" applyProtection="0">
      <alignment horizontal="left" vertical="center" indent="1"/>
    </xf>
    <xf numFmtId="4" fontId="19" fillId="113" borderId="88" applyNumberFormat="0" applyProtection="0">
      <alignment horizontal="right" vertical="center"/>
    </xf>
    <xf numFmtId="0" fontId="46" fillId="10" borderId="91" applyNumberFormat="0" applyProtection="0">
      <alignment horizontal="left" vertical="center" indent="1"/>
    </xf>
    <xf numFmtId="4" fontId="123" fillId="5" borderId="91" applyNumberFormat="0" applyProtection="0">
      <alignment horizontal="right" vertical="center"/>
    </xf>
    <xf numFmtId="4" fontId="19" fillId="117" borderId="88" applyNumberFormat="0" applyProtection="0">
      <alignment horizontal="right" vertical="center"/>
    </xf>
    <xf numFmtId="4" fontId="46" fillId="33" borderId="91" applyNumberFormat="0" applyProtection="0">
      <alignment vertical="center"/>
    </xf>
    <xf numFmtId="4" fontId="46" fillId="37" borderId="91" applyNumberFormat="0" applyProtection="0">
      <alignment horizontal="right" vertical="center"/>
    </xf>
    <xf numFmtId="0" fontId="46" fillId="121" borderId="91" applyNumberFormat="0" applyProtection="0">
      <alignment horizontal="left" vertical="center" indent="1"/>
    </xf>
    <xf numFmtId="4" fontId="19" fillId="46" borderId="88" applyNumberFormat="0" applyProtection="0">
      <alignment horizontal="left" vertical="center" indent="1"/>
    </xf>
    <xf numFmtId="4" fontId="46" fillId="37" borderId="91" applyNumberFormat="0" applyProtection="0">
      <alignment horizontal="right" vertical="center"/>
    </xf>
    <xf numFmtId="4" fontId="38" fillId="118" borderId="88" applyNumberFormat="0" applyProtection="0">
      <alignment horizontal="left" vertical="center" indent="1"/>
    </xf>
    <xf numFmtId="4" fontId="46" fillId="9" borderId="91" applyNumberFormat="0" applyProtection="0">
      <alignment horizontal="right" vertical="center"/>
    </xf>
    <xf numFmtId="0" fontId="46" fillId="6" borderId="91" applyNumberFormat="0" applyProtection="0">
      <alignment horizontal="left" vertical="center" indent="1"/>
    </xf>
    <xf numFmtId="0" fontId="120" fillId="4" borderId="89" applyNumberFormat="0" applyProtection="0">
      <alignment horizontal="left" vertical="top" indent="1"/>
    </xf>
    <xf numFmtId="4" fontId="46" fillId="41" borderId="92" applyNumberFormat="0" applyProtection="0">
      <alignment horizontal="left" vertical="center" indent="1"/>
    </xf>
    <xf numFmtId="0" fontId="46" fillId="124" borderId="96"/>
    <xf numFmtId="4" fontId="46" fillId="51" borderId="91" applyNumberFormat="0" applyProtection="0">
      <alignment horizontal="left" vertical="center" indent="1"/>
    </xf>
    <xf numFmtId="0" fontId="37" fillId="10" borderId="88" applyNumberFormat="0" applyAlignment="0" applyProtection="0"/>
    <xf numFmtId="0" fontId="19" fillId="4" borderId="87" applyNumberFormat="0" applyFont="0" applyAlignment="0" applyProtection="0"/>
    <xf numFmtId="4" fontId="19" fillId="112" borderId="88" applyNumberFormat="0" applyProtection="0">
      <alignment horizontal="right" vertical="center"/>
    </xf>
    <xf numFmtId="0" fontId="17" fillId="45" borderId="88" applyNumberFormat="0" applyProtection="0">
      <alignment horizontal="left" vertical="center" indent="1"/>
    </xf>
    <xf numFmtId="0" fontId="17" fillId="46" borderId="88" applyNumberFormat="0" applyProtection="0">
      <alignment horizontal="left" vertical="center" indent="1"/>
    </xf>
    <xf numFmtId="4" fontId="46" fillId="38" borderId="91" applyNumberFormat="0" applyProtection="0">
      <alignment horizontal="right" vertical="center"/>
    </xf>
    <xf numFmtId="4" fontId="19" fillId="108" borderId="88" applyNumberFormat="0" applyProtection="0">
      <alignment horizontal="right" vertical="center"/>
    </xf>
    <xf numFmtId="4" fontId="46" fillId="51" borderId="91" applyNumberFormat="0" applyProtection="0">
      <alignment horizontal="left" vertical="center" indent="1"/>
    </xf>
    <xf numFmtId="0" fontId="46" fillId="41" borderId="91" applyNumberFormat="0" applyProtection="0">
      <alignment horizontal="left" vertical="center" indent="1"/>
    </xf>
    <xf numFmtId="4" fontId="46" fillId="2" borderId="91" applyNumberFormat="0" applyProtection="0">
      <alignment horizontal="right" vertical="center"/>
    </xf>
    <xf numFmtId="0" fontId="17" fillId="107" borderId="88" applyNumberFormat="0" applyProtection="0">
      <alignment horizontal="left" vertical="center" indent="1"/>
    </xf>
    <xf numFmtId="4" fontId="19" fillId="109" borderId="88" applyNumberFormat="0" applyProtection="0">
      <alignment horizontal="right" vertical="center"/>
    </xf>
    <xf numFmtId="0" fontId="46" fillId="6" borderId="91" applyNumberFormat="0" applyProtection="0">
      <alignment horizontal="left" vertical="center" indent="1"/>
    </xf>
    <xf numFmtId="4" fontId="46" fillId="51" borderId="91" applyNumberFormat="0" applyProtection="0">
      <alignment horizontal="left" vertical="center" indent="1"/>
    </xf>
    <xf numFmtId="4" fontId="46" fillId="41" borderId="92" applyNumberFormat="0" applyProtection="0">
      <alignment horizontal="left" vertical="center" indent="1"/>
    </xf>
    <xf numFmtId="0" fontId="17" fillId="107" borderId="88" applyNumberFormat="0" applyProtection="0">
      <alignment horizontal="left" vertical="center" indent="1"/>
    </xf>
    <xf numFmtId="4" fontId="19" fillId="119" borderId="88" applyNumberFormat="0" applyProtection="0">
      <alignment horizontal="right" vertical="center"/>
    </xf>
    <xf numFmtId="4" fontId="41" fillId="106" borderId="88" applyNumberFormat="0" applyProtection="0">
      <alignment vertical="center"/>
    </xf>
    <xf numFmtId="4" fontId="19" fillId="119" borderId="88" applyNumberFormat="0" applyProtection="0">
      <alignment horizontal="right" vertical="center"/>
    </xf>
    <xf numFmtId="4" fontId="46" fillId="40" borderId="92" applyNumberFormat="0" applyProtection="0">
      <alignment horizontal="left" vertical="center" indent="1"/>
    </xf>
    <xf numFmtId="0" fontId="46" fillId="2" borderId="89" applyNumberFormat="0" applyProtection="0">
      <alignment horizontal="left" vertical="top" indent="1"/>
    </xf>
    <xf numFmtId="4" fontId="46" fillId="33" borderId="91" applyNumberFormat="0" applyProtection="0">
      <alignment vertical="center"/>
    </xf>
    <xf numFmtId="4" fontId="117" fillId="123" borderId="96" applyNumberFormat="0" applyProtection="0">
      <alignment vertical="center"/>
    </xf>
    <xf numFmtId="0" fontId="120" fillId="2" borderId="89" applyNumberFormat="0" applyProtection="0">
      <alignment horizontal="left" vertical="top" indent="1"/>
    </xf>
    <xf numFmtId="4" fontId="46" fillId="37" borderId="91" applyNumberFormat="0" applyProtection="0">
      <alignment horizontal="right" vertical="center"/>
    </xf>
    <xf numFmtId="0" fontId="108" fillId="101" borderId="91" applyNumberFormat="0" applyAlignment="0" applyProtection="0"/>
    <xf numFmtId="4" fontId="46" fillId="51" borderId="91" applyNumberFormat="0" applyProtection="0">
      <alignment horizontal="left" vertical="center" indent="1"/>
    </xf>
    <xf numFmtId="4" fontId="41" fillId="123" borderId="88" applyNumberFormat="0" applyProtection="0">
      <alignment vertical="center"/>
    </xf>
    <xf numFmtId="4" fontId="46" fillId="33" borderId="91" applyNumberFormat="0" applyProtection="0">
      <alignment vertical="center"/>
    </xf>
    <xf numFmtId="0" fontId="17" fillId="107" borderId="88" applyNumberFormat="0" applyProtection="0">
      <alignment horizontal="left" vertical="center" indent="1"/>
    </xf>
    <xf numFmtId="4" fontId="46" fillId="40" borderId="92" applyNumberFormat="0" applyProtection="0">
      <alignment horizontal="left" vertical="center" indent="1"/>
    </xf>
    <xf numFmtId="4" fontId="19" fillId="119" borderId="88" applyNumberFormat="0" applyProtection="0">
      <alignment horizontal="right" vertical="center"/>
    </xf>
    <xf numFmtId="0" fontId="17" fillId="107" borderId="88" applyNumberFormat="0" applyProtection="0">
      <alignment horizontal="left" vertical="center" indent="1"/>
    </xf>
    <xf numFmtId="4" fontId="46" fillId="39" borderId="91" applyNumberFormat="0" applyProtection="0">
      <alignment horizontal="right" vertical="center"/>
    </xf>
    <xf numFmtId="0" fontId="34" fillId="27" borderId="91" applyNumberFormat="0" applyAlignment="0" applyProtection="0"/>
    <xf numFmtId="4" fontId="19" fillId="112" borderId="88" applyNumberFormat="0" applyProtection="0">
      <alignment horizontal="right" vertical="center"/>
    </xf>
    <xf numFmtId="4" fontId="46" fillId="38" borderId="91" applyNumberFormat="0" applyProtection="0">
      <alignment horizontal="right" vertical="center"/>
    </xf>
    <xf numFmtId="4" fontId="46" fillId="106" borderId="91" applyNumberFormat="0" applyProtection="0">
      <alignment horizontal="left" vertical="center" indent="1"/>
    </xf>
    <xf numFmtId="4" fontId="46" fillId="36" borderId="91" applyNumberFormat="0" applyProtection="0">
      <alignment horizontal="right" vertical="center"/>
    </xf>
    <xf numFmtId="4" fontId="46" fillId="41" borderId="92" applyNumberFormat="0" applyProtection="0">
      <alignment horizontal="left" vertical="center" indent="1"/>
    </xf>
    <xf numFmtId="4" fontId="46" fillId="110" borderId="91" applyNumberFormat="0" applyProtection="0">
      <alignment horizontal="right" vertical="center"/>
    </xf>
    <xf numFmtId="4" fontId="46" fillId="2" borderId="92" applyNumberFormat="0" applyProtection="0">
      <alignment horizontal="left" vertical="center" indent="1"/>
    </xf>
    <xf numFmtId="4" fontId="46" fillId="39" borderId="91" applyNumberFormat="0" applyProtection="0">
      <alignment horizontal="right" vertical="center"/>
    </xf>
    <xf numFmtId="4" fontId="46" fillId="41" borderId="92" applyNumberFormat="0" applyProtection="0">
      <alignment horizontal="left" vertical="center" indent="1"/>
    </xf>
    <xf numFmtId="4" fontId="19" fillId="106" borderId="88" applyNumberFormat="0" applyProtection="0">
      <alignment horizontal="left" vertical="center" indent="1"/>
    </xf>
    <xf numFmtId="4" fontId="19" fillId="115" borderId="88" applyNumberFormat="0" applyProtection="0">
      <alignment horizontal="right" vertical="center"/>
    </xf>
    <xf numFmtId="4" fontId="19" fillId="106" borderId="88" applyNumberFormat="0" applyProtection="0">
      <alignment horizontal="left" vertical="center" indent="1"/>
    </xf>
    <xf numFmtId="4" fontId="46" fillId="38" borderId="91" applyNumberFormat="0" applyProtection="0">
      <alignment horizontal="right" vertical="center"/>
    </xf>
    <xf numFmtId="4" fontId="46" fillId="2" borderId="92" applyNumberFormat="0" applyProtection="0">
      <alignment horizontal="left" vertical="center" indent="1"/>
    </xf>
    <xf numFmtId="4" fontId="46" fillId="35" borderId="91" applyNumberFormat="0" applyProtection="0">
      <alignment horizontal="right" vertical="center"/>
    </xf>
    <xf numFmtId="0" fontId="46" fillId="2" borderId="89" applyNumberFormat="0" applyProtection="0">
      <alignment horizontal="left" vertical="top" indent="1"/>
    </xf>
    <xf numFmtId="4" fontId="46" fillId="7" borderId="91" applyNumberFormat="0" applyProtection="0">
      <alignment horizontal="right" vertical="center"/>
    </xf>
    <xf numFmtId="0" fontId="37" fillId="10" borderId="88" applyNumberFormat="0" applyAlignment="0" applyProtection="0"/>
    <xf numFmtId="4" fontId="46" fillId="51" borderId="91" applyNumberFormat="0" applyProtection="0">
      <alignment horizontal="left" vertical="center" indent="1"/>
    </xf>
    <xf numFmtId="4" fontId="46" fillId="40" borderId="92" applyNumberFormat="0" applyProtection="0">
      <alignment horizontal="left" vertical="center" indent="1"/>
    </xf>
    <xf numFmtId="0" fontId="46" fillId="41" borderId="89" applyNumberFormat="0" applyProtection="0">
      <alignment horizontal="left" vertical="top" indent="1"/>
    </xf>
    <xf numFmtId="4" fontId="46" fillId="37" borderId="91" applyNumberFormat="0" applyProtection="0">
      <alignment horizontal="right" vertical="center"/>
    </xf>
    <xf numFmtId="0" fontId="17" fillId="122" borderId="88" applyNumberFormat="0" applyProtection="0">
      <alignment horizontal="left" vertical="center" indent="1"/>
    </xf>
    <xf numFmtId="0" fontId="37" fillId="101" borderId="88" applyNumberFormat="0" applyAlignment="0" applyProtection="0"/>
    <xf numFmtId="0" fontId="109" fillId="10" borderId="86" applyNumberFormat="0" applyAlignment="0" applyProtection="0"/>
    <xf numFmtId="4" fontId="19" fillId="123" borderId="88" applyNumberFormat="0" applyProtection="0">
      <alignment horizontal="left" vertical="center" indent="1"/>
    </xf>
    <xf numFmtId="4" fontId="46" fillId="34" borderId="92" applyNumberFormat="0" applyProtection="0">
      <alignment horizontal="right" vertical="center"/>
    </xf>
    <xf numFmtId="4" fontId="19" fillId="46" borderId="88" applyNumberFormat="0" applyProtection="0">
      <alignment horizontal="left" vertical="center" indent="1"/>
    </xf>
    <xf numFmtId="4" fontId="120" fillId="10" borderId="89" applyNumberFormat="0" applyProtection="0">
      <alignment horizontal="left" vertical="center" indent="1"/>
    </xf>
    <xf numFmtId="4" fontId="46" fillId="41" borderId="92" applyNumberFormat="0" applyProtection="0">
      <alignment horizontal="left" vertical="center" indent="1"/>
    </xf>
    <xf numFmtId="0" fontId="46" fillId="41" borderId="91" applyNumberFormat="0" applyProtection="0">
      <alignment horizontal="left" vertical="center" indent="1"/>
    </xf>
    <xf numFmtId="4" fontId="122" fillId="42" borderId="92" applyNumberFormat="0" applyProtection="0">
      <alignment horizontal="left" vertical="center" indent="1"/>
    </xf>
    <xf numFmtId="4" fontId="46" fillId="51" borderId="91" applyNumberFormat="0" applyProtection="0">
      <alignment horizontal="left" vertical="center" indent="1"/>
    </xf>
    <xf numFmtId="0" fontId="17" fillId="107" borderId="88" applyNumberFormat="0" applyProtection="0">
      <alignment horizontal="left" vertical="center" indent="1"/>
    </xf>
    <xf numFmtId="0" fontId="46" fillId="124" borderId="96"/>
    <xf numFmtId="0" fontId="46" fillId="6" borderId="91" applyNumberFormat="0" applyProtection="0">
      <alignment horizontal="left" vertical="center" indent="1"/>
    </xf>
    <xf numFmtId="0" fontId="17" fillId="107" borderId="88" applyNumberFormat="0" applyProtection="0">
      <alignment horizontal="left" vertical="center" indent="1"/>
    </xf>
    <xf numFmtId="4" fontId="46" fillId="38" borderId="91" applyNumberFormat="0" applyProtection="0">
      <alignment horizontal="right" vertical="center"/>
    </xf>
    <xf numFmtId="4" fontId="46" fillId="2" borderId="91" applyNumberFormat="0" applyProtection="0">
      <alignment horizontal="right" vertical="center"/>
    </xf>
    <xf numFmtId="4" fontId="19" fillId="111" borderId="88" applyNumberFormat="0" applyProtection="0">
      <alignment horizontal="right" vertical="center"/>
    </xf>
    <xf numFmtId="4" fontId="46" fillId="35" borderId="91" applyNumberFormat="0" applyProtection="0">
      <alignment horizontal="right" vertical="center"/>
    </xf>
    <xf numFmtId="4" fontId="19" fillId="119" borderId="88" applyNumberFormat="0" applyProtection="0">
      <alignment horizontal="left" vertical="center" indent="1"/>
    </xf>
    <xf numFmtId="4" fontId="19" fillId="119" borderId="88" applyNumberFormat="0" applyProtection="0">
      <alignment horizontal="right" vertical="center"/>
    </xf>
    <xf numFmtId="0" fontId="19" fillId="4" borderId="87" applyNumberFormat="0" applyFont="0" applyAlignment="0" applyProtection="0"/>
    <xf numFmtId="0" fontId="46" fillId="6" borderId="89" applyNumberFormat="0" applyProtection="0">
      <alignment horizontal="left" vertical="top" indent="1"/>
    </xf>
    <xf numFmtId="0" fontId="28" fillId="0" borderId="95" applyNumberFormat="0" applyFill="0" applyAlignment="0" applyProtection="0"/>
    <xf numFmtId="0" fontId="46" fillId="10" borderId="91" applyNumberFormat="0" applyProtection="0">
      <alignment horizontal="left" vertical="center" indent="1"/>
    </xf>
    <xf numFmtId="4" fontId="19" fillId="117" borderId="88" applyNumberFormat="0" applyProtection="0">
      <alignment horizontal="right" vertical="center"/>
    </xf>
    <xf numFmtId="4" fontId="19" fillId="123" borderId="88" applyNumberFormat="0" applyProtection="0">
      <alignment vertical="center"/>
    </xf>
    <xf numFmtId="4" fontId="46" fillId="51" borderId="91" applyNumberFormat="0" applyProtection="0">
      <alignment horizontal="left" vertical="center" indent="1"/>
    </xf>
    <xf numFmtId="0" fontId="17" fillId="122" borderId="88" applyNumberFormat="0" applyProtection="0">
      <alignment horizontal="left" vertical="center" indent="1"/>
    </xf>
    <xf numFmtId="4" fontId="46" fillId="9" borderId="91" applyNumberFormat="0" applyProtection="0">
      <alignment horizontal="right" vertical="center"/>
    </xf>
    <xf numFmtId="4" fontId="19" fillId="114" borderId="88" applyNumberFormat="0" applyProtection="0">
      <alignment horizontal="right" vertical="center"/>
    </xf>
    <xf numFmtId="4" fontId="46" fillId="36" borderId="91" applyNumberFormat="0" applyProtection="0">
      <alignment horizontal="right" vertical="center"/>
    </xf>
    <xf numFmtId="4" fontId="46" fillId="34" borderId="92" applyNumberFormat="0" applyProtection="0">
      <alignment horizontal="right" vertical="center"/>
    </xf>
    <xf numFmtId="0" fontId="28" fillId="0" borderId="90" applyNumberFormat="0" applyFill="0" applyAlignment="0" applyProtection="0"/>
    <xf numFmtId="4" fontId="46" fillId="7" borderId="91" applyNumberFormat="0" applyProtection="0">
      <alignment horizontal="right" vertical="center"/>
    </xf>
    <xf numFmtId="4" fontId="46" fillId="40" borderId="92" applyNumberFormat="0" applyProtection="0">
      <alignment horizontal="left" vertical="center" indent="1"/>
    </xf>
    <xf numFmtId="4" fontId="46" fillId="110" borderId="91" applyNumberFormat="0" applyProtection="0">
      <alignment horizontal="right" vertical="center"/>
    </xf>
    <xf numFmtId="4" fontId="46" fillId="7" borderId="91" applyNumberFormat="0" applyProtection="0">
      <alignment horizontal="right" vertical="center"/>
    </xf>
    <xf numFmtId="4" fontId="46" fillId="51" borderId="91" applyNumberFormat="0" applyProtection="0">
      <alignment horizontal="left" vertical="center" indent="1"/>
    </xf>
    <xf numFmtId="4" fontId="46" fillId="110" borderId="91" applyNumberFormat="0" applyProtection="0">
      <alignment horizontal="right" vertical="center"/>
    </xf>
    <xf numFmtId="0" fontId="46" fillId="121" borderId="91" applyNumberFormat="0" applyProtection="0">
      <alignment horizontal="left" vertical="center" indent="1"/>
    </xf>
    <xf numFmtId="4" fontId="46" fillId="51" borderId="91" applyNumberFormat="0" applyProtection="0">
      <alignment horizontal="left" vertical="center" indent="1"/>
    </xf>
    <xf numFmtId="4" fontId="46" fillId="36" borderId="91" applyNumberFormat="0" applyProtection="0">
      <alignment horizontal="right" vertical="center"/>
    </xf>
    <xf numFmtId="4" fontId="46" fillId="2" borderId="91" applyNumberFormat="0" applyProtection="0">
      <alignment horizontal="right" vertical="center"/>
    </xf>
    <xf numFmtId="4" fontId="46" fillId="51" borderId="91" applyNumberFormat="0" applyProtection="0">
      <alignment horizontal="left" vertical="center" indent="1"/>
    </xf>
    <xf numFmtId="0" fontId="120" fillId="4" borderId="89" applyNumberFormat="0" applyProtection="0">
      <alignment horizontal="left" vertical="top" indent="1"/>
    </xf>
    <xf numFmtId="0" fontId="17" fillId="107" borderId="88" applyNumberFormat="0" applyProtection="0">
      <alignment horizontal="left" vertical="center" indent="1"/>
    </xf>
    <xf numFmtId="4" fontId="46" fillId="36" borderId="91" applyNumberFormat="0" applyProtection="0">
      <alignment horizontal="right" vertical="center"/>
    </xf>
    <xf numFmtId="4" fontId="46" fillId="35" borderId="91" applyNumberFormat="0" applyProtection="0">
      <alignment horizontal="right" vertical="center"/>
    </xf>
    <xf numFmtId="0" fontId="46" fillId="121" borderId="91" applyNumberFormat="0" applyProtection="0">
      <alignment horizontal="left" vertical="center" indent="1"/>
    </xf>
    <xf numFmtId="0" fontId="46" fillId="6" borderId="91" applyNumberFormat="0" applyProtection="0">
      <alignment horizontal="left" vertical="center" indent="1"/>
    </xf>
    <xf numFmtId="4" fontId="117" fillId="106" borderId="91" applyNumberFormat="0" applyProtection="0">
      <alignment vertical="center"/>
    </xf>
    <xf numFmtId="4" fontId="46" fillId="33" borderId="91" applyNumberFormat="0" applyProtection="0">
      <alignment vertical="center"/>
    </xf>
    <xf numFmtId="4" fontId="117" fillId="106" borderId="91" applyNumberFormat="0" applyProtection="0">
      <alignment vertical="center"/>
    </xf>
    <xf numFmtId="0" fontId="17" fillId="46" borderId="88" applyNumberFormat="0" applyProtection="0">
      <alignment horizontal="left" vertical="center" indent="1"/>
    </xf>
    <xf numFmtId="4" fontId="46" fillId="34" borderId="92" applyNumberFormat="0" applyProtection="0">
      <alignment horizontal="right" vertical="center"/>
    </xf>
    <xf numFmtId="4" fontId="46" fillId="106" borderId="91" applyNumberFormat="0" applyProtection="0">
      <alignment horizontal="left" vertical="center" indent="1"/>
    </xf>
    <xf numFmtId="4" fontId="17" fillId="8" borderId="92" applyNumberFormat="0" applyProtection="0">
      <alignment horizontal="left" vertical="center" indent="1"/>
    </xf>
    <xf numFmtId="0" fontId="46" fillId="6" borderId="91" applyNumberFormat="0" applyProtection="0">
      <alignment horizontal="left" vertical="center" indent="1"/>
    </xf>
    <xf numFmtId="4" fontId="17" fillId="8" borderId="92" applyNumberFormat="0" applyProtection="0">
      <alignment horizontal="left" vertical="center" indent="1"/>
    </xf>
    <xf numFmtId="0" fontId="17" fillId="46" borderId="88" applyNumberFormat="0" applyProtection="0">
      <alignment horizontal="left" vertical="center" indent="1"/>
    </xf>
    <xf numFmtId="0" fontId="17" fillId="107" borderId="88" applyNumberFormat="0" applyProtection="0">
      <alignment horizontal="left" vertical="center" indent="1"/>
    </xf>
    <xf numFmtId="4" fontId="19" fillId="106" borderId="88" applyNumberFormat="0" applyProtection="0">
      <alignment vertical="center"/>
    </xf>
    <xf numFmtId="4" fontId="46" fillId="36" borderId="91" applyNumberFormat="0" applyProtection="0">
      <alignment horizontal="right" vertical="center"/>
    </xf>
    <xf numFmtId="4" fontId="17" fillId="8" borderId="92" applyNumberFormat="0" applyProtection="0">
      <alignment horizontal="left" vertical="center" indent="1"/>
    </xf>
    <xf numFmtId="4" fontId="38" fillId="118" borderId="88" applyNumberFormat="0" applyProtection="0">
      <alignment horizontal="left" vertical="center" indent="1"/>
    </xf>
    <xf numFmtId="4" fontId="19" fillId="116" borderId="88" applyNumberFormat="0" applyProtection="0">
      <alignment horizontal="right" vertical="center"/>
    </xf>
    <xf numFmtId="4" fontId="19" fillId="106" borderId="88" applyNumberFormat="0" applyProtection="0">
      <alignment vertical="center"/>
    </xf>
    <xf numFmtId="4" fontId="41" fillId="123" borderId="88" applyNumberFormat="0" applyProtection="0">
      <alignment vertical="center"/>
    </xf>
    <xf numFmtId="4" fontId="41" fillId="119" borderId="88" applyNumberFormat="0" applyProtection="0">
      <alignment horizontal="right" vertical="center"/>
    </xf>
    <xf numFmtId="4" fontId="19" fillId="114" borderId="88" applyNumberFormat="0" applyProtection="0">
      <alignment horizontal="right" vertical="center"/>
    </xf>
    <xf numFmtId="0" fontId="19" fillId="4" borderId="87" applyNumberFormat="0" applyFont="0" applyAlignment="0" applyProtection="0"/>
    <xf numFmtId="4" fontId="19" fillId="108" borderId="88" applyNumberFormat="0" applyProtection="0">
      <alignment horizontal="right" vertical="center"/>
    </xf>
    <xf numFmtId="4" fontId="46" fillId="9" borderId="91" applyNumberFormat="0" applyProtection="0">
      <alignment horizontal="right" vertical="center"/>
    </xf>
    <xf numFmtId="4" fontId="123" fillId="5" borderId="91" applyNumberFormat="0" applyProtection="0">
      <alignment horizontal="right" vertical="center"/>
    </xf>
    <xf numFmtId="0" fontId="17" fillId="122" borderId="88" applyNumberFormat="0" applyProtection="0">
      <alignment horizontal="left" vertical="center" indent="1"/>
    </xf>
    <xf numFmtId="0" fontId="46" fillId="41" borderId="91" applyNumberFormat="0" applyProtection="0">
      <alignment horizontal="left" vertical="center" indent="1"/>
    </xf>
    <xf numFmtId="0" fontId="46" fillId="121" borderId="91" applyNumberFormat="0" applyProtection="0">
      <alignment horizontal="left" vertical="center" indent="1"/>
    </xf>
    <xf numFmtId="4" fontId="46" fillId="34" borderId="92" applyNumberFormat="0" applyProtection="0">
      <alignment horizontal="right" vertical="center"/>
    </xf>
    <xf numFmtId="4" fontId="46" fillId="106" borderId="91" applyNumberFormat="0" applyProtection="0">
      <alignment horizontal="left" vertical="center" indent="1"/>
    </xf>
    <xf numFmtId="0" fontId="46" fillId="8" borderId="89" applyNumberFormat="0" applyProtection="0">
      <alignment horizontal="left" vertical="top" indent="1"/>
    </xf>
    <xf numFmtId="4" fontId="46" fillId="34" borderId="92" applyNumberFormat="0" applyProtection="0">
      <alignment horizontal="right" vertical="center"/>
    </xf>
    <xf numFmtId="4" fontId="46" fillId="2" borderId="92" applyNumberFormat="0" applyProtection="0">
      <alignment horizontal="left" vertical="center" indent="1"/>
    </xf>
    <xf numFmtId="4" fontId="46" fillId="40" borderId="92" applyNumberFormat="0" applyProtection="0">
      <alignment horizontal="left" vertical="center" indent="1"/>
    </xf>
    <xf numFmtId="4" fontId="46" fillId="2" borderId="91" applyNumberFormat="0" applyProtection="0">
      <alignment horizontal="right" vertical="center"/>
    </xf>
    <xf numFmtId="0" fontId="46" fillId="8" borderId="89" applyNumberFormat="0" applyProtection="0">
      <alignment horizontal="left" vertical="top" indent="1"/>
    </xf>
    <xf numFmtId="4" fontId="46" fillId="38" borderId="91" applyNumberFormat="0" applyProtection="0">
      <alignment horizontal="right" vertical="center"/>
    </xf>
    <xf numFmtId="0" fontId="46" fillId="121" borderId="91" applyNumberFormat="0" applyProtection="0">
      <alignment horizontal="left" vertical="center" indent="1"/>
    </xf>
    <xf numFmtId="0" fontId="115" fillId="11" borderId="86" applyNumberFormat="0" applyAlignment="0" applyProtection="0"/>
    <xf numFmtId="4" fontId="19" fillId="123" borderId="88" applyNumberFormat="0" applyProtection="0">
      <alignment horizontal="left" vertical="center" indent="1"/>
    </xf>
    <xf numFmtId="4" fontId="120" fillId="4" borderId="89" applyNumberFormat="0" applyProtection="0">
      <alignment vertical="center"/>
    </xf>
    <xf numFmtId="4" fontId="120" fillId="4" borderId="89" applyNumberFormat="0" applyProtection="0">
      <alignment vertical="center"/>
    </xf>
    <xf numFmtId="0" fontId="46" fillId="6" borderId="89" applyNumberFormat="0" applyProtection="0">
      <alignment horizontal="left" vertical="top" indent="1"/>
    </xf>
    <xf numFmtId="4" fontId="46" fillId="110" borderId="91" applyNumberFormat="0" applyProtection="0">
      <alignment horizontal="right" vertical="center"/>
    </xf>
    <xf numFmtId="4" fontId="46" fillId="2" borderId="92" applyNumberFormat="0" applyProtection="0">
      <alignment horizontal="left" vertical="center" indent="1"/>
    </xf>
    <xf numFmtId="0" fontId="46" fillId="10" borderId="91" applyNumberFormat="0" applyProtection="0">
      <alignment horizontal="left" vertical="center" indent="1"/>
    </xf>
    <xf numFmtId="4" fontId="19" fillId="119" borderId="88" applyNumberFormat="0" applyProtection="0">
      <alignment horizontal="left" vertical="center" indent="1"/>
    </xf>
    <xf numFmtId="4" fontId="46" fillId="9" borderId="91" applyNumberFormat="0" applyProtection="0">
      <alignment horizontal="right" vertical="center"/>
    </xf>
    <xf numFmtId="4" fontId="46" fillId="2" borderId="91" applyNumberFormat="0" applyProtection="0">
      <alignment horizontal="right" vertical="center"/>
    </xf>
    <xf numFmtId="0" fontId="46" fillId="41" borderId="91" applyNumberFormat="0" applyProtection="0">
      <alignment horizontal="left" vertical="center" indent="1"/>
    </xf>
    <xf numFmtId="4" fontId="117" fillId="43" borderId="91" applyNumberFormat="0" applyProtection="0">
      <alignment horizontal="right" vertical="center"/>
    </xf>
    <xf numFmtId="4" fontId="46" fillId="2" borderId="91" applyNumberFormat="0" applyProtection="0">
      <alignment horizontal="right" vertical="center"/>
    </xf>
    <xf numFmtId="4" fontId="46" fillId="0" borderId="91" applyNumberFormat="0" applyProtection="0">
      <alignment horizontal="right" vertical="center"/>
    </xf>
    <xf numFmtId="0" fontId="17" fillId="45" borderId="88" applyNumberFormat="0" applyProtection="0">
      <alignment horizontal="left" vertical="center" indent="1"/>
    </xf>
    <xf numFmtId="4" fontId="19" fillId="111" borderId="88" applyNumberFormat="0" applyProtection="0">
      <alignment horizontal="right" vertical="center"/>
    </xf>
    <xf numFmtId="0" fontId="17" fillId="107" borderId="88" applyNumberFormat="0" applyProtection="0">
      <alignment horizontal="left" vertical="center" indent="1"/>
    </xf>
    <xf numFmtId="4" fontId="19" fillId="106" borderId="88" applyNumberFormat="0" applyProtection="0">
      <alignment vertical="center"/>
    </xf>
    <xf numFmtId="4" fontId="46" fillId="39" borderId="91" applyNumberFormat="0" applyProtection="0">
      <alignment horizontal="right" vertical="center"/>
    </xf>
    <xf numFmtId="0" fontId="34" fillId="27" borderId="91" applyNumberFormat="0" applyAlignment="0" applyProtection="0"/>
    <xf numFmtId="0" fontId="46" fillId="41" borderId="91" applyNumberFormat="0" applyProtection="0">
      <alignment horizontal="left" vertical="center" indent="1"/>
    </xf>
    <xf numFmtId="4" fontId="19" fillId="115" borderId="88" applyNumberFormat="0" applyProtection="0">
      <alignment horizontal="right" vertical="center"/>
    </xf>
    <xf numFmtId="4" fontId="46" fillId="9" borderId="91" applyNumberFormat="0" applyProtection="0">
      <alignment horizontal="right" vertical="center"/>
    </xf>
    <xf numFmtId="4" fontId="46" fillId="39" borderId="91" applyNumberFormat="0" applyProtection="0">
      <alignment horizontal="right" vertical="center"/>
    </xf>
    <xf numFmtId="0" fontId="17" fillId="107" borderId="88" applyNumberFormat="0" applyProtection="0">
      <alignment horizontal="left" vertical="center" indent="1"/>
    </xf>
    <xf numFmtId="4" fontId="19" fillId="109" borderId="88" applyNumberFormat="0" applyProtection="0">
      <alignment horizontal="right" vertical="center"/>
    </xf>
    <xf numFmtId="4" fontId="46" fillId="0" borderId="91" applyNumberFormat="0" applyProtection="0">
      <alignment horizontal="right" vertical="center"/>
    </xf>
    <xf numFmtId="4" fontId="46" fillId="110" borderId="91" applyNumberFormat="0" applyProtection="0">
      <alignment horizontal="right" vertical="center"/>
    </xf>
    <xf numFmtId="4" fontId="19" fillId="106" borderId="88" applyNumberFormat="0" applyProtection="0">
      <alignment horizontal="left" vertical="center" indent="1"/>
    </xf>
    <xf numFmtId="4" fontId="46" fillId="51" borderId="91" applyNumberFormat="0" applyProtection="0">
      <alignment horizontal="left" vertical="center" indent="1"/>
    </xf>
    <xf numFmtId="0" fontId="17" fillId="122" borderId="88" applyNumberFormat="0" applyProtection="0">
      <alignment horizontal="left" vertical="center" indent="1"/>
    </xf>
    <xf numFmtId="4" fontId="19" fillId="123" borderId="88" applyNumberFormat="0" applyProtection="0">
      <alignment horizontal="left" vertical="center" indent="1"/>
    </xf>
    <xf numFmtId="4" fontId="46" fillId="7" borderId="91" applyNumberFormat="0" applyProtection="0">
      <alignment horizontal="right" vertical="center"/>
    </xf>
    <xf numFmtId="0" fontId="115" fillId="11" borderId="86" applyNumberFormat="0" applyAlignment="0" applyProtection="0"/>
    <xf numFmtId="4" fontId="117" fillId="43" borderId="91" applyNumberFormat="0" applyProtection="0">
      <alignment horizontal="right" vertical="center"/>
    </xf>
    <xf numFmtId="4" fontId="46" fillId="110" borderId="91" applyNumberFormat="0" applyProtection="0">
      <alignment horizontal="right" vertical="center"/>
    </xf>
    <xf numFmtId="0" fontId="17" fillId="45" borderId="88" applyNumberFormat="0" applyProtection="0">
      <alignment horizontal="left" vertical="center" indent="1"/>
    </xf>
    <xf numFmtId="0" fontId="119" fillId="8" borderId="94" applyBorder="0"/>
    <xf numFmtId="0" fontId="46" fillId="6" borderId="91" applyNumberFormat="0" applyProtection="0">
      <alignment horizontal="left" vertical="center" indent="1"/>
    </xf>
    <xf numFmtId="4" fontId="19" fillId="116" borderId="88" applyNumberFormat="0" applyProtection="0">
      <alignment horizontal="right" vertical="center"/>
    </xf>
    <xf numFmtId="4" fontId="46" fillId="36" borderId="91" applyNumberFormat="0" applyProtection="0">
      <alignment horizontal="right" vertical="center"/>
    </xf>
    <xf numFmtId="4" fontId="46" fillId="9" borderId="91" applyNumberFormat="0" applyProtection="0">
      <alignment horizontal="right" vertical="center"/>
    </xf>
    <xf numFmtId="4" fontId="46" fillId="38" borderId="91" applyNumberFormat="0" applyProtection="0">
      <alignment horizontal="right" vertical="center"/>
    </xf>
    <xf numFmtId="4" fontId="120" fillId="10" borderId="89" applyNumberFormat="0" applyProtection="0">
      <alignment horizontal="left" vertical="center" indent="1"/>
    </xf>
    <xf numFmtId="4" fontId="46" fillId="7" borderId="91" applyNumberFormat="0" applyProtection="0">
      <alignment horizontal="right" vertical="center"/>
    </xf>
    <xf numFmtId="4" fontId="46" fillId="33" borderId="91" applyNumberFormat="0" applyProtection="0">
      <alignment vertical="center"/>
    </xf>
    <xf numFmtId="4" fontId="19" fillId="123" borderId="88" applyNumberFormat="0" applyProtection="0">
      <alignment horizontal="left" vertical="center" indent="1"/>
    </xf>
    <xf numFmtId="4" fontId="46" fillId="106" borderId="91" applyNumberFormat="0" applyProtection="0">
      <alignment horizontal="left" vertical="center" indent="1"/>
    </xf>
    <xf numFmtId="0" fontId="46" fillId="10" borderId="91" applyNumberFormat="0" applyProtection="0">
      <alignment horizontal="left" vertical="center" indent="1"/>
    </xf>
    <xf numFmtId="4" fontId="46" fillId="41" borderId="92" applyNumberFormat="0" applyProtection="0">
      <alignment horizontal="left" vertical="center" indent="1"/>
    </xf>
    <xf numFmtId="4" fontId="19" fillId="113" borderId="88" applyNumberFormat="0" applyProtection="0">
      <alignment horizontal="right" vertical="center"/>
    </xf>
    <xf numFmtId="4" fontId="46" fillId="35" borderId="91" applyNumberFormat="0" applyProtection="0">
      <alignment horizontal="right" vertical="center"/>
    </xf>
    <xf numFmtId="4" fontId="17" fillId="8" borderId="92" applyNumberFormat="0" applyProtection="0">
      <alignment horizontal="left" vertical="center" indent="1"/>
    </xf>
    <xf numFmtId="0" fontId="17" fillId="45" borderId="88" applyNumberFormat="0" applyProtection="0">
      <alignment horizontal="left" vertical="center" indent="1"/>
    </xf>
    <xf numFmtId="4" fontId="46" fillId="39" borderId="91" applyNumberFormat="0" applyProtection="0">
      <alignment horizontal="right" vertical="center"/>
    </xf>
    <xf numFmtId="4" fontId="46" fillId="2" borderId="92" applyNumberFormat="0" applyProtection="0">
      <alignment horizontal="left" vertical="center" indent="1"/>
    </xf>
    <xf numFmtId="4" fontId="43" fillId="119" borderId="88" applyNumberFormat="0" applyProtection="0">
      <alignment horizontal="right" vertical="center"/>
    </xf>
    <xf numFmtId="4" fontId="46" fillId="2" borderId="92" applyNumberFormat="0" applyProtection="0">
      <alignment horizontal="left" vertical="center" indent="1"/>
    </xf>
    <xf numFmtId="4" fontId="46" fillId="106" borderId="91" applyNumberFormat="0" applyProtection="0">
      <alignment horizontal="left" vertical="center" indent="1"/>
    </xf>
    <xf numFmtId="4" fontId="19" fillId="106" borderId="88" applyNumberFormat="0" applyProtection="0">
      <alignment vertical="center"/>
    </xf>
    <xf numFmtId="4" fontId="46" fillId="106" borderId="91" applyNumberFormat="0" applyProtection="0">
      <alignment horizontal="left" vertical="center" indent="1"/>
    </xf>
    <xf numFmtId="0" fontId="46" fillId="26" borderId="91" applyNumberFormat="0" applyFont="0" applyAlignment="0" applyProtection="0"/>
    <xf numFmtId="0" fontId="109" fillId="10" borderId="86" applyNumberFormat="0" applyAlignment="0" applyProtection="0"/>
    <xf numFmtId="4" fontId="46" fillId="7" borderId="91" applyNumberFormat="0" applyProtection="0">
      <alignment horizontal="right" vertical="center"/>
    </xf>
    <xf numFmtId="0" fontId="118" fillId="33" borderId="89" applyNumberFormat="0" applyProtection="0">
      <alignment horizontal="left" vertical="top" indent="1"/>
    </xf>
    <xf numFmtId="4" fontId="46" fillId="33" borderId="91" applyNumberFormat="0" applyProtection="0">
      <alignment vertical="center"/>
    </xf>
    <xf numFmtId="0" fontId="108" fillId="101" borderId="91" applyNumberFormat="0" applyAlignment="0" applyProtection="0"/>
    <xf numFmtId="4" fontId="122" fillId="42" borderId="92" applyNumberFormat="0" applyProtection="0">
      <alignment horizontal="left" vertical="center" indent="1"/>
    </xf>
    <xf numFmtId="0" fontId="46" fillId="124" borderId="96"/>
    <xf numFmtId="0" fontId="120" fillId="2" borderId="89" applyNumberFormat="0" applyProtection="0">
      <alignment horizontal="left" vertical="top" indent="1"/>
    </xf>
    <xf numFmtId="4" fontId="43" fillId="119" borderId="88" applyNumberFormat="0" applyProtection="0">
      <alignment horizontal="right" vertical="center"/>
    </xf>
    <xf numFmtId="4" fontId="46" fillId="0" borderId="91" applyNumberFormat="0" applyProtection="0">
      <alignment horizontal="right" vertical="center"/>
    </xf>
    <xf numFmtId="0" fontId="17" fillId="107" borderId="88" applyNumberFormat="0" applyProtection="0">
      <alignment horizontal="left" vertical="center" indent="1"/>
    </xf>
    <xf numFmtId="4" fontId="46" fillId="0" borderId="91" applyNumberFormat="0" applyProtection="0">
      <alignment horizontal="right" vertical="center"/>
    </xf>
    <xf numFmtId="4" fontId="46" fillId="51" borderId="91" applyNumberFormat="0" applyProtection="0">
      <alignment horizontal="left" vertical="center" indent="1"/>
    </xf>
    <xf numFmtId="4" fontId="41" fillId="119" borderId="88" applyNumberFormat="0" applyProtection="0">
      <alignment horizontal="right" vertical="center"/>
    </xf>
    <xf numFmtId="0" fontId="37" fillId="101" borderId="88" applyNumberFormat="0" applyAlignment="0" applyProtection="0"/>
    <xf numFmtId="0" fontId="46" fillId="26" borderId="91" applyNumberFormat="0" applyFont="0" applyAlignment="0" applyProtection="0"/>
    <xf numFmtId="0" fontId="19" fillId="4" borderId="87"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35" fillId="0" borderId="0" applyFont="0" applyFill="0" applyBorder="0" applyAlignment="0" applyProtection="0"/>
    <xf numFmtId="0" fontId="2" fillId="0" borderId="0"/>
    <xf numFmtId="0" fontId="1" fillId="0" borderId="0"/>
  </cellStyleXfs>
  <cellXfs count="708">
    <xf numFmtId="175" fontId="0" fillId="0" borderId="0" xfId="0"/>
    <xf numFmtId="3" fontId="17" fillId="0" borderId="19" xfId="0" applyNumberFormat="1" applyFont="1" applyBorder="1" applyAlignment="1">
      <alignment horizontal="center"/>
    </xf>
    <xf numFmtId="3" fontId="17" fillId="0" borderId="25" xfId="0" applyNumberFormat="1" applyFont="1" applyBorder="1" applyAlignment="1">
      <alignment horizontal="center"/>
    </xf>
    <xf numFmtId="3" fontId="17" fillId="0" borderId="27" xfId="0" applyNumberFormat="1" applyFont="1" applyBorder="1" applyAlignment="1">
      <alignment horizontal="center"/>
    </xf>
    <xf numFmtId="3" fontId="17" fillId="0" borderId="34" xfId="0" applyNumberFormat="1" applyFont="1" applyBorder="1" applyAlignment="1" applyProtection="1">
      <alignment wrapText="1"/>
      <protection locked="0"/>
    </xf>
    <xf numFmtId="165" fontId="17" fillId="0" borderId="20" xfId="0" applyNumberFormat="1" applyFont="1" applyBorder="1" applyAlignment="1" applyProtection="1">
      <alignment horizontal="center"/>
      <protection locked="0"/>
    </xf>
    <xf numFmtId="165" fontId="17" fillId="0" borderId="0" xfId="0" applyNumberFormat="1" applyFont="1" applyProtection="1">
      <protection locked="0"/>
    </xf>
    <xf numFmtId="165" fontId="17" fillId="0" borderId="26" xfId="0" applyNumberFormat="1" applyFont="1" applyBorder="1" applyAlignment="1" applyProtection="1">
      <alignment horizontal="center"/>
      <protection locked="0"/>
    </xf>
    <xf numFmtId="165" fontId="17" fillId="0" borderId="0" xfId="0" applyNumberFormat="1" applyFont="1" applyAlignment="1" applyProtection="1">
      <alignment horizontal="center"/>
      <protection locked="0"/>
    </xf>
    <xf numFmtId="175" fontId="17" fillId="0" borderId="0" xfId="0" applyFont="1" applyProtection="1">
      <protection locked="0"/>
    </xf>
    <xf numFmtId="175" fontId="18" fillId="0" borderId="0" xfId="0" applyFont="1" applyAlignment="1" applyProtection="1">
      <alignment horizontal="center" wrapText="1"/>
      <protection locked="0"/>
    </xf>
    <xf numFmtId="3" fontId="17" fillId="0" borderId="0" xfId="0" applyNumberFormat="1" applyFont="1" applyProtection="1">
      <protection locked="0"/>
    </xf>
    <xf numFmtId="175" fontId="18" fillId="0" borderId="0" xfId="0" applyFont="1" applyAlignment="1" applyProtection="1">
      <alignment wrapText="1"/>
      <protection locked="0"/>
    </xf>
    <xf numFmtId="3" fontId="48" fillId="0" borderId="16" xfId="0" applyNumberFormat="1" applyFont="1" applyBorder="1" applyAlignment="1">
      <alignment horizontal="center"/>
    </xf>
    <xf numFmtId="6" fontId="17" fillId="0" borderId="0" xfId="66" applyNumberFormat="1"/>
    <xf numFmtId="175" fontId="17" fillId="0" borderId="0" xfId="66"/>
    <xf numFmtId="175" fontId="19" fillId="0" borderId="0" xfId="67"/>
    <xf numFmtId="175" fontId="38" fillId="0" borderId="11" xfId="67" applyFont="1" applyBorder="1" applyAlignment="1">
      <alignment horizontal="center"/>
    </xf>
    <xf numFmtId="175" fontId="38" fillId="0" borderId="0" xfId="67" applyFont="1" applyAlignment="1">
      <alignment horizontal="center"/>
    </xf>
    <xf numFmtId="175" fontId="18" fillId="0" borderId="36" xfId="66" applyFont="1" applyBorder="1"/>
    <xf numFmtId="175" fontId="18" fillId="0" borderId="38" xfId="66" applyFont="1" applyBorder="1" applyAlignment="1">
      <alignment wrapText="1"/>
    </xf>
    <xf numFmtId="175" fontId="47" fillId="0" borderId="0" xfId="66" applyFont="1"/>
    <xf numFmtId="175" fontId="18" fillId="44" borderId="29" xfId="66" applyFont="1" applyFill="1" applyBorder="1" applyAlignment="1">
      <alignment horizontal="center"/>
    </xf>
    <xf numFmtId="175" fontId="18" fillId="0" borderId="30" xfId="66" applyFont="1" applyBorder="1" applyAlignment="1">
      <alignment horizontal="center"/>
    </xf>
    <xf numFmtId="175" fontId="18" fillId="0" borderId="37" xfId="66" applyFont="1" applyBorder="1" applyAlignment="1">
      <alignment horizontal="center"/>
    </xf>
    <xf numFmtId="175" fontId="17" fillId="0" borderId="37" xfId="66" applyBorder="1"/>
    <xf numFmtId="164" fontId="17" fillId="0" borderId="0" xfId="66" applyNumberFormat="1"/>
    <xf numFmtId="175" fontId="18" fillId="0" borderId="37" xfId="66" applyFont="1" applyBorder="1"/>
    <xf numFmtId="164" fontId="17" fillId="0" borderId="0" xfId="66" applyNumberFormat="1" applyAlignment="1">
      <alignment horizontal="right"/>
    </xf>
    <xf numFmtId="175" fontId="18" fillId="0" borderId="37" xfId="66" applyFont="1" applyBorder="1" applyAlignment="1">
      <alignment horizontal="left" indent="1"/>
    </xf>
    <xf numFmtId="175" fontId="18" fillId="0" borderId="37" xfId="66" applyFont="1" applyBorder="1" applyAlignment="1">
      <alignment horizontal="center" wrapText="1"/>
    </xf>
    <xf numFmtId="175" fontId="18" fillId="0" borderId="36" xfId="66" applyFont="1" applyBorder="1" applyAlignment="1">
      <alignment horizontal="left" indent="1"/>
    </xf>
    <xf numFmtId="164" fontId="17" fillId="44" borderId="0" xfId="66" applyNumberFormat="1" applyFill="1"/>
    <xf numFmtId="175" fontId="18" fillId="0" borderId="31" xfId="66" applyFont="1" applyBorder="1" applyAlignment="1">
      <alignment wrapText="1"/>
    </xf>
    <xf numFmtId="164" fontId="18" fillId="0" borderId="31" xfId="66" applyNumberFormat="1" applyFont="1" applyBorder="1"/>
    <xf numFmtId="175" fontId="18" fillId="0" borderId="0" xfId="0" applyFont="1"/>
    <xf numFmtId="175" fontId="18" fillId="0" borderId="28" xfId="0" applyFont="1" applyBorder="1"/>
    <xf numFmtId="175" fontId="17" fillId="0" borderId="0" xfId="0" applyFont="1"/>
    <xf numFmtId="175" fontId="17" fillId="0" borderId="13" xfId="0" applyFont="1" applyBorder="1"/>
    <xf numFmtId="175" fontId="38" fillId="0" borderId="0" xfId="0" applyFont="1" applyProtection="1">
      <protection locked="0"/>
    </xf>
    <xf numFmtId="175" fontId="19" fillId="0" borderId="0" xfId="0" applyFont="1" applyProtection="1">
      <protection locked="0"/>
    </xf>
    <xf numFmtId="165" fontId="19" fillId="0" borderId="0" xfId="0" applyNumberFormat="1" applyFont="1" applyProtection="1">
      <protection locked="0"/>
    </xf>
    <xf numFmtId="175" fontId="49" fillId="0" borderId="0" xfId="0" applyFont="1" applyProtection="1">
      <protection locked="0"/>
    </xf>
    <xf numFmtId="172" fontId="38" fillId="0" borderId="0" xfId="0" applyNumberFormat="1" applyFont="1" applyAlignment="1" applyProtection="1">
      <alignment horizontal="right"/>
      <protection locked="0"/>
    </xf>
    <xf numFmtId="172" fontId="38" fillId="0" borderId="0" xfId="0" applyNumberFormat="1" applyFont="1" applyAlignment="1" applyProtection="1">
      <alignment horizontal="center"/>
      <protection locked="0"/>
    </xf>
    <xf numFmtId="38" fontId="50" fillId="0" borderId="0" xfId="0" applyNumberFormat="1" applyFont="1" applyProtection="1">
      <protection locked="0"/>
    </xf>
    <xf numFmtId="165" fontId="50" fillId="0" borderId="0" xfId="0" applyNumberFormat="1" applyFont="1" applyProtection="1">
      <protection locked="0"/>
    </xf>
    <xf numFmtId="175" fontId="50" fillId="0" borderId="0" xfId="0" applyFont="1" applyProtection="1">
      <protection locked="0"/>
    </xf>
    <xf numFmtId="175" fontId="19" fillId="0" borderId="0" xfId="0" applyFont="1" applyAlignment="1" applyProtection="1">
      <alignment horizontal="left" indent="1"/>
      <protection locked="0"/>
    </xf>
    <xf numFmtId="175" fontId="19" fillId="0" borderId="0" xfId="0" applyFont="1"/>
    <xf numFmtId="175" fontId="38" fillId="0" borderId="11" xfId="0" applyFont="1" applyBorder="1" applyAlignment="1">
      <alignment horizontal="center" wrapText="1"/>
    </xf>
    <xf numFmtId="175" fontId="19" fillId="0" borderId="11" xfId="0" applyFont="1" applyBorder="1"/>
    <xf numFmtId="172" fontId="19" fillId="0" borderId="11" xfId="0" applyNumberFormat="1" applyFont="1" applyBorder="1"/>
    <xf numFmtId="172" fontId="19" fillId="0" borderId="11" xfId="46" applyNumberFormat="1" applyFont="1" applyBorder="1" applyAlignment="1">
      <alignment horizontal="right"/>
    </xf>
    <xf numFmtId="166" fontId="19" fillId="0" borderId="11" xfId="46" applyNumberFormat="1" applyFont="1" applyBorder="1" applyAlignment="1">
      <alignment horizontal="right"/>
    </xf>
    <xf numFmtId="172" fontId="38" fillId="0" borderId="11" xfId="46" applyNumberFormat="1" applyFont="1" applyBorder="1" applyAlignment="1">
      <alignment horizontal="right" wrapText="1"/>
    </xf>
    <xf numFmtId="166" fontId="38" fillId="0" borderId="11" xfId="0" applyNumberFormat="1" applyFont="1" applyBorder="1"/>
    <xf numFmtId="166" fontId="19" fillId="0" borderId="11" xfId="46" applyNumberFormat="1" applyFont="1" applyBorder="1" applyAlignment="1">
      <alignment horizontal="right" wrapText="1"/>
    </xf>
    <xf numFmtId="166" fontId="19" fillId="0" borderId="11" xfId="0" applyNumberFormat="1" applyFont="1" applyBorder="1"/>
    <xf numFmtId="166" fontId="38" fillId="0" borderId="11" xfId="0" applyNumberFormat="1" applyFont="1" applyBorder="1" applyAlignment="1">
      <alignment horizontal="center" wrapText="1"/>
    </xf>
    <xf numFmtId="166" fontId="38" fillId="0" borderId="11" xfId="0" applyNumberFormat="1" applyFont="1" applyBorder="1" applyAlignment="1">
      <alignment horizontal="center"/>
    </xf>
    <xf numFmtId="172" fontId="38" fillId="0" borderId="11" xfId="0" applyNumberFormat="1" applyFont="1" applyBorder="1"/>
    <xf numFmtId="166" fontId="38" fillId="0" borderId="11" xfId="46" applyNumberFormat="1" applyFont="1" applyBorder="1" applyAlignment="1">
      <alignment horizontal="right"/>
    </xf>
    <xf numFmtId="166" fontId="19" fillId="0" borderId="11" xfId="0" quotePrefix="1" applyNumberFormat="1" applyFont="1" applyBorder="1" applyAlignment="1">
      <alignment horizontal="center"/>
    </xf>
    <xf numFmtId="166" fontId="19" fillId="0" borderId="11" xfId="46" applyNumberFormat="1" applyFont="1" applyBorder="1" applyAlignment="1">
      <alignment horizontal="center"/>
    </xf>
    <xf numFmtId="175" fontId="38" fillId="0" borderId="0" xfId="0" applyFont="1"/>
    <xf numFmtId="38" fontId="19" fillId="0" borderId="0" xfId="0" applyNumberFormat="1" applyFont="1"/>
    <xf numFmtId="165" fontId="19" fillId="0" borderId="0" xfId="0" applyNumberFormat="1" applyFont="1"/>
    <xf numFmtId="175" fontId="17" fillId="0" borderId="13" xfId="0" applyFont="1" applyBorder="1" applyProtection="1">
      <protection locked="0"/>
    </xf>
    <xf numFmtId="9" fontId="17" fillId="0" borderId="0" xfId="145" applyFont="1" applyProtection="1">
      <protection locked="0"/>
    </xf>
    <xf numFmtId="175" fontId="18" fillId="0" borderId="14" xfId="0" applyFont="1" applyBorder="1" applyAlignment="1" applyProtection="1">
      <alignment horizontal="center"/>
      <protection locked="0"/>
    </xf>
    <xf numFmtId="175" fontId="17" fillId="0" borderId="15" xfId="0" applyFont="1" applyBorder="1" applyProtection="1">
      <protection locked="0"/>
    </xf>
    <xf numFmtId="166" fontId="17" fillId="0" borderId="0" xfId="0" applyNumberFormat="1" applyFont="1" applyAlignment="1">
      <alignment horizontal="center"/>
    </xf>
    <xf numFmtId="173" fontId="17" fillId="0" borderId="0" xfId="0" applyNumberFormat="1" applyFont="1" applyAlignment="1">
      <alignment horizontal="center"/>
    </xf>
    <xf numFmtId="3" fontId="17" fillId="0" borderId="0" xfId="0" applyNumberFormat="1" applyFont="1" applyAlignment="1">
      <alignment horizontal="center"/>
    </xf>
    <xf numFmtId="165" fontId="17" fillId="0" borderId="0" xfId="0" applyNumberFormat="1" applyFont="1" applyAlignment="1">
      <alignment horizontal="center"/>
    </xf>
    <xf numFmtId="175" fontId="38" fillId="0" borderId="15" xfId="0" applyFont="1" applyBorder="1" applyAlignment="1" applyProtection="1">
      <alignment horizontal="center"/>
      <protection locked="0"/>
    </xf>
    <xf numFmtId="175" fontId="19" fillId="0" borderId="11" xfId="0" applyFont="1" applyBorder="1" applyProtection="1">
      <protection locked="0"/>
    </xf>
    <xf numFmtId="175" fontId="19" fillId="0" borderId="11" xfId="0" applyFont="1" applyBorder="1" applyAlignment="1" applyProtection="1">
      <alignment wrapText="1" shrinkToFit="1"/>
      <protection locked="0"/>
    </xf>
    <xf numFmtId="175" fontId="38" fillId="0" borderId="11" xfId="0" applyFont="1" applyBorder="1" applyProtection="1">
      <protection locked="0"/>
    </xf>
    <xf numFmtId="175" fontId="19" fillId="0" borderId="15" xfId="0" applyFont="1" applyBorder="1" applyProtection="1">
      <protection locked="0"/>
    </xf>
    <xf numFmtId="38" fontId="56" fillId="0" borderId="16" xfId="0" applyNumberFormat="1" applyFont="1" applyBorder="1" applyAlignment="1">
      <alignment horizontal="center"/>
    </xf>
    <xf numFmtId="172" fontId="19" fillId="0" borderId="11" xfId="0" quotePrefix="1" applyNumberFormat="1" applyFont="1" applyBorder="1" applyAlignment="1">
      <alignment horizontal="center"/>
    </xf>
    <xf numFmtId="172" fontId="19" fillId="0" borderId="11" xfId="0" quotePrefix="1" applyNumberFormat="1" applyFont="1" applyBorder="1" applyAlignment="1">
      <alignment horizontal="right"/>
    </xf>
    <xf numFmtId="38" fontId="19" fillId="0" borderId="11" xfId="0" applyNumberFormat="1" applyFont="1" applyBorder="1"/>
    <xf numFmtId="165" fontId="38" fillId="0" borderId="11" xfId="0" applyNumberFormat="1" applyFont="1" applyBorder="1"/>
    <xf numFmtId="172" fontId="38" fillId="0" borderId="11" xfId="46" applyNumberFormat="1" applyFont="1" applyBorder="1" applyAlignment="1">
      <alignment horizontal="right"/>
    </xf>
    <xf numFmtId="170" fontId="19" fillId="0" borderId="11" xfId="46" applyNumberFormat="1" applyFont="1" applyBorder="1" applyAlignment="1">
      <alignment horizontal="right"/>
    </xf>
    <xf numFmtId="169" fontId="38" fillId="0" borderId="11" xfId="46" applyNumberFormat="1" applyFont="1" applyBorder="1" applyAlignment="1">
      <alignment horizontal="right"/>
    </xf>
    <xf numFmtId="166" fontId="38" fillId="0" borderId="11" xfId="46" applyNumberFormat="1" applyFont="1" applyBorder="1" applyAlignment="1">
      <alignment horizontal="right" wrapText="1"/>
    </xf>
    <xf numFmtId="166" fontId="19" fillId="0" borderId="11" xfId="0" quotePrefix="1" applyNumberFormat="1" applyFont="1" applyBorder="1" applyAlignment="1">
      <alignment horizontal="right"/>
    </xf>
    <xf numFmtId="175" fontId="62" fillId="0" borderId="0" xfId="0" applyFont="1"/>
    <xf numFmtId="3" fontId="48" fillId="0" borderId="16" xfId="0" applyNumberFormat="1" applyFont="1" applyBorder="1" applyAlignment="1" applyProtection="1">
      <alignment horizontal="center"/>
      <protection locked="0"/>
    </xf>
    <xf numFmtId="3" fontId="17" fillId="0" borderId="19" xfId="0" applyNumberFormat="1" applyFont="1" applyBorder="1" applyAlignment="1" applyProtection="1">
      <alignment horizontal="center"/>
      <protection locked="0"/>
    </xf>
    <xf numFmtId="38" fontId="56" fillId="0" borderId="11" xfId="146" applyNumberFormat="1" applyFont="1" applyBorder="1" applyAlignment="1" applyProtection="1">
      <alignment horizontal="center"/>
      <protection locked="0"/>
    </xf>
    <xf numFmtId="175" fontId="38" fillId="0" borderId="11" xfId="0" applyFont="1" applyBorder="1" applyAlignment="1" applyProtection="1">
      <alignment horizontal="center" wrapText="1"/>
      <protection locked="0"/>
    </xf>
    <xf numFmtId="175" fontId="18" fillId="0" borderId="0" xfId="66" applyFont="1" applyProtection="1">
      <protection locked="0"/>
    </xf>
    <xf numFmtId="175" fontId="17" fillId="0" borderId="0" xfId="66" applyProtection="1">
      <protection locked="0"/>
    </xf>
    <xf numFmtId="175" fontId="17" fillId="0" borderId="30" xfId="66" applyBorder="1" applyProtection="1">
      <protection locked="0"/>
    </xf>
    <xf numFmtId="175" fontId="17" fillId="0" borderId="31" xfId="66" applyBorder="1" applyProtection="1">
      <protection locked="0"/>
    </xf>
    <xf numFmtId="175" fontId="17" fillId="0" borderId="32" xfId="66" applyBorder="1" applyProtection="1">
      <protection locked="0"/>
    </xf>
    <xf numFmtId="175" fontId="17" fillId="0" borderId="14" xfId="66" applyBorder="1" applyProtection="1">
      <protection locked="0"/>
    </xf>
    <xf numFmtId="175" fontId="18" fillId="0" borderId="11" xfId="66" applyFont="1" applyBorder="1" applyAlignment="1" applyProtection="1">
      <alignment horizontal="center" wrapText="1"/>
      <protection locked="0"/>
    </xf>
    <xf numFmtId="6" fontId="17" fillId="0" borderId="0" xfId="66" applyNumberFormat="1" applyProtection="1">
      <protection locked="0"/>
    </xf>
    <xf numFmtId="175" fontId="17" fillId="0" borderId="13" xfId="66" applyBorder="1" applyProtection="1">
      <protection locked="0"/>
    </xf>
    <xf numFmtId="164" fontId="17" fillId="0" borderId="35" xfId="66" applyNumberFormat="1" applyBorder="1" applyProtection="1">
      <protection locked="0"/>
    </xf>
    <xf numFmtId="175" fontId="17" fillId="0" borderId="35" xfId="66" applyBorder="1" applyProtection="1">
      <protection locked="0"/>
    </xf>
    <xf numFmtId="175" fontId="19" fillId="0" borderId="0" xfId="67" applyProtection="1">
      <protection locked="0"/>
    </xf>
    <xf numFmtId="175" fontId="19" fillId="0" borderId="11" xfId="67" applyBorder="1" applyProtection="1">
      <protection locked="0"/>
    </xf>
    <xf numFmtId="175" fontId="38" fillId="0" borderId="11" xfId="67" applyFont="1" applyBorder="1" applyProtection="1">
      <protection locked="0"/>
    </xf>
    <xf numFmtId="175" fontId="55" fillId="0" borderId="0" xfId="0" applyFont="1" applyProtection="1">
      <protection locked="0"/>
    </xf>
    <xf numFmtId="175" fontId="18" fillId="0" borderId="0" xfId="0" applyFont="1" applyProtection="1">
      <protection locked="0"/>
    </xf>
    <xf numFmtId="175" fontId="66" fillId="0" borderId="0" xfId="0" applyFont="1" applyAlignment="1">
      <alignment horizontal="left" vertical="center" indent="4"/>
    </xf>
    <xf numFmtId="175" fontId="18" fillId="0" borderId="0" xfId="0" applyFont="1" applyAlignment="1" applyProtection="1">
      <alignment horizontal="center"/>
      <protection locked="0"/>
    </xf>
    <xf numFmtId="17" fontId="18" fillId="0" borderId="0" xfId="0" quotePrefix="1" applyNumberFormat="1" applyFont="1" applyAlignment="1" applyProtection="1">
      <alignment horizontal="center"/>
      <protection locked="0"/>
    </xf>
    <xf numFmtId="175" fontId="0" fillId="47" borderId="0" xfId="0" applyFill="1"/>
    <xf numFmtId="17" fontId="18" fillId="47" borderId="0" xfId="0" quotePrefix="1" applyNumberFormat="1" applyFont="1" applyFill="1" applyAlignment="1" applyProtection="1">
      <alignment horizontal="center"/>
      <protection locked="0"/>
    </xf>
    <xf numFmtId="175" fontId="17" fillId="47" borderId="0" xfId="0" applyFont="1" applyFill="1" applyProtection="1">
      <protection locked="0"/>
    </xf>
    <xf numFmtId="175" fontId="54" fillId="0" borderId="0" xfId="0" applyFont="1" applyAlignment="1">
      <alignment horizontal="center"/>
    </xf>
    <xf numFmtId="38" fontId="17" fillId="0" borderId="19" xfId="0" applyNumberFormat="1" applyFont="1" applyBorder="1" applyAlignment="1">
      <alignment horizontal="center"/>
    </xf>
    <xf numFmtId="38" fontId="17" fillId="0" borderId="19" xfId="0" applyNumberFormat="1" applyFont="1" applyBorder="1" applyAlignment="1" applyProtection="1">
      <alignment horizontal="center"/>
      <protection locked="0"/>
    </xf>
    <xf numFmtId="175" fontId="17" fillId="0" borderId="16" xfId="0" applyFont="1" applyBorder="1" applyProtection="1">
      <protection locked="0"/>
    </xf>
    <xf numFmtId="3" fontId="17" fillId="0" borderId="23" xfId="0" applyNumberFormat="1" applyFont="1" applyBorder="1" applyAlignment="1">
      <alignment horizontal="center"/>
    </xf>
    <xf numFmtId="3" fontId="56" fillId="0" borderId="16" xfId="0" applyNumberFormat="1" applyFont="1" applyBorder="1" applyAlignment="1">
      <alignment horizontal="center"/>
    </xf>
    <xf numFmtId="175" fontId="17" fillId="47" borderId="0" xfId="66" applyFill="1"/>
    <xf numFmtId="175" fontId="18" fillId="47" borderId="0" xfId="0" applyFont="1" applyFill="1" applyAlignment="1" applyProtection="1">
      <alignment horizontal="center"/>
      <protection locked="0"/>
    </xf>
    <xf numFmtId="17" fontId="19" fillId="0" borderId="0" xfId="0" applyNumberFormat="1" applyFont="1" applyAlignment="1" applyProtection="1">
      <alignment horizontal="center"/>
      <protection locked="0"/>
    </xf>
    <xf numFmtId="175" fontId="38" fillId="48" borderId="11" xfId="0" applyFont="1" applyFill="1" applyBorder="1" applyAlignment="1" applyProtection="1">
      <alignment horizontal="center" vertical="center"/>
      <protection locked="0"/>
    </xf>
    <xf numFmtId="175" fontId="19" fillId="0" borderId="11" xfId="0" applyFont="1" applyBorder="1" applyAlignment="1" applyProtection="1">
      <alignment horizontal="left"/>
      <protection locked="0"/>
    </xf>
    <xf numFmtId="3" fontId="18" fillId="0" borderId="21" xfId="0" applyNumberFormat="1" applyFont="1" applyBorder="1" applyAlignment="1">
      <alignment horizontal="center" wrapText="1"/>
    </xf>
    <xf numFmtId="174" fontId="17" fillId="0" borderId="19" xfId="0" applyNumberFormat="1" applyFont="1" applyBorder="1"/>
    <xf numFmtId="175" fontId="18" fillId="0" borderId="41" xfId="0" applyFont="1" applyBorder="1" applyAlignment="1">
      <alignment horizontal="center"/>
    </xf>
    <xf numFmtId="4" fontId="17" fillId="0" borderId="26" xfId="0" applyNumberFormat="1" applyFont="1" applyBorder="1" applyAlignment="1">
      <alignment horizontal="right"/>
    </xf>
    <xf numFmtId="4" fontId="17" fillId="0" borderId="23" xfId="0" applyNumberFormat="1" applyFont="1" applyBorder="1" applyAlignment="1">
      <alignment horizontal="right"/>
    </xf>
    <xf numFmtId="175" fontId="18" fillId="0" borderId="16" xfId="0" applyFont="1" applyBorder="1" applyProtection="1">
      <protection locked="0"/>
    </xf>
    <xf numFmtId="175" fontId="18" fillId="0" borderId="18" xfId="0" applyFont="1" applyBorder="1" applyProtection="1">
      <protection locked="0"/>
    </xf>
    <xf numFmtId="175" fontId="18" fillId="0" borderId="21" xfId="0" applyFont="1" applyBorder="1" applyAlignment="1">
      <alignment horizontal="center"/>
    </xf>
    <xf numFmtId="175" fontId="18" fillId="0" borderId="40" xfId="0" applyFont="1" applyBorder="1" applyAlignment="1">
      <alignment horizontal="center"/>
    </xf>
    <xf numFmtId="175" fontId="18" fillId="0" borderId="22" xfId="0" applyFont="1" applyBorder="1" applyProtection="1">
      <protection locked="0"/>
    </xf>
    <xf numFmtId="175" fontId="43" fillId="0" borderId="0" xfId="0" applyFont="1" applyProtection="1">
      <protection locked="0"/>
    </xf>
    <xf numFmtId="3" fontId="43" fillId="0" borderId="0" xfId="0" applyNumberFormat="1" applyFont="1" applyProtection="1">
      <protection locked="0"/>
    </xf>
    <xf numFmtId="1" fontId="43" fillId="0" borderId="0" xfId="0" applyNumberFormat="1" applyFont="1" applyProtection="1">
      <protection locked="0"/>
    </xf>
    <xf numFmtId="175" fontId="19" fillId="47" borderId="0" xfId="67" applyFill="1" applyProtection="1">
      <protection locked="0"/>
    </xf>
    <xf numFmtId="175" fontId="17" fillId="47" borderId="0" xfId="66" applyFill="1" applyProtection="1">
      <protection locked="0"/>
    </xf>
    <xf numFmtId="17" fontId="18" fillId="47" borderId="0" xfId="0" applyNumberFormat="1" applyFont="1" applyFill="1" applyAlignment="1" applyProtection="1">
      <alignment horizontal="center"/>
      <protection locked="0"/>
    </xf>
    <xf numFmtId="175" fontId="19" fillId="47" borderId="0" xfId="0" applyFont="1" applyFill="1" applyProtection="1">
      <protection locked="0"/>
    </xf>
    <xf numFmtId="164" fontId="17" fillId="0" borderId="42" xfId="66" applyNumberFormat="1" applyBorder="1" applyProtection="1">
      <protection locked="0"/>
    </xf>
    <xf numFmtId="175" fontId="54" fillId="47" borderId="0" xfId="0" applyFont="1" applyFill="1" applyAlignment="1">
      <alignment horizontal="center"/>
    </xf>
    <xf numFmtId="175" fontId="18" fillId="0" borderId="42" xfId="66" applyFont="1" applyBorder="1" applyProtection="1">
      <protection locked="0"/>
    </xf>
    <xf numFmtId="175" fontId="18" fillId="47" borderId="0" xfId="0" applyFont="1" applyFill="1" applyProtection="1">
      <protection locked="0"/>
    </xf>
    <xf numFmtId="175" fontId="0" fillId="0" borderId="0" xfId="0" quotePrefix="1"/>
    <xf numFmtId="175" fontId="17" fillId="47" borderId="16" xfId="0" applyFont="1" applyFill="1" applyBorder="1"/>
    <xf numFmtId="3" fontId="56" fillId="47" borderId="16" xfId="0" applyNumberFormat="1" applyFont="1" applyFill="1" applyBorder="1" applyAlignment="1">
      <alignment horizontal="center"/>
    </xf>
    <xf numFmtId="175" fontId="18" fillId="0" borderId="36" xfId="66" quotePrefix="1" applyFont="1" applyBorder="1" applyAlignment="1">
      <alignment horizontal="left" wrapText="1" indent="1"/>
    </xf>
    <xf numFmtId="175" fontId="19" fillId="0" borderId="0" xfId="0" quotePrefix="1" applyFont="1" applyProtection="1">
      <protection locked="0"/>
    </xf>
    <xf numFmtId="168" fontId="53" fillId="0" borderId="0" xfId="52" applyNumberFormat="1" applyFont="1"/>
    <xf numFmtId="43" fontId="17" fillId="0" borderId="19" xfId="0" applyNumberFormat="1" applyFont="1" applyBorder="1" applyAlignment="1">
      <alignment horizontal="right"/>
    </xf>
    <xf numFmtId="175" fontId="17" fillId="47" borderId="13" xfId="0" applyFont="1" applyFill="1" applyBorder="1"/>
    <xf numFmtId="6" fontId="38" fillId="0" borderId="11" xfId="67" applyNumberFormat="1" applyFont="1" applyBorder="1" applyAlignment="1" applyProtection="1">
      <alignment horizontal="center"/>
      <protection locked="0"/>
    </xf>
    <xf numFmtId="4" fontId="17" fillId="0" borderId="19" xfId="0" applyNumberFormat="1" applyFont="1" applyBorder="1" applyAlignment="1">
      <alignment horizontal="right"/>
    </xf>
    <xf numFmtId="4" fontId="17" fillId="0" borderId="20" xfId="0" applyNumberFormat="1" applyFont="1" applyBorder="1" applyAlignment="1">
      <alignment horizontal="right"/>
    </xf>
    <xf numFmtId="2" fontId="17" fillId="0" borderId="19" xfId="0" applyNumberFormat="1" applyFont="1" applyBorder="1" applyAlignment="1">
      <alignment horizontal="right"/>
    </xf>
    <xf numFmtId="2" fontId="17" fillId="0" borderId="23" xfId="0" applyNumberFormat="1" applyFont="1" applyBorder="1" applyAlignment="1">
      <alignment horizontal="right"/>
    </xf>
    <xf numFmtId="165" fontId="17" fillId="0" borderId="26" xfId="0" applyNumberFormat="1" applyFont="1" applyBorder="1" applyAlignment="1">
      <alignment horizontal="right"/>
    </xf>
    <xf numFmtId="165" fontId="17" fillId="0" borderId="20" xfId="0" applyNumberFormat="1" applyFont="1" applyBorder="1" applyAlignment="1">
      <alignment horizontal="right"/>
    </xf>
    <xf numFmtId="175" fontId="71" fillId="0" borderId="0" xfId="0" applyFont="1" applyAlignment="1">
      <alignment vertical="center"/>
    </xf>
    <xf numFmtId="164" fontId="18" fillId="0" borderId="31" xfId="66" applyNumberFormat="1" applyFont="1" applyBorder="1" applyAlignment="1">
      <alignment horizontal="center"/>
    </xf>
    <xf numFmtId="175" fontId="17" fillId="0" borderId="0" xfId="66" applyAlignment="1">
      <alignment horizontal="center"/>
    </xf>
    <xf numFmtId="2" fontId="17" fillId="0" borderId="19" xfId="0" applyNumberFormat="1" applyFont="1" applyBorder="1"/>
    <xf numFmtId="2" fontId="17" fillId="0" borderId="20" xfId="0" applyNumberFormat="1" applyFont="1" applyBorder="1" applyAlignment="1">
      <alignment horizontal="right"/>
    </xf>
    <xf numFmtId="2" fontId="17" fillId="0" borderId="26" xfId="0" applyNumberFormat="1" applyFont="1" applyBorder="1" applyAlignment="1">
      <alignment horizontal="right"/>
    </xf>
    <xf numFmtId="2" fontId="17" fillId="0" borderId="23" xfId="0" applyNumberFormat="1" applyFont="1" applyBorder="1"/>
    <xf numFmtId="175" fontId="18" fillId="47" borderId="0" xfId="66" applyFont="1" applyFill="1" applyAlignment="1" applyProtection="1">
      <alignment horizontal="center"/>
      <protection locked="0"/>
    </xf>
    <xf numFmtId="171" fontId="18" fillId="47" borderId="0" xfId="0" applyNumberFormat="1" applyFont="1" applyFill="1" applyAlignment="1" applyProtection="1">
      <alignment horizontal="center"/>
      <protection locked="0"/>
    </xf>
    <xf numFmtId="175" fontId="71" fillId="0" borderId="0" xfId="0" applyFont="1" applyProtection="1">
      <protection locked="0"/>
    </xf>
    <xf numFmtId="175" fontId="71" fillId="0" borderId="0" xfId="0" applyFont="1"/>
    <xf numFmtId="175" fontId="71" fillId="0" borderId="0" xfId="0" applyFont="1" applyAlignment="1">
      <alignment vertical="top"/>
    </xf>
    <xf numFmtId="175" fontId="73" fillId="0" borderId="0" xfId="0" applyFont="1" applyAlignment="1" applyProtection="1">
      <alignment horizontal="left"/>
      <protection locked="0"/>
    </xf>
    <xf numFmtId="175" fontId="73" fillId="0" borderId="0" xfId="0" applyFont="1" applyAlignment="1">
      <alignment horizontal="left" vertical="top"/>
    </xf>
    <xf numFmtId="4" fontId="17" fillId="0" borderId="0" xfId="66" applyNumberFormat="1" applyProtection="1">
      <protection locked="0"/>
    </xf>
    <xf numFmtId="165" fontId="17" fillId="0" borderId="19" xfId="0" applyNumberFormat="1" applyFont="1" applyBorder="1" applyAlignment="1">
      <alignment horizontal="right"/>
    </xf>
    <xf numFmtId="165" fontId="17" fillId="0" borderId="24" xfId="0" applyNumberFormat="1" applyFont="1" applyBorder="1" applyAlignment="1">
      <alignment horizontal="right"/>
    </xf>
    <xf numFmtId="39" fontId="18" fillId="0" borderId="11" xfId="0" applyNumberFormat="1" applyFont="1" applyBorder="1" applyAlignment="1">
      <alignment horizontal="center"/>
    </xf>
    <xf numFmtId="6" fontId="17" fillId="0" borderId="0" xfId="66" applyNumberFormat="1" applyAlignment="1" applyProtection="1">
      <alignment horizontal="center"/>
      <protection locked="0"/>
    </xf>
    <xf numFmtId="40" fontId="17" fillId="0" borderId="19" xfId="0" applyNumberFormat="1" applyFont="1" applyBorder="1" applyAlignment="1">
      <alignment horizontal="right"/>
    </xf>
    <xf numFmtId="40" fontId="17" fillId="0" borderId="20" xfId="0" applyNumberFormat="1" applyFont="1" applyBorder="1" applyAlignment="1">
      <alignment horizontal="right"/>
    </xf>
    <xf numFmtId="175" fontId="18" fillId="0" borderId="14" xfId="66" applyFont="1" applyBorder="1" applyAlignment="1" applyProtection="1">
      <alignment horizontal="right"/>
      <protection locked="0"/>
    </xf>
    <xf numFmtId="175" fontId="18" fillId="0" borderId="14" xfId="66" quotePrefix="1" applyFont="1" applyBorder="1" applyAlignment="1" applyProtection="1">
      <alignment horizontal="right"/>
      <protection locked="0"/>
    </xf>
    <xf numFmtId="6" fontId="53" fillId="0" borderId="0" xfId="520" applyNumberFormat="1" applyFont="1"/>
    <xf numFmtId="175" fontId="71" fillId="47" borderId="0" xfId="66" applyFont="1" applyFill="1" applyProtection="1">
      <protection locked="0"/>
    </xf>
    <xf numFmtId="0" fontId="53" fillId="0" borderId="0" xfId="520" applyFont="1"/>
    <xf numFmtId="0" fontId="17" fillId="0" borderId="0" xfId="522"/>
    <xf numFmtId="168" fontId="53" fillId="0" borderId="0" xfId="520" applyNumberFormat="1" applyFont="1"/>
    <xf numFmtId="4" fontId="17" fillId="0" borderId="24" xfId="0" applyNumberFormat="1" applyFont="1" applyBorder="1" applyAlignment="1">
      <alignment horizontal="right"/>
    </xf>
    <xf numFmtId="175" fontId="38" fillId="0" borderId="0" xfId="67" applyFont="1"/>
    <xf numFmtId="3" fontId="56" fillId="47" borderId="17" xfId="0" applyNumberFormat="1" applyFont="1" applyFill="1" applyBorder="1" applyAlignment="1">
      <alignment horizontal="center"/>
    </xf>
    <xf numFmtId="175" fontId="17" fillId="47" borderId="16" xfId="0" applyFont="1" applyFill="1" applyBorder="1" applyProtection="1">
      <protection locked="0"/>
    </xf>
    <xf numFmtId="175" fontId="17" fillId="47" borderId="13" xfId="0" applyFont="1" applyFill="1" applyBorder="1" applyProtection="1">
      <protection locked="0"/>
    </xf>
    <xf numFmtId="175" fontId="18" fillId="0" borderId="28" xfId="0" applyFont="1" applyBorder="1" applyAlignment="1">
      <alignment horizontal="center"/>
    </xf>
    <xf numFmtId="3" fontId="17" fillId="0" borderId="11" xfId="0" applyNumberFormat="1" applyFont="1" applyBorder="1" applyAlignment="1">
      <alignment horizontal="left" vertical="center" wrapText="1"/>
    </xf>
    <xf numFmtId="175" fontId="38" fillId="0" borderId="11" xfId="0" applyFont="1" applyBorder="1" applyAlignment="1" applyProtection="1">
      <alignment horizontal="left"/>
      <protection locked="0"/>
    </xf>
    <xf numFmtId="175" fontId="38" fillId="47" borderId="11" xfId="0" applyFont="1" applyFill="1" applyBorder="1" applyAlignment="1" applyProtection="1">
      <alignment horizontal="left"/>
      <protection locked="0"/>
    </xf>
    <xf numFmtId="0" fontId="75" fillId="0" borderId="0" xfId="520" applyFont="1"/>
    <xf numFmtId="0" fontId="76" fillId="0" borderId="14" xfId="520" applyFont="1" applyBorder="1" applyAlignment="1">
      <alignment horizontal="center" vertical="center" wrapText="1"/>
    </xf>
    <xf numFmtId="6" fontId="75" fillId="0" borderId="0" xfId="520" applyNumberFormat="1" applyFont="1"/>
    <xf numFmtId="6" fontId="75" fillId="0" borderId="14" xfId="520" applyNumberFormat="1" applyFont="1" applyBorder="1"/>
    <xf numFmtId="0" fontId="75" fillId="46" borderId="0" xfId="520" applyFont="1" applyFill="1"/>
    <xf numFmtId="0" fontId="78" fillId="0" borderId="0" xfId="520" applyFont="1"/>
    <xf numFmtId="6" fontId="76" fillId="0" borderId="0" xfId="520" applyNumberFormat="1" applyFont="1"/>
    <xf numFmtId="165" fontId="19" fillId="47" borderId="0" xfId="0" applyNumberFormat="1" applyFont="1" applyFill="1" applyProtection="1">
      <protection locked="0"/>
    </xf>
    <xf numFmtId="6" fontId="75" fillId="0" borderId="34" xfId="520" applyNumberFormat="1" applyFont="1" applyBorder="1"/>
    <xf numFmtId="6" fontId="75" fillId="0" borderId="15" xfId="520" applyNumberFormat="1" applyFont="1" applyBorder="1"/>
    <xf numFmtId="0" fontId="75" fillId="0" borderId="16" xfId="520" applyFont="1" applyBorder="1"/>
    <xf numFmtId="175" fontId="17" fillId="0" borderId="46" xfId="66" applyBorder="1" applyProtection="1">
      <protection locked="0"/>
    </xf>
    <xf numFmtId="175" fontId="17" fillId="0" borderId="47" xfId="66" applyBorder="1" applyProtection="1">
      <protection locked="0"/>
    </xf>
    <xf numFmtId="166" fontId="19" fillId="0" borderId="11" xfId="46" applyNumberFormat="1" applyFont="1" applyBorder="1" applyAlignment="1" applyProtection="1">
      <alignment horizontal="right"/>
      <protection locked="0"/>
    </xf>
    <xf numFmtId="175" fontId="18" fillId="0" borderId="48" xfId="66" applyFont="1" applyBorder="1" applyProtection="1">
      <protection locked="0"/>
    </xf>
    <xf numFmtId="175" fontId="18" fillId="0" borderId="28" xfId="66" applyFont="1" applyBorder="1" applyProtection="1">
      <protection locked="0"/>
    </xf>
    <xf numFmtId="175" fontId="20" fillId="0" borderId="16" xfId="66" applyFont="1" applyBorder="1" applyAlignment="1">
      <alignment wrapText="1"/>
    </xf>
    <xf numFmtId="175" fontId="17" fillId="0" borderId="16" xfId="66" applyBorder="1" applyAlignment="1">
      <alignment horizontal="left" indent="1"/>
    </xf>
    <xf numFmtId="175" fontId="17" fillId="47" borderId="16" xfId="66" applyFill="1" applyBorder="1" applyAlignment="1">
      <alignment horizontal="left" indent="1"/>
    </xf>
    <xf numFmtId="175" fontId="18" fillId="0" borderId="16" xfId="66" applyFont="1" applyBorder="1"/>
    <xf numFmtId="175" fontId="17" fillId="0" borderId="16" xfId="66" quotePrefix="1" applyBorder="1" applyAlignment="1">
      <alignment horizontal="left" indent="1"/>
    </xf>
    <xf numFmtId="175" fontId="17" fillId="47" borderId="13" xfId="66" applyFill="1" applyBorder="1" applyProtection="1">
      <protection locked="0"/>
    </xf>
    <xf numFmtId="6" fontId="75" fillId="0" borderId="13" xfId="520" applyNumberFormat="1" applyFont="1" applyBorder="1"/>
    <xf numFmtId="175" fontId="64" fillId="0" borderId="0" xfId="66" applyFont="1" applyProtection="1">
      <protection locked="0"/>
    </xf>
    <xf numFmtId="175" fontId="17" fillId="0" borderId="16" xfId="66" applyBorder="1"/>
    <xf numFmtId="175" fontId="17" fillId="47" borderId="16" xfId="0" applyFont="1" applyFill="1" applyBorder="1" applyAlignment="1">
      <alignment horizontal="left"/>
    </xf>
    <xf numFmtId="175" fontId="18" fillId="0" borderId="45" xfId="66" applyFont="1" applyBorder="1" applyAlignment="1">
      <alignment horizontal="center"/>
    </xf>
    <xf numFmtId="175" fontId="18" fillId="0" borderId="45" xfId="66" applyFont="1" applyBorder="1" applyAlignment="1">
      <alignment horizontal="left"/>
    </xf>
    <xf numFmtId="175" fontId="17" fillId="0" borderId="45" xfId="66" applyBorder="1"/>
    <xf numFmtId="175" fontId="18" fillId="0" borderId="45" xfId="66" applyFont="1" applyBorder="1"/>
    <xf numFmtId="175" fontId="18" fillId="0" borderId="45" xfId="66" applyFont="1" applyBorder="1" applyAlignment="1">
      <alignment horizontal="left" indent="1"/>
    </xf>
    <xf numFmtId="175" fontId="18" fillId="0" borderId="45" xfId="66" applyFont="1" applyBorder="1" applyAlignment="1">
      <alignment horizontal="center" wrapText="1"/>
    </xf>
    <xf numFmtId="175" fontId="18" fillId="0" borderId="50" xfId="66" applyFont="1" applyBorder="1" applyAlignment="1">
      <alignment wrapText="1"/>
    </xf>
    <xf numFmtId="175" fontId="65" fillId="0" borderId="0" xfId="66" applyFont="1" applyProtection="1">
      <protection locked="0"/>
    </xf>
    <xf numFmtId="43" fontId="17" fillId="50" borderId="0" xfId="46" quotePrefix="1" applyFill="1" applyAlignment="1">
      <alignment horizontal="left"/>
    </xf>
    <xf numFmtId="43" fontId="17" fillId="50" borderId="34" xfId="46" quotePrefix="1" applyFill="1" applyBorder="1" applyAlignment="1">
      <alignment horizontal="left"/>
    </xf>
    <xf numFmtId="43" fontId="17" fillId="50" borderId="14" xfId="46" quotePrefix="1" applyFill="1" applyBorder="1" applyAlignment="1">
      <alignment horizontal="left"/>
    </xf>
    <xf numFmtId="43" fontId="17" fillId="50" borderId="15" xfId="46" quotePrefix="1" applyFill="1" applyBorder="1" applyAlignment="1">
      <alignment horizontal="left"/>
    </xf>
    <xf numFmtId="43" fontId="17" fillId="50" borderId="0" xfId="46" quotePrefix="1" applyFill="1" applyAlignment="1">
      <alignment horizontal="center"/>
    </xf>
    <xf numFmtId="175" fontId="18" fillId="47" borderId="21" xfId="0" applyFont="1" applyFill="1" applyBorder="1" applyAlignment="1">
      <alignment horizontal="center"/>
    </xf>
    <xf numFmtId="175" fontId="82" fillId="0" borderId="0" xfId="0" applyFont="1" applyAlignment="1" applyProtection="1">
      <alignment vertical="center"/>
      <protection locked="0"/>
    </xf>
    <xf numFmtId="175" fontId="83" fillId="0" borderId="0" xfId="0" applyFont="1" applyAlignment="1" applyProtection="1">
      <alignment vertical="center"/>
      <protection locked="0"/>
    </xf>
    <xf numFmtId="175" fontId="38" fillId="47" borderId="0" xfId="0" applyFont="1" applyFill="1" applyProtection="1">
      <protection locked="0"/>
    </xf>
    <xf numFmtId="43" fontId="17" fillId="0" borderId="0" xfId="46" applyProtection="1">
      <protection locked="0"/>
    </xf>
    <xf numFmtId="2" fontId="19" fillId="0" borderId="0" xfId="0" applyNumberFormat="1" applyFont="1" applyProtection="1">
      <protection locked="0"/>
    </xf>
    <xf numFmtId="0" fontId="19" fillId="0" borderId="11" xfId="67" applyNumberFormat="1" applyBorder="1" applyAlignment="1">
      <alignment horizontal="center" vertical="center" wrapText="1"/>
    </xf>
    <xf numFmtId="6" fontId="19" fillId="0" borderId="11" xfId="67" applyNumberFormat="1" applyBorder="1" applyAlignment="1">
      <alignment horizontal="center" vertical="center" wrapText="1"/>
    </xf>
    <xf numFmtId="175" fontId="19" fillId="0" borderId="11" xfId="67" applyBorder="1" applyAlignment="1">
      <alignment horizontal="left" vertical="center" wrapText="1"/>
    </xf>
    <xf numFmtId="14" fontId="19" fillId="0" borderId="11" xfId="67" applyNumberFormat="1" applyBorder="1" applyAlignment="1">
      <alignment horizontal="center" vertical="center" wrapText="1"/>
    </xf>
    <xf numFmtId="175" fontId="38" fillId="0" borderId="0" xfId="67" applyFont="1" applyAlignment="1">
      <alignment horizontal="center" vertical="center"/>
    </xf>
    <xf numFmtId="0" fontId="19" fillId="0" borderId="11" xfId="67" applyNumberFormat="1" applyBorder="1" applyAlignment="1" applyProtection="1">
      <alignment horizontal="center" vertical="center"/>
      <protection locked="0"/>
    </xf>
    <xf numFmtId="6" fontId="19" fillId="0" borderId="11" xfId="67" applyNumberFormat="1" applyBorder="1" applyAlignment="1" applyProtection="1">
      <alignment horizontal="center" vertical="center"/>
      <protection locked="0"/>
    </xf>
    <xf numFmtId="175" fontId="19" fillId="0" borderId="0" xfId="67" applyAlignment="1" applyProtection="1">
      <alignment vertical="center"/>
      <protection locked="0"/>
    </xf>
    <xf numFmtId="175" fontId="19" fillId="0" borderId="11" xfId="67" applyBorder="1" applyAlignment="1">
      <alignment horizontal="center" vertical="center" wrapText="1"/>
    </xf>
    <xf numFmtId="175" fontId="19" fillId="0" borderId="11" xfId="67" applyBorder="1" applyAlignment="1" applyProtection="1">
      <alignment horizontal="center" vertical="center" wrapText="1"/>
      <protection locked="0"/>
    </xf>
    <xf numFmtId="175" fontId="19" fillId="0" borderId="0" xfId="0" applyFont="1" applyAlignment="1">
      <alignment horizontal="center"/>
    </xf>
    <xf numFmtId="172" fontId="17" fillId="0" borderId="0" xfId="0" applyNumberFormat="1" applyFont="1"/>
    <xf numFmtId="175" fontId="43" fillId="0" borderId="0" xfId="0" applyFont="1"/>
    <xf numFmtId="3" fontId="43" fillId="0" borderId="0" xfId="0" applyNumberFormat="1" applyFont="1"/>
    <xf numFmtId="175" fontId="19" fillId="47" borderId="0" xfId="0" applyFont="1" applyFill="1" applyAlignment="1">
      <alignment horizontal="center"/>
    </xf>
    <xf numFmtId="0" fontId="17" fillId="0" borderId="0" xfId="66" applyNumberFormat="1"/>
    <xf numFmtId="175" fontId="17" fillId="47" borderId="0" xfId="66" applyFill="1" applyAlignment="1" applyProtection="1">
      <alignment horizontal="center"/>
      <protection locked="0"/>
    </xf>
    <xf numFmtId="171" fontId="17" fillId="47" borderId="0" xfId="66" applyNumberFormat="1" applyFill="1" applyAlignment="1" applyProtection="1">
      <alignment horizontal="center"/>
      <protection locked="0"/>
    </xf>
    <xf numFmtId="175" fontId="18" fillId="44" borderId="44" xfId="66" applyFont="1" applyFill="1" applyBorder="1" applyAlignment="1">
      <alignment horizontal="center"/>
    </xf>
    <xf numFmtId="175" fontId="18" fillId="0" borderId="44" xfId="0" applyFont="1" applyBorder="1" applyAlignment="1">
      <alignment wrapText="1"/>
    </xf>
    <xf numFmtId="175" fontId="18" fillId="0" borderId="49" xfId="66" applyFont="1" applyBorder="1" applyAlignment="1">
      <alignment horizontal="left"/>
    </xf>
    <xf numFmtId="0" fontId="76" fillId="0" borderId="17" xfId="520" applyFont="1" applyBorder="1"/>
    <xf numFmtId="175" fontId="80" fillId="0" borderId="0" xfId="0" quotePrefix="1" applyFont="1" applyAlignment="1">
      <alignment vertical="center"/>
    </xf>
    <xf numFmtId="175" fontId="80" fillId="0" borderId="0" xfId="0" quotePrefix="1" applyFont="1" applyProtection="1">
      <protection locked="0"/>
    </xf>
    <xf numFmtId="175" fontId="84" fillId="47" borderId="0" xfId="0" quotePrefix="1" applyFont="1" applyFill="1" applyProtection="1">
      <protection locked="0"/>
    </xf>
    <xf numFmtId="0" fontId="18" fillId="0" borderId="14" xfId="520" applyFont="1" applyBorder="1" applyAlignment="1">
      <alignment horizontal="center"/>
    </xf>
    <xf numFmtId="0" fontId="18" fillId="0" borderId="17" xfId="520" applyFont="1" applyBorder="1" applyAlignment="1">
      <alignment wrapText="1"/>
    </xf>
    <xf numFmtId="0" fontId="17" fillId="0" borderId="16" xfId="520" applyBorder="1" applyAlignment="1">
      <alignment horizontal="left" indent="2"/>
    </xf>
    <xf numFmtId="0" fontId="17" fillId="0" borderId="16" xfId="520" applyBorder="1" applyAlignment="1">
      <alignment horizontal="left" wrapText="1" indent="2"/>
    </xf>
    <xf numFmtId="0" fontId="87" fillId="0" borderId="16" xfId="520" applyFont="1" applyBorder="1"/>
    <xf numFmtId="0" fontId="57" fillId="0" borderId="17" xfId="520" applyFont="1" applyBorder="1"/>
    <xf numFmtId="175" fontId="18" fillId="47" borderId="0" xfId="0" applyFont="1" applyFill="1" applyAlignment="1" applyProtection="1">
      <alignment wrapText="1"/>
      <protection locked="0"/>
    </xf>
    <xf numFmtId="175" fontId="18" fillId="0" borderId="11" xfId="0" applyFont="1" applyBorder="1" applyAlignment="1">
      <alignment horizontal="center"/>
    </xf>
    <xf numFmtId="2" fontId="43" fillId="0" borderId="0" xfId="0" applyNumberFormat="1" applyFont="1" applyProtection="1">
      <protection locked="0"/>
    </xf>
    <xf numFmtId="2" fontId="17" fillId="0" borderId="0" xfId="0" applyNumberFormat="1" applyFont="1" applyProtection="1">
      <protection locked="0"/>
    </xf>
    <xf numFmtId="1" fontId="17" fillId="0" borderId="0" xfId="0" applyNumberFormat="1" applyFont="1" applyProtection="1">
      <protection locked="0"/>
    </xf>
    <xf numFmtId="1" fontId="17" fillId="0" borderId="56" xfId="0" applyNumberFormat="1" applyFont="1" applyBorder="1" applyProtection="1">
      <protection locked="0"/>
    </xf>
    <xf numFmtId="175" fontId="17" fillId="0" borderId="0" xfId="0" applyFont="1" applyAlignment="1" applyProtection="1">
      <alignment vertical="top"/>
      <protection locked="0"/>
    </xf>
    <xf numFmtId="175" fontId="88" fillId="0" borderId="0" xfId="0" applyFont="1" applyAlignment="1">
      <alignment horizontal="center" vertical="top"/>
    </xf>
    <xf numFmtId="175" fontId="88" fillId="0" borderId="55" xfId="0" applyFont="1" applyBorder="1" applyAlignment="1">
      <alignment horizontal="center" vertical="top"/>
    </xf>
    <xf numFmtId="1" fontId="59" fillId="0" borderId="56" xfId="0" applyNumberFormat="1" applyFont="1" applyBorder="1"/>
    <xf numFmtId="175" fontId="59" fillId="0" borderId="57" xfId="0" applyFont="1" applyBorder="1"/>
    <xf numFmtId="175" fontId="59" fillId="0" borderId="57" xfId="0" applyFont="1" applyBorder="1" applyProtection="1">
      <protection locked="0"/>
    </xf>
    <xf numFmtId="176" fontId="17" fillId="0" borderId="0" xfId="0" applyNumberFormat="1" applyFont="1" applyProtection="1">
      <protection locked="0"/>
    </xf>
    <xf numFmtId="0" fontId="17" fillId="0" borderId="0" xfId="0" applyNumberFormat="1" applyFont="1" applyAlignment="1" applyProtection="1">
      <alignment vertical="top"/>
      <protection locked="0"/>
    </xf>
    <xf numFmtId="0" fontId="5" fillId="0" borderId="0" xfId="888"/>
    <xf numFmtId="0" fontId="18" fillId="0" borderId="14" xfId="520" quotePrefix="1" applyFont="1" applyBorder="1" applyAlignment="1">
      <alignment horizontal="center"/>
    </xf>
    <xf numFmtId="3" fontId="17" fillId="47" borderId="34" xfId="0" applyNumberFormat="1" applyFont="1" applyFill="1" applyBorder="1" applyAlignment="1" applyProtection="1">
      <alignment wrapText="1"/>
      <protection locked="0"/>
    </xf>
    <xf numFmtId="165" fontId="17" fillId="47" borderId="0" xfId="0" applyNumberFormat="1" applyFont="1" applyFill="1" applyProtection="1">
      <protection locked="0"/>
    </xf>
    <xf numFmtId="172" fontId="19" fillId="47" borderId="11" xfId="46" applyNumberFormat="1" applyFont="1" applyFill="1" applyBorder="1" applyAlignment="1">
      <alignment horizontal="right"/>
    </xf>
    <xf numFmtId="3" fontId="17" fillId="0" borderId="60" xfId="0" applyNumberFormat="1" applyFont="1" applyBorder="1" applyAlignment="1">
      <alignment horizontal="left" vertical="center" wrapText="1"/>
    </xf>
    <xf numFmtId="175" fontId="71" fillId="0" borderId="0" xfId="66" applyFont="1" applyAlignment="1">
      <alignment wrapText="1"/>
    </xf>
    <xf numFmtId="164" fontId="18" fillId="0" borderId="0" xfId="66" applyNumberFormat="1" applyFont="1"/>
    <xf numFmtId="3" fontId="17" fillId="0" borderId="0" xfId="0" applyNumberFormat="1" applyFont="1" applyAlignment="1">
      <alignment horizontal="left" vertical="center" wrapText="1"/>
    </xf>
    <xf numFmtId="175" fontId="38" fillId="0" borderId="13" xfId="0" applyFont="1" applyBorder="1" applyAlignment="1">
      <alignment horizontal="center" wrapText="1"/>
    </xf>
    <xf numFmtId="175" fontId="18" fillId="0" borderId="11" xfId="0" quotePrefix="1" applyFont="1" applyBorder="1" applyAlignment="1">
      <alignment horizontal="center"/>
    </xf>
    <xf numFmtId="175" fontId="17" fillId="0" borderId="11" xfId="0" applyFont="1" applyBorder="1" applyAlignment="1">
      <alignment vertical="center"/>
    </xf>
    <xf numFmtId="175" fontId="17" fillId="0" borderId="28" xfId="0" applyFont="1" applyBorder="1" applyAlignment="1">
      <alignment vertical="center"/>
    </xf>
    <xf numFmtId="2" fontId="17" fillId="0" borderId="15" xfId="0" applyNumberFormat="1" applyFont="1" applyBorder="1" applyAlignment="1">
      <alignment vertical="center"/>
    </xf>
    <xf numFmtId="3" fontId="17" fillId="52" borderId="15" xfId="0" applyNumberFormat="1" applyFont="1" applyFill="1" applyBorder="1" applyAlignment="1">
      <alignment horizontal="center" vertical="center"/>
    </xf>
    <xf numFmtId="3" fontId="17" fillId="0" borderId="15" xfId="0" applyNumberFormat="1" applyFont="1" applyBorder="1" applyAlignment="1">
      <alignment horizontal="center" vertical="center"/>
    </xf>
    <xf numFmtId="2" fontId="17" fillId="52" borderId="15" xfId="0" applyNumberFormat="1" applyFont="1" applyFill="1" applyBorder="1" applyAlignment="1">
      <alignment vertical="center"/>
    </xf>
    <xf numFmtId="2" fontId="17" fillId="0" borderId="34" xfId="0" applyNumberFormat="1" applyFont="1" applyBorder="1" applyAlignment="1">
      <alignment vertical="center"/>
    </xf>
    <xf numFmtId="175" fontId="19" fillId="47" borderId="11" xfId="0" applyFont="1" applyFill="1" applyBorder="1" applyAlignment="1" applyProtection="1">
      <alignment horizontal="left"/>
      <protection locked="0"/>
    </xf>
    <xf numFmtId="175" fontId="72" fillId="0" borderId="0" xfId="67" applyFont="1" applyProtection="1">
      <protection locked="0"/>
    </xf>
    <xf numFmtId="175" fontId="72" fillId="0" borderId="0" xfId="67" quotePrefix="1" applyFont="1" applyProtection="1">
      <protection locked="0"/>
    </xf>
    <xf numFmtId="175" fontId="73" fillId="0" borderId="0" xfId="0" applyFont="1" applyAlignment="1">
      <alignment vertical="center"/>
    </xf>
    <xf numFmtId="175" fontId="71" fillId="47" borderId="0" xfId="782" applyFont="1" applyFill="1" applyAlignment="1">
      <alignment vertical="center"/>
    </xf>
    <xf numFmtId="175" fontId="64" fillId="0" borderId="0" xfId="66" applyFont="1"/>
    <xf numFmtId="175" fontId="64" fillId="0" borderId="0" xfId="0" applyFont="1" applyAlignment="1">
      <alignment vertical="center"/>
    </xf>
    <xf numFmtId="0" fontId="73" fillId="0" borderId="0" xfId="520" applyFont="1"/>
    <xf numFmtId="175" fontId="17" fillId="0" borderId="0" xfId="0" applyFont="1" applyAlignment="1">
      <alignment vertical="center"/>
    </xf>
    <xf numFmtId="2" fontId="17" fillId="0" borderId="0" xfId="0" applyNumberFormat="1" applyFont="1" applyAlignment="1">
      <alignment vertical="center"/>
    </xf>
    <xf numFmtId="3" fontId="17" fillId="0" borderId="0" xfId="0" applyNumberFormat="1" applyFont="1" applyAlignment="1">
      <alignment horizontal="center" vertical="center"/>
    </xf>
    <xf numFmtId="3" fontId="17" fillId="52" borderId="0" xfId="0" applyNumberFormat="1" applyFont="1" applyFill="1" applyAlignment="1">
      <alignment horizontal="center" vertical="center"/>
    </xf>
    <xf numFmtId="175" fontId="18" fillId="0" borderId="61" xfId="66" applyFont="1" applyBorder="1" applyAlignment="1">
      <alignment horizontal="center" wrapText="1"/>
    </xf>
    <xf numFmtId="175" fontId="64" fillId="0" borderId="0" xfId="0" quotePrefix="1" applyFont="1"/>
    <xf numFmtId="175" fontId="38" fillId="0" borderId="11" xfId="0" applyFont="1" applyBorder="1" applyAlignment="1" applyProtection="1">
      <alignment horizontal="center"/>
      <protection locked="0"/>
    </xf>
    <xf numFmtId="175" fontId="38" fillId="0" borderId="11" xfId="0" applyFont="1" applyBorder="1" applyAlignment="1">
      <alignment horizontal="center"/>
    </xf>
    <xf numFmtId="42" fontId="17" fillId="0" borderId="0" xfId="520" applyNumberFormat="1"/>
    <xf numFmtId="42" fontId="17" fillId="0" borderId="34" xfId="520" applyNumberFormat="1" applyBorder="1"/>
    <xf numFmtId="42" fontId="75" fillId="0" borderId="16" xfId="520" applyNumberFormat="1" applyFont="1" applyBorder="1"/>
    <xf numFmtId="42" fontId="75" fillId="0" borderId="0" xfId="520" applyNumberFormat="1" applyFont="1"/>
    <xf numFmtId="42" fontId="75" fillId="0" borderId="34" xfId="520" applyNumberFormat="1" applyFont="1" applyBorder="1"/>
    <xf numFmtId="42" fontId="75" fillId="0" borderId="14" xfId="520" applyNumberFormat="1" applyFont="1" applyBorder="1"/>
    <xf numFmtId="42" fontId="75" fillId="0" borderId="15" xfId="520" applyNumberFormat="1" applyFont="1" applyBorder="1"/>
    <xf numFmtId="42" fontId="17" fillId="0" borderId="16" xfId="520" applyNumberFormat="1" applyBorder="1"/>
    <xf numFmtId="42" fontId="17" fillId="0" borderId="17" xfId="520" applyNumberFormat="1" applyBorder="1"/>
    <xf numFmtId="42" fontId="17" fillId="0" borderId="15" xfId="520" applyNumberFormat="1" applyBorder="1"/>
    <xf numFmtId="42" fontId="17" fillId="49" borderId="17" xfId="520" applyNumberFormat="1" applyFill="1" applyBorder="1"/>
    <xf numFmtId="42" fontId="17" fillId="49" borderId="14" xfId="520" applyNumberFormat="1" applyFill="1" applyBorder="1"/>
    <xf numFmtId="42" fontId="75" fillId="45" borderId="0" xfId="520" applyNumberFormat="1" applyFont="1" applyFill="1"/>
    <xf numFmtId="42" fontId="17" fillId="0" borderId="13" xfId="520" applyNumberFormat="1" applyBorder="1"/>
    <xf numFmtId="42" fontId="17" fillId="0" borderId="0" xfId="66" applyNumberFormat="1" applyProtection="1">
      <protection locked="0"/>
    </xf>
    <xf numFmtId="42" fontId="17" fillId="0" borderId="16" xfId="66" applyNumberFormat="1" applyBorder="1" applyAlignment="1" applyProtection="1">
      <alignment horizontal="center"/>
      <protection locked="0"/>
    </xf>
    <xf numFmtId="42" fontId="17" fillId="0" borderId="0" xfId="66" applyNumberFormat="1" applyAlignment="1" applyProtection="1">
      <alignment horizontal="right"/>
      <protection locked="0"/>
    </xf>
    <xf numFmtId="175" fontId="18" fillId="47" borderId="0" xfId="66" applyFont="1" applyFill="1" applyAlignment="1" applyProtection="1">
      <alignment horizontal="left"/>
      <protection locked="0"/>
    </xf>
    <xf numFmtId="0" fontId="7" fillId="0" borderId="0" xfId="597"/>
    <xf numFmtId="43" fontId="0" fillId="50" borderId="0" xfId="46" applyFont="1" applyFill="1" applyAlignment="1">
      <alignment horizontal="left"/>
    </xf>
    <xf numFmtId="175" fontId="127" fillId="0" borderId="0" xfId="66" applyFont="1" applyAlignment="1">
      <alignment wrapText="1"/>
    </xf>
    <xf numFmtId="175" fontId="72" fillId="47" borderId="0" xfId="0" quotePrefix="1" applyFont="1" applyFill="1" applyProtection="1">
      <protection locked="0"/>
    </xf>
    <xf numFmtId="175" fontId="128" fillId="52" borderId="0" xfId="0" applyFont="1" applyFill="1"/>
    <xf numFmtId="175" fontId="17" fillId="0" borderId="13" xfId="0" applyFont="1" applyBorder="1" applyAlignment="1">
      <alignment vertical="center"/>
    </xf>
    <xf numFmtId="3" fontId="17" fillId="52" borderId="34" xfId="0" applyNumberFormat="1" applyFont="1" applyFill="1" applyBorder="1" applyAlignment="1">
      <alignment horizontal="center" vertical="center"/>
    </xf>
    <xf numFmtId="3" fontId="17" fillId="0" borderId="84" xfId="0" applyNumberFormat="1" applyFont="1" applyBorder="1" applyAlignment="1">
      <alignment horizontal="left" vertical="center" wrapText="1"/>
    </xf>
    <xf numFmtId="2" fontId="17" fillId="0" borderId="11" xfId="0" applyNumberFormat="1" applyFont="1" applyBorder="1" applyAlignment="1">
      <alignment vertical="center"/>
    </xf>
    <xf numFmtId="3" fontId="17" fillId="52" borderId="11" xfId="0" applyNumberFormat="1" applyFont="1" applyFill="1" applyBorder="1" applyAlignment="1">
      <alignment horizontal="center" vertical="center"/>
    </xf>
    <xf numFmtId="3" fontId="17" fillId="0" borderId="34" xfId="0" applyNumberFormat="1" applyFont="1" applyBorder="1" applyAlignment="1">
      <alignment horizontal="center" vertical="center"/>
    </xf>
    <xf numFmtId="3" fontId="17" fillId="0" borderId="11" xfId="0" applyNumberFormat="1" applyFont="1" applyBorder="1" applyAlignment="1">
      <alignment horizontal="center" vertical="center"/>
    </xf>
    <xf numFmtId="175" fontId="127" fillId="52" borderId="0" xfId="0" applyFont="1" applyFill="1"/>
    <xf numFmtId="175" fontId="59" fillId="0" borderId="28" xfId="0" applyFont="1" applyBorder="1" applyAlignment="1">
      <alignment vertical="center"/>
    </xf>
    <xf numFmtId="2" fontId="59" fillId="0" borderId="15" xfId="0" applyNumberFormat="1" applyFont="1" applyBorder="1" applyAlignment="1">
      <alignment vertical="center"/>
    </xf>
    <xf numFmtId="175" fontId="130" fillId="0" borderId="0" xfId="66" applyFont="1" applyProtection="1">
      <protection locked="0"/>
    </xf>
    <xf numFmtId="0" fontId="131" fillId="0" borderId="0" xfId="520" applyFont="1"/>
    <xf numFmtId="6" fontId="131" fillId="0" borderId="0" xfId="520" applyNumberFormat="1" applyFont="1"/>
    <xf numFmtId="168" fontId="131" fillId="0" borderId="0" xfId="52" applyNumberFormat="1" applyFont="1"/>
    <xf numFmtId="175" fontId="18" fillId="0" borderId="13" xfId="66" applyFont="1" applyBorder="1" applyAlignment="1" applyProtection="1">
      <alignment horizontal="center" wrapText="1"/>
      <protection locked="0"/>
    </xf>
    <xf numFmtId="0" fontId="64" fillId="0" borderId="0" xfId="66" applyNumberFormat="1" applyFont="1" applyAlignment="1">
      <alignment horizontal="left"/>
    </xf>
    <xf numFmtId="164" fontId="71" fillId="0" borderId="0" xfId="66" applyNumberFormat="1" applyFont="1"/>
    <xf numFmtId="175" fontId="18" fillId="47" borderId="50" xfId="66" applyFont="1" applyFill="1" applyBorder="1" applyAlignment="1">
      <alignment wrapText="1"/>
    </xf>
    <xf numFmtId="164" fontId="17" fillId="47" borderId="0" xfId="66" applyNumberFormat="1" applyFill="1"/>
    <xf numFmtId="6" fontId="17" fillId="0" borderId="83" xfId="66" applyNumberFormat="1" applyBorder="1" applyProtection="1">
      <protection locked="0"/>
    </xf>
    <xf numFmtId="6" fontId="17" fillId="0" borderId="13" xfId="66" applyNumberFormat="1" applyBorder="1" applyAlignment="1">
      <alignment horizontal="right"/>
    </xf>
    <xf numFmtId="167" fontId="17" fillId="0" borderId="13" xfId="66" applyNumberFormat="1" applyBorder="1" applyAlignment="1">
      <alignment horizontal="right"/>
    </xf>
    <xf numFmtId="167" fontId="17" fillId="0" borderId="11" xfId="66" applyNumberFormat="1" applyBorder="1" applyAlignment="1">
      <alignment horizontal="right"/>
    </xf>
    <xf numFmtId="167" fontId="17" fillId="0" borderId="11" xfId="66" applyNumberFormat="1" applyBorder="1"/>
    <xf numFmtId="167" fontId="17" fillId="0" borderId="13" xfId="66" applyNumberFormat="1" applyBorder="1"/>
    <xf numFmtId="167" fontId="17" fillId="47" borderId="13" xfId="66" applyNumberFormat="1" applyFill="1" applyBorder="1" applyAlignment="1">
      <alignment horizontal="right"/>
    </xf>
    <xf numFmtId="42" fontId="17" fillId="49" borderId="11" xfId="520" applyNumberFormat="1" applyFill="1" applyBorder="1"/>
    <xf numFmtId="175" fontId="18" fillId="0" borderId="49" xfId="66" applyFont="1" applyBorder="1"/>
    <xf numFmtId="175" fontId="18" fillId="0" borderId="85" xfId="66" applyFont="1" applyBorder="1"/>
    <xf numFmtId="175" fontId="18" fillId="0" borderId="85" xfId="66" applyFont="1" applyBorder="1" applyAlignment="1">
      <alignment horizontal="left" wrapText="1" indent="1"/>
    </xf>
    <xf numFmtId="175" fontId="18" fillId="0" borderId="85" xfId="66" applyFont="1" applyBorder="1" applyAlignment="1">
      <alignment horizontal="left" indent="1"/>
    </xf>
    <xf numFmtId="43" fontId="17" fillId="50" borderId="0" xfId="46" applyFill="1" applyAlignment="1">
      <alignment horizontal="left"/>
    </xf>
    <xf numFmtId="175" fontId="127" fillId="47" borderId="0" xfId="0" quotePrefix="1" applyFont="1" applyFill="1" applyAlignment="1">
      <alignment vertical="top" wrapText="1"/>
    </xf>
    <xf numFmtId="175" fontId="64" fillId="0" borderId="0" xfId="0" applyFont="1"/>
    <xf numFmtId="42" fontId="17" fillId="47" borderId="16" xfId="66" applyNumberFormat="1" applyFill="1" applyBorder="1" applyAlignment="1">
      <alignment horizontal="right"/>
    </xf>
    <xf numFmtId="41" fontId="17" fillId="0" borderId="0" xfId="66" applyNumberFormat="1" applyProtection="1">
      <protection locked="0"/>
    </xf>
    <xf numFmtId="177" fontId="17" fillId="0" borderId="0" xfId="66" applyNumberFormat="1" applyProtection="1">
      <protection locked="0"/>
    </xf>
    <xf numFmtId="178" fontId="17" fillId="0" borderId="0" xfId="66" applyNumberFormat="1"/>
    <xf numFmtId="178" fontId="17" fillId="0" borderId="45" xfId="66" applyNumberFormat="1" applyBorder="1"/>
    <xf numFmtId="178" fontId="17" fillId="0" borderId="0" xfId="66" applyNumberFormat="1" applyProtection="1">
      <protection locked="0"/>
    </xf>
    <xf numFmtId="178" fontId="17" fillId="0" borderId="14" xfId="66" applyNumberFormat="1" applyBorder="1" applyProtection="1">
      <protection locked="0"/>
    </xf>
    <xf numFmtId="178" fontId="18" fillId="0" borderId="39" xfId="66" applyNumberFormat="1" applyFont="1" applyBorder="1"/>
    <xf numFmtId="178" fontId="18" fillId="0" borderId="50" xfId="66" applyNumberFormat="1" applyFont="1" applyBorder="1"/>
    <xf numFmtId="178" fontId="18" fillId="47" borderId="39" xfId="66" applyNumberFormat="1" applyFont="1" applyFill="1" applyBorder="1"/>
    <xf numFmtId="178" fontId="18" fillId="47" borderId="50" xfId="66" applyNumberFormat="1" applyFont="1" applyFill="1" applyBorder="1"/>
    <xf numFmtId="42" fontId="17" fillId="0" borderId="16" xfId="66" applyNumberFormat="1" applyBorder="1"/>
    <xf numFmtId="42" fontId="17" fillId="0" borderId="13" xfId="66" applyNumberFormat="1" applyBorder="1"/>
    <xf numFmtId="42" fontId="17" fillId="0" borderId="0" xfId="66" applyNumberFormat="1"/>
    <xf numFmtId="42" fontId="17" fillId="47" borderId="13" xfId="66" applyNumberFormat="1" applyFill="1" applyBorder="1"/>
    <xf numFmtId="42" fontId="17" fillId="0" borderId="17" xfId="66" applyNumberFormat="1" applyBorder="1"/>
    <xf numFmtId="42" fontId="17" fillId="0" borderId="14" xfId="66" applyNumberFormat="1" applyBorder="1"/>
    <xf numFmtId="42" fontId="17" fillId="47" borderId="11" xfId="66" applyNumberFormat="1" applyFill="1" applyBorder="1"/>
    <xf numFmtId="42" fontId="17" fillId="0" borderId="11" xfId="66" applyNumberFormat="1" applyBorder="1"/>
    <xf numFmtId="42" fontId="17" fillId="0" borderId="14" xfId="66" applyNumberFormat="1" applyBorder="1" applyProtection="1">
      <protection locked="0"/>
    </xf>
    <xf numFmtId="42" fontId="17" fillId="47" borderId="13" xfId="66" applyNumberFormat="1" applyFill="1" applyBorder="1" applyProtection="1">
      <protection locked="0"/>
    </xf>
    <xf numFmtId="42" fontId="17" fillId="0" borderId="13" xfId="66" applyNumberFormat="1" applyBorder="1" applyProtection="1">
      <protection locked="0"/>
    </xf>
    <xf numFmtId="42" fontId="17" fillId="0" borderId="28" xfId="66" applyNumberFormat="1" applyBorder="1" applyProtection="1">
      <protection locked="0"/>
    </xf>
    <xf numFmtId="3" fontId="48" fillId="47" borderId="16" xfId="0" applyNumberFormat="1" applyFont="1" applyFill="1" applyBorder="1" applyAlignment="1" applyProtection="1">
      <alignment horizontal="center"/>
      <protection locked="0"/>
    </xf>
    <xf numFmtId="43" fontId="17" fillId="50" borderId="0" xfId="46" quotePrefix="1" applyFill="1" applyAlignment="1">
      <alignment horizontal="right"/>
    </xf>
    <xf numFmtId="42" fontId="59" fillId="0" borderId="17" xfId="520" applyNumberFormat="1" applyFont="1" applyBorder="1"/>
    <xf numFmtId="175" fontId="133" fillId="0" borderId="0" xfId="0" quotePrefix="1" applyFont="1" applyAlignment="1">
      <alignment vertical="center"/>
    </xf>
    <xf numFmtId="175" fontId="64" fillId="47" borderId="0" xfId="0" quotePrefix="1" applyFont="1" applyFill="1" applyAlignment="1">
      <alignment horizontal="left" vertical="top" wrapText="1"/>
    </xf>
    <xf numFmtId="175" fontId="64" fillId="0" borderId="0" xfId="0" quotePrefix="1" applyFont="1" applyAlignment="1">
      <alignment horizontal="left" vertical="justify"/>
    </xf>
    <xf numFmtId="175" fontId="64" fillId="52" borderId="0" xfId="0" quotePrefix="1" applyFont="1" applyFill="1" applyAlignment="1">
      <alignment vertical="justify"/>
    </xf>
    <xf numFmtId="175" fontId="64" fillId="52" borderId="0" xfId="0" applyFont="1" applyFill="1" applyAlignment="1">
      <alignment vertical="justify"/>
    </xf>
    <xf numFmtId="175" fontId="64" fillId="52" borderId="0" xfId="0" quotePrefix="1" applyFont="1" applyFill="1"/>
    <xf numFmtId="175" fontId="64" fillId="52" borderId="0" xfId="0" applyFont="1" applyFill="1"/>
    <xf numFmtId="175" fontId="64" fillId="0" borderId="0" xfId="0" applyFont="1" applyAlignment="1">
      <alignment horizontal="left" vertical="justify"/>
    </xf>
    <xf numFmtId="175" fontId="64" fillId="0" borderId="0" xfId="0" quotePrefix="1" applyFont="1" applyProtection="1">
      <protection locked="0"/>
    </xf>
    <xf numFmtId="175" fontId="134" fillId="47" borderId="0" xfId="0" applyFont="1" applyFill="1" applyProtection="1">
      <protection locked="0"/>
    </xf>
    <xf numFmtId="175" fontId="127" fillId="47" borderId="0" xfId="0" applyFont="1" applyFill="1" applyAlignment="1">
      <alignment vertical="top" wrapText="1"/>
    </xf>
    <xf numFmtId="168" fontId="17" fillId="0" borderId="0" xfId="66" applyNumberFormat="1" applyProtection="1">
      <protection locked="0"/>
    </xf>
    <xf numFmtId="44" fontId="68" fillId="0" borderId="0" xfId="50" applyFont="1" applyFill="1" applyAlignment="1">
      <alignment horizontal="center"/>
    </xf>
    <xf numFmtId="175" fontId="0" fillId="0" borderId="0" xfId="66" applyFont="1"/>
    <xf numFmtId="175" fontId="0" fillId="47" borderId="0" xfId="66" applyFont="1" applyFill="1"/>
    <xf numFmtId="175" fontId="0" fillId="0" borderId="0" xfId="66" applyFont="1" applyAlignment="1">
      <alignment horizontal="center"/>
    </xf>
    <xf numFmtId="175" fontId="0" fillId="0" borderId="97" xfId="66" applyFont="1" applyBorder="1"/>
    <xf numFmtId="175" fontId="0" fillId="0" borderId="45" xfId="66" applyFont="1" applyBorder="1"/>
    <xf numFmtId="178" fontId="0" fillId="0" borderId="0" xfId="66" applyNumberFormat="1" applyFont="1"/>
    <xf numFmtId="178" fontId="0" fillId="0" borderId="45" xfId="66" applyNumberFormat="1" applyFont="1" applyBorder="1"/>
    <xf numFmtId="164" fontId="0" fillId="0" borderId="0" xfId="66" applyNumberFormat="1" applyFont="1"/>
    <xf numFmtId="178" fontId="0" fillId="0" borderId="98" xfId="66" applyNumberFormat="1" applyFont="1" applyBorder="1"/>
    <xf numFmtId="178" fontId="0" fillId="0" borderId="85" xfId="66" applyNumberFormat="1" applyFont="1" applyBorder="1"/>
    <xf numFmtId="0" fontId="0" fillId="0" borderId="0" xfId="66" applyNumberFormat="1" applyFont="1"/>
    <xf numFmtId="178" fontId="0" fillId="0" borderId="0" xfId="66" applyNumberFormat="1" applyFont="1" applyProtection="1">
      <protection locked="0"/>
    </xf>
    <xf numFmtId="178" fontId="0" fillId="0" borderId="99" xfId="66" applyNumberFormat="1" applyFont="1" applyBorder="1"/>
    <xf numFmtId="178" fontId="0" fillId="0" borderId="14" xfId="66" applyNumberFormat="1" applyFont="1" applyBorder="1" applyProtection="1">
      <protection locked="0"/>
    </xf>
    <xf numFmtId="175" fontId="18" fillId="0" borderId="97" xfId="66" applyFont="1" applyBorder="1" applyAlignment="1">
      <alignment horizontal="left" indent="1"/>
    </xf>
    <xf numFmtId="178" fontId="0" fillId="0" borderId="97" xfId="66" applyNumberFormat="1" applyFont="1" applyBorder="1"/>
    <xf numFmtId="178" fontId="0" fillId="44" borderId="98" xfId="66" applyNumberFormat="1" applyFont="1" applyFill="1" applyBorder="1"/>
    <xf numFmtId="178" fontId="0" fillId="44" borderId="85" xfId="66" applyNumberFormat="1" applyFont="1" applyFill="1" applyBorder="1"/>
    <xf numFmtId="164" fontId="0" fillId="0" borderId="0" xfId="66" applyNumberFormat="1" applyFont="1" applyAlignment="1">
      <alignment horizontal="right"/>
    </xf>
    <xf numFmtId="164" fontId="0" fillId="44" borderId="0" xfId="66" applyNumberFormat="1" applyFont="1" applyFill="1"/>
    <xf numFmtId="164" fontId="0" fillId="47" borderId="0" xfId="66" applyNumberFormat="1" applyFont="1" applyFill="1"/>
    <xf numFmtId="175" fontId="127" fillId="47" borderId="0" xfId="66" applyFont="1" applyFill="1"/>
    <xf numFmtId="175" fontId="71" fillId="47" borderId="0" xfId="66" quotePrefix="1" applyFont="1" applyFill="1" applyAlignment="1" applyProtection="1">
      <alignment horizontal="left"/>
      <protection locked="0"/>
    </xf>
    <xf numFmtId="175" fontId="0" fillId="0" borderId="0" xfId="0" applyProtection="1">
      <protection locked="0"/>
    </xf>
    <xf numFmtId="175" fontId="64" fillId="47" borderId="0" xfId="0" quotePrefix="1" applyFont="1" applyFill="1" applyProtection="1">
      <protection locked="0"/>
    </xf>
    <xf numFmtId="175" fontId="18" fillId="0" borderId="44" xfId="0" applyFont="1" applyBorder="1" applyAlignment="1">
      <alignment horizontal="center" wrapText="1"/>
    </xf>
    <xf numFmtId="1" fontId="17" fillId="47" borderId="0" xfId="66" quotePrefix="1" applyNumberFormat="1" applyFill="1" applyAlignment="1" applyProtection="1">
      <alignment horizontal="center"/>
      <protection locked="0"/>
    </xf>
    <xf numFmtId="14" fontId="17" fillId="0" borderId="0" xfId="0" applyNumberFormat="1" applyFont="1"/>
    <xf numFmtId="16" fontId="17" fillId="0" borderId="0" xfId="0" applyNumberFormat="1" applyFont="1" applyAlignment="1">
      <alignment horizontal="right"/>
    </xf>
    <xf numFmtId="1" fontId="17" fillId="47" borderId="0" xfId="66" applyNumberFormat="1" applyFill="1" applyAlignment="1" applyProtection="1">
      <alignment horizontal="center"/>
      <protection locked="0"/>
    </xf>
    <xf numFmtId="43" fontId="88" fillId="0" borderId="98" xfId="0" applyNumberFormat="1" applyFont="1" applyBorder="1" applyAlignment="1" applyProtection="1">
      <alignment horizontal="center" vertical="top" wrapText="1"/>
      <protection locked="0"/>
    </xf>
    <xf numFmtId="43" fontId="88" fillId="0" borderId="96" xfId="0" applyNumberFormat="1" applyFont="1" applyBorder="1" applyAlignment="1" applyProtection="1">
      <alignment horizontal="center" vertical="top" wrapText="1"/>
      <protection locked="0"/>
    </xf>
    <xf numFmtId="175" fontId="18" fillId="0" borderId="96" xfId="0" applyFont="1" applyBorder="1" applyAlignment="1" applyProtection="1">
      <alignment horizontal="center"/>
      <protection locked="0"/>
    </xf>
    <xf numFmtId="175" fontId="18" fillId="0" borderId="96" xfId="0" quotePrefix="1" applyFont="1" applyBorder="1" applyAlignment="1">
      <alignment horizontal="center"/>
    </xf>
    <xf numFmtId="175" fontId="18" fillId="0" borderId="96" xfId="0" applyFont="1" applyBorder="1" applyProtection="1">
      <protection locked="0"/>
    </xf>
    <xf numFmtId="175" fontId="18" fillId="47" borderId="98" xfId="0" applyFont="1" applyFill="1" applyBorder="1" applyAlignment="1" applyProtection="1">
      <alignment horizontal="center" wrapText="1"/>
      <protection locked="0"/>
    </xf>
    <xf numFmtId="175" fontId="18" fillId="0" borderId="96" xfId="0" applyFont="1" applyBorder="1" applyAlignment="1" applyProtection="1">
      <alignment horizontal="center" wrapText="1"/>
      <protection locked="0"/>
    </xf>
    <xf numFmtId="175" fontId="18" fillId="0" borderId="100" xfId="0" applyFont="1" applyBorder="1" applyAlignment="1" applyProtection="1">
      <alignment horizontal="center" wrapText="1"/>
      <protection locked="0"/>
    </xf>
    <xf numFmtId="175" fontId="18" fillId="0" borderId="98" xfId="0" applyFont="1" applyBorder="1" applyAlignment="1" applyProtection="1">
      <alignment horizontal="center" wrapText="1"/>
      <protection locked="0"/>
    </xf>
    <xf numFmtId="175" fontId="18" fillId="0" borderId="96" xfId="0" applyFont="1" applyBorder="1" applyAlignment="1" applyProtection="1">
      <alignment horizontal="left"/>
      <protection locked="0"/>
    </xf>
    <xf numFmtId="175" fontId="18" fillId="0" borderId="98" xfId="0" applyFont="1" applyBorder="1" applyAlignment="1">
      <alignment horizontal="center" wrapText="1"/>
    </xf>
    <xf numFmtId="175" fontId="18" fillId="0" borderId="98" xfId="0" applyFont="1" applyBorder="1" applyAlignment="1">
      <alignment horizontal="center"/>
    </xf>
    <xf numFmtId="175" fontId="18" fillId="0" borderId="101" xfId="0" applyFont="1" applyBorder="1" applyAlignment="1">
      <alignment horizontal="center" wrapText="1"/>
    </xf>
    <xf numFmtId="175" fontId="18" fillId="0" borderId="100" xfId="0" applyFont="1" applyBorder="1" applyAlignment="1">
      <alignment horizontal="center"/>
    </xf>
    <xf numFmtId="175" fontId="18" fillId="0" borderId="100" xfId="0" applyFont="1" applyBorder="1" applyAlignment="1" applyProtection="1">
      <alignment horizontal="center"/>
      <protection locked="0"/>
    </xf>
    <xf numFmtId="3" fontId="18" fillId="0" borderId="99" xfId="0" applyNumberFormat="1" applyFont="1" applyBorder="1" applyAlignment="1">
      <alignment horizontal="center" wrapText="1"/>
    </xf>
    <xf numFmtId="3" fontId="18" fillId="0" borderId="101" xfId="0" applyNumberFormat="1" applyFont="1" applyBorder="1" applyAlignment="1">
      <alignment horizontal="center" wrapText="1"/>
    </xf>
    <xf numFmtId="2" fontId="18" fillId="0" borderId="98" xfId="0" applyNumberFormat="1" applyFont="1" applyBorder="1" applyAlignment="1">
      <alignment horizontal="center" wrapText="1"/>
    </xf>
    <xf numFmtId="3" fontId="18" fillId="0" borderId="98" xfId="0" applyNumberFormat="1" applyFont="1" applyBorder="1" applyAlignment="1">
      <alignment horizontal="center" wrapText="1"/>
    </xf>
    <xf numFmtId="3" fontId="18" fillId="47" borderId="98" xfId="0" applyNumberFormat="1" applyFont="1" applyFill="1" applyBorder="1" applyAlignment="1">
      <alignment horizontal="center" wrapText="1"/>
    </xf>
    <xf numFmtId="3" fontId="18" fillId="0" borderId="101" xfId="0" applyNumberFormat="1" applyFont="1" applyBorder="1" applyAlignment="1" applyProtection="1">
      <alignment horizontal="center" wrapText="1"/>
      <protection locked="0"/>
    </xf>
    <xf numFmtId="3" fontId="56" fillId="0" borderId="102" xfId="0" applyNumberFormat="1" applyFont="1" applyBorder="1" applyAlignment="1">
      <alignment horizontal="center"/>
    </xf>
    <xf numFmtId="43" fontId="17" fillId="50" borderId="103" xfId="46" quotePrefix="1" applyFill="1" applyBorder="1" applyAlignment="1">
      <alignment horizontal="left"/>
    </xf>
    <xf numFmtId="43" fontId="17" fillId="50" borderId="99" xfId="46" quotePrefix="1" applyFill="1" applyBorder="1" applyAlignment="1">
      <alignment horizontal="left"/>
    </xf>
    <xf numFmtId="3" fontId="17" fillId="0" borderId="103" xfId="0" applyNumberFormat="1" applyFont="1" applyBorder="1" applyAlignment="1" applyProtection="1">
      <alignment wrapText="1"/>
      <protection locked="0"/>
    </xf>
    <xf numFmtId="3" fontId="48" fillId="0" borderId="101" xfId="0" applyNumberFormat="1" applyFont="1" applyBorder="1" applyAlignment="1" applyProtection="1">
      <alignment horizontal="center"/>
      <protection locked="0"/>
    </xf>
    <xf numFmtId="175" fontId="0" fillId="0" borderId="103" xfId="0" applyBorder="1"/>
    <xf numFmtId="2" fontId="17" fillId="0" borderId="100" xfId="0" applyNumberFormat="1" applyFont="1" applyBorder="1" applyAlignment="1">
      <alignment vertical="center"/>
    </xf>
    <xf numFmtId="3" fontId="17" fillId="52" borderId="100" xfId="0" applyNumberFormat="1" applyFont="1" applyFill="1" applyBorder="1" applyAlignment="1">
      <alignment horizontal="center" vertical="center"/>
    </xf>
    <xf numFmtId="2" fontId="17" fillId="0" borderId="103" xfId="0" applyNumberFormat="1" applyFont="1" applyBorder="1" applyAlignment="1">
      <alignment vertical="center"/>
    </xf>
    <xf numFmtId="175" fontId="0" fillId="0" borderId="104" xfId="0" applyBorder="1"/>
    <xf numFmtId="175" fontId="38" fillId="0" borderId="104" xfId="0" applyFont="1" applyBorder="1" applyAlignment="1">
      <alignment horizontal="center" wrapText="1"/>
    </xf>
    <xf numFmtId="3" fontId="17" fillId="0" borderId="100" xfId="0" applyNumberFormat="1" applyFont="1" applyBorder="1" applyAlignment="1">
      <alignment horizontal="center" vertical="center"/>
    </xf>
    <xf numFmtId="2" fontId="59" fillId="0" borderId="100" xfId="0" applyNumberFormat="1" applyFont="1" applyBorder="1" applyAlignment="1">
      <alignment vertical="center"/>
    </xf>
    <xf numFmtId="3" fontId="17" fillId="0" borderId="104" xfId="0" applyNumberFormat="1" applyFont="1" applyBorder="1" applyAlignment="1">
      <alignment horizontal="left" vertical="center" wrapText="1"/>
    </xf>
    <xf numFmtId="175" fontId="38" fillId="0" borderId="101" xfId="0" applyFont="1" applyBorder="1" applyProtection="1">
      <protection locked="0"/>
    </xf>
    <xf numFmtId="172" fontId="38" fillId="0" borderId="101" xfId="0" quotePrefix="1" applyNumberFormat="1" applyFont="1" applyBorder="1" applyAlignment="1">
      <alignment horizontal="center"/>
    </xf>
    <xf numFmtId="172" fontId="38" fillId="0" borderId="101" xfId="0" applyNumberFormat="1" applyFont="1" applyBorder="1"/>
    <xf numFmtId="175" fontId="38" fillId="0" borderId="101" xfId="0" applyFont="1" applyBorder="1"/>
    <xf numFmtId="166" fontId="38" fillId="0" borderId="101" xfId="0" applyNumberFormat="1" applyFont="1" applyBorder="1"/>
    <xf numFmtId="175" fontId="38" fillId="0" borderId="101" xfId="0" applyFont="1" applyBorder="1" applyAlignment="1" applyProtection="1">
      <alignment horizontal="center"/>
      <protection locked="0"/>
    </xf>
    <xf numFmtId="175" fontId="38" fillId="0" borderId="101" xfId="0" applyFont="1" applyBorder="1" applyAlignment="1">
      <alignment horizontal="center"/>
    </xf>
    <xf numFmtId="166" fontId="38" fillId="0" borderId="101" xfId="0" applyNumberFormat="1" applyFont="1" applyBorder="1" applyAlignment="1">
      <alignment horizontal="center"/>
    </xf>
    <xf numFmtId="175" fontId="38" fillId="0" borderId="102" xfId="0" applyFont="1" applyBorder="1" applyProtection="1">
      <protection locked="0"/>
    </xf>
    <xf numFmtId="175" fontId="38" fillId="0" borderId="99" xfId="0" applyFont="1" applyBorder="1"/>
    <xf numFmtId="38" fontId="19" fillId="0" borderId="99" xfId="0" applyNumberFormat="1" applyFont="1" applyBorder="1"/>
    <xf numFmtId="165" fontId="38" fillId="0" borderId="99" xfId="0" applyNumberFormat="1" applyFont="1" applyBorder="1"/>
    <xf numFmtId="166" fontId="19" fillId="0" borderId="99" xfId="0" applyNumberFormat="1" applyFont="1" applyBorder="1"/>
    <xf numFmtId="166" fontId="38" fillId="0" borderId="99" xfId="0" applyNumberFormat="1" applyFont="1" applyBorder="1"/>
    <xf numFmtId="175" fontId="19" fillId="0" borderId="101" xfId="0" applyFont="1" applyBorder="1"/>
    <xf numFmtId="170" fontId="19" fillId="0" borderId="98" xfId="46" applyNumberFormat="1" applyFont="1" applyBorder="1" applyAlignment="1">
      <alignment horizontal="right"/>
    </xf>
    <xf numFmtId="169" fontId="38" fillId="0" borderId="98" xfId="46" applyNumberFormat="1" applyFont="1" applyBorder="1" applyAlignment="1">
      <alignment horizontal="right"/>
    </xf>
    <xf numFmtId="175" fontId="19" fillId="0" borderId="98" xfId="0" applyFont="1" applyBorder="1"/>
    <xf numFmtId="166" fontId="19" fillId="0" borderId="98" xfId="46" applyNumberFormat="1" applyFont="1" applyBorder="1" applyAlignment="1">
      <alignment horizontal="right"/>
    </xf>
    <xf numFmtId="166" fontId="19" fillId="0" borderId="98" xfId="0" applyNumberFormat="1" applyFont="1" applyBorder="1"/>
    <xf numFmtId="166" fontId="19" fillId="0" borderId="100" xfId="0" applyNumberFormat="1" applyFont="1" applyBorder="1"/>
    <xf numFmtId="172" fontId="38" fillId="0" borderId="101" xfId="0" applyNumberFormat="1" applyFont="1" applyBorder="1" applyAlignment="1">
      <alignment horizontal="right"/>
    </xf>
    <xf numFmtId="172" fontId="38" fillId="0" borderId="101" xfId="0" applyNumberFormat="1" applyFont="1" applyBorder="1" applyAlignment="1">
      <alignment horizontal="center"/>
    </xf>
    <xf numFmtId="166" fontId="38" fillId="0" borderId="101" xfId="0" quotePrefix="1" applyNumberFormat="1" applyFont="1" applyBorder="1" applyAlignment="1">
      <alignment horizontal="center"/>
    </xf>
    <xf numFmtId="166" fontId="19" fillId="0" borderId="101" xfId="0" applyNumberFormat="1" applyFont="1" applyBorder="1"/>
    <xf numFmtId="166" fontId="38" fillId="0" borderId="98" xfId="46" applyNumberFormat="1" applyFont="1" applyBorder="1" applyAlignment="1">
      <alignment horizontal="right"/>
    </xf>
    <xf numFmtId="166" fontId="38" fillId="0" borderId="101" xfId="0" applyNumberFormat="1" applyFont="1" applyBorder="1" applyAlignment="1">
      <alignment horizontal="right"/>
    </xf>
    <xf numFmtId="175" fontId="38" fillId="48" borderId="101" xfId="0" applyFont="1" applyFill="1" applyBorder="1" applyAlignment="1" applyProtection="1">
      <alignment horizontal="center" vertical="center"/>
      <protection locked="0"/>
    </xf>
    <xf numFmtId="175" fontId="38" fillId="0" borderId="104" xfId="0" applyFont="1" applyBorder="1" applyAlignment="1" applyProtection="1">
      <alignment horizontal="center" wrapText="1"/>
      <protection locked="0"/>
    </xf>
    <xf numFmtId="175" fontId="19" fillId="0" borderId="101" xfId="0" applyFont="1" applyBorder="1" applyAlignment="1" applyProtection="1">
      <alignment horizontal="left"/>
      <protection locked="0"/>
    </xf>
    <xf numFmtId="175" fontId="38" fillId="0" borderId="101" xfId="0" applyFont="1" applyBorder="1" applyAlignment="1" applyProtection="1">
      <alignment horizontal="right"/>
      <protection locked="0"/>
    </xf>
    <xf numFmtId="0" fontId="77" fillId="49" borderId="98" xfId="520" applyFont="1" applyFill="1" applyBorder="1"/>
    <xf numFmtId="0" fontId="57" fillId="49" borderId="98" xfId="520" applyFont="1" applyFill="1" applyBorder="1"/>
    <xf numFmtId="0" fontId="75" fillId="0" borderId="99" xfId="520" applyFont="1" applyBorder="1" applyAlignment="1">
      <alignment horizontal="center" vertical="center"/>
    </xf>
    <xf numFmtId="0" fontId="18" fillId="0" borderId="98" xfId="520" applyFont="1" applyBorder="1" applyAlignment="1">
      <alignment horizontal="center"/>
    </xf>
    <xf numFmtId="42" fontId="17" fillId="0" borderId="104" xfId="520" applyNumberFormat="1" applyBorder="1"/>
    <xf numFmtId="42" fontId="17" fillId="0" borderId="103" xfId="520" applyNumberFormat="1" applyBorder="1"/>
    <xf numFmtId="0" fontId="57" fillId="49" borderId="101" xfId="520" applyFont="1" applyFill="1" applyBorder="1"/>
    <xf numFmtId="42" fontId="17" fillId="49" borderId="98" xfId="520" applyNumberFormat="1" applyFill="1" applyBorder="1"/>
    <xf numFmtId="42" fontId="17" fillId="49" borderId="100" xfId="520" applyNumberFormat="1" applyFill="1" applyBorder="1"/>
    <xf numFmtId="42" fontId="75" fillId="49" borderId="98" xfId="520" applyNumberFormat="1" applyFont="1" applyFill="1" applyBorder="1"/>
    <xf numFmtId="42" fontId="17" fillId="0" borderId="102" xfId="520" applyNumberFormat="1" applyBorder="1"/>
    <xf numFmtId="42" fontId="75" fillId="49" borderId="100" xfId="520" applyNumberFormat="1" applyFont="1" applyFill="1" applyBorder="1"/>
    <xf numFmtId="0" fontId="76" fillId="0" borderId="102" xfId="520" applyFont="1" applyBorder="1"/>
    <xf numFmtId="42" fontId="75" fillId="0" borderId="102" xfId="520" applyNumberFormat="1" applyFont="1" applyBorder="1"/>
    <xf numFmtId="42" fontId="75" fillId="0" borderId="99" xfId="520" applyNumberFormat="1" applyFont="1" applyBorder="1"/>
    <xf numFmtId="42" fontId="75" fillId="0" borderId="103" xfId="520" applyNumberFormat="1" applyFont="1" applyBorder="1"/>
    <xf numFmtId="175" fontId="17" fillId="0" borderId="98" xfId="66" applyBorder="1" applyProtection="1">
      <protection locked="0"/>
    </xf>
    <xf numFmtId="175" fontId="17" fillId="0" borderId="100" xfId="66" applyBorder="1" applyProtection="1">
      <protection locked="0"/>
    </xf>
    <xf numFmtId="175" fontId="17" fillId="0" borderId="105" xfId="66" applyBorder="1" applyProtection="1">
      <protection locked="0"/>
    </xf>
    <xf numFmtId="175" fontId="18" fillId="0" borderId="101" xfId="66" applyFont="1" applyBorder="1" applyAlignment="1" applyProtection="1">
      <alignment horizontal="center"/>
      <protection locked="0"/>
    </xf>
    <xf numFmtId="175" fontId="18" fillId="0" borderId="101" xfId="66" applyFont="1" applyBorder="1" applyAlignment="1" applyProtection="1">
      <alignment horizontal="right"/>
      <protection locked="0"/>
    </xf>
    <xf numFmtId="6" fontId="17" fillId="0" borderId="102" xfId="66" applyNumberFormat="1" applyBorder="1" applyAlignment="1">
      <alignment horizontal="right"/>
    </xf>
    <xf numFmtId="6" fontId="17" fillId="0" borderId="99" xfId="66" applyNumberFormat="1" applyBorder="1" applyProtection="1">
      <protection locked="0"/>
    </xf>
    <xf numFmtId="175" fontId="18" fillId="0" borderId="101" xfId="66" applyFont="1" applyBorder="1"/>
    <xf numFmtId="42" fontId="17" fillId="0" borderId="101" xfId="66" applyNumberFormat="1" applyBorder="1"/>
    <xf numFmtId="42" fontId="17" fillId="0" borderId="98" xfId="66" applyNumberFormat="1" applyBorder="1"/>
    <xf numFmtId="42" fontId="17" fillId="0" borderId="102" xfId="66" applyNumberFormat="1" applyBorder="1"/>
    <xf numFmtId="42" fontId="17" fillId="47" borderId="104" xfId="66" applyNumberFormat="1" applyFill="1" applyBorder="1"/>
    <xf numFmtId="175" fontId="18" fillId="0" borderId="101" xfId="66" applyFont="1" applyBorder="1" applyAlignment="1">
      <alignment wrapText="1"/>
    </xf>
    <xf numFmtId="42" fontId="17" fillId="47" borderId="101" xfId="66" applyNumberFormat="1" applyFill="1" applyBorder="1"/>
    <xf numFmtId="175" fontId="18" fillId="0" borderId="102" xfId="66" applyFont="1" applyBorder="1" applyAlignment="1" applyProtection="1">
      <alignment wrapText="1"/>
      <protection locked="0"/>
    </xf>
    <xf numFmtId="178" fontId="17" fillId="0" borderId="98" xfId="66" applyNumberFormat="1" applyBorder="1"/>
    <xf numFmtId="178" fontId="17" fillId="0" borderId="85" xfId="66" applyNumberFormat="1" applyBorder="1"/>
    <xf numFmtId="178" fontId="17" fillId="0" borderId="99" xfId="66" applyNumberFormat="1" applyBorder="1"/>
    <xf numFmtId="175" fontId="18" fillId="0" borderId="106" xfId="66" applyFont="1" applyBorder="1" applyAlignment="1">
      <alignment horizontal="left" indent="1"/>
    </xf>
    <xf numFmtId="178" fontId="17" fillId="0" borderId="97" xfId="66" applyNumberFormat="1" applyBorder="1"/>
    <xf numFmtId="178" fontId="17" fillId="44" borderId="98" xfId="66" applyNumberFormat="1" applyFill="1" applyBorder="1"/>
    <xf numFmtId="178" fontId="17" fillId="44" borderId="85" xfId="66" applyNumberFormat="1" applyFill="1" applyBorder="1"/>
    <xf numFmtId="175" fontId="17" fillId="0" borderId="97" xfId="66" applyBorder="1"/>
    <xf numFmtId="0" fontId="2" fillId="0" borderId="0" xfId="597" applyFont="1"/>
    <xf numFmtId="171" fontId="18" fillId="47" borderId="0" xfId="0" quotePrefix="1" applyNumberFormat="1" applyFont="1" applyFill="1" applyAlignment="1" applyProtection="1">
      <alignment horizontal="center"/>
      <protection locked="0"/>
    </xf>
    <xf numFmtId="175" fontId="18" fillId="47" borderId="96" xfId="66" applyFont="1" applyFill="1" applyBorder="1" applyAlignment="1">
      <alignment horizontal="center"/>
    </xf>
    <xf numFmtId="171" fontId="18" fillId="47" borderId="96" xfId="66" applyNumberFormat="1" applyFont="1" applyFill="1" applyBorder="1" applyAlignment="1">
      <alignment horizontal="center"/>
    </xf>
    <xf numFmtId="175" fontId="18" fillId="47" borderId="96" xfId="66" applyFont="1" applyFill="1" applyBorder="1" applyAlignment="1">
      <alignment horizontal="center" wrapText="1"/>
    </xf>
    <xf numFmtId="175" fontId="17" fillId="0" borderId="96" xfId="0" applyFont="1" applyBorder="1"/>
    <xf numFmtId="1" fontId="17" fillId="47" borderId="96" xfId="66" quotePrefix="1" applyNumberFormat="1" applyFill="1" applyBorder="1" applyAlignment="1" applyProtection="1">
      <alignment horizontal="center"/>
      <protection locked="0"/>
    </xf>
    <xf numFmtId="14" fontId="17" fillId="0" borderId="96" xfId="0" applyNumberFormat="1" applyFont="1" applyBorder="1"/>
    <xf numFmtId="175" fontId="17" fillId="47" borderId="96" xfId="66" applyFill="1" applyBorder="1" applyAlignment="1" applyProtection="1">
      <alignment horizontal="center"/>
      <protection locked="0"/>
    </xf>
    <xf numFmtId="2" fontId="17" fillId="47" borderId="96" xfId="66" applyNumberFormat="1" applyFill="1" applyBorder="1" applyProtection="1">
      <protection locked="0"/>
    </xf>
    <xf numFmtId="16" fontId="17" fillId="0" borderId="96" xfId="0" applyNumberFormat="1" applyFont="1" applyBorder="1" applyAlignment="1">
      <alignment horizontal="right"/>
    </xf>
    <xf numFmtId="1" fontId="17" fillId="47" borderId="96" xfId="66" applyNumberFormat="1" applyFill="1" applyBorder="1" applyAlignment="1" applyProtection="1">
      <alignment horizontal="center"/>
      <protection locked="0"/>
    </xf>
    <xf numFmtId="2" fontId="17" fillId="47" borderId="0" xfId="66" applyNumberFormat="1" applyFill="1" applyProtection="1">
      <protection locked="0"/>
    </xf>
    <xf numFmtId="175" fontId="137" fillId="0" borderId="0" xfId="0" quotePrefix="1" applyFont="1" applyAlignment="1">
      <alignment vertical="center"/>
    </xf>
    <xf numFmtId="175" fontId="18" fillId="47" borderId="0" xfId="782" applyFont="1" applyFill="1" applyAlignment="1">
      <alignment vertical="center"/>
    </xf>
    <xf numFmtId="178" fontId="69" fillId="0" borderId="0" xfId="66" applyNumberFormat="1" applyFont="1" applyFill="1"/>
    <xf numFmtId="178" fontId="18" fillId="47" borderId="107" xfId="66" applyNumberFormat="1" applyFont="1" applyFill="1" applyBorder="1"/>
    <xf numFmtId="178" fontId="18" fillId="47" borderId="108" xfId="66" applyNumberFormat="1" applyFont="1" applyFill="1" applyBorder="1"/>
    <xf numFmtId="178" fontId="18" fillId="47" borderId="109" xfId="66" applyNumberFormat="1" applyFont="1" applyFill="1" applyBorder="1"/>
    <xf numFmtId="175" fontId="18" fillId="47" borderId="51" xfId="66" applyFont="1" applyFill="1" applyBorder="1" applyAlignment="1">
      <alignment wrapText="1"/>
    </xf>
    <xf numFmtId="178" fontId="18" fillId="47" borderId="110" xfId="66" applyNumberFormat="1" applyFont="1" applyFill="1" applyBorder="1"/>
    <xf numFmtId="178" fontId="18" fillId="0" borderId="99" xfId="66" applyNumberFormat="1" applyFont="1" applyBorder="1"/>
    <xf numFmtId="164" fontId="18" fillId="0" borderId="0" xfId="66" applyNumberFormat="1" applyFont="1" applyBorder="1"/>
    <xf numFmtId="178" fontId="68" fillId="0" borderId="0" xfId="50" applyNumberFormat="1" applyFont="1" applyFill="1" applyBorder="1" applyAlignment="1"/>
    <xf numFmtId="175" fontId="17" fillId="0" borderId="0" xfId="66" applyFont="1" applyProtection="1">
      <protection locked="0"/>
    </xf>
    <xf numFmtId="0" fontId="1" fillId="0" borderId="0" xfId="5687"/>
    <xf numFmtId="178" fontId="142" fillId="0" borderId="0" xfId="66" applyNumberFormat="1" applyFont="1"/>
    <xf numFmtId="178" fontId="142" fillId="0" borderId="0" xfId="66" applyNumberFormat="1" applyFont="1" applyProtection="1">
      <protection locked="0"/>
    </xf>
    <xf numFmtId="178" fontId="142" fillId="44" borderId="98" xfId="66" applyNumberFormat="1" applyFont="1" applyFill="1" applyBorder="1"/>
    <xf numFmtId="178" fontId="142" fillId="0" borderId="98" xfId="66" applyNumberFormat="1" applyFont="1" applyBorder="1"/>
    <xf numFmtId="175" fontId="18" fillId="0" borderId="51" xfId="66" applyFont="1" applyBorder="1" applyAlignment="1">
      <alignment wrapText="1"/>
    </xf>
    <xf numFmtId="178" fontId="18" fillId="0" borderId="51" xfId="66" applyNumberFormat="1" applyFont="1" applyBorder="1"/>
    <xf numFmtId="178" fontId="18" fillId="47" borderId="111" xfId="66" applyNumberFormat="1" applyFont="1" applyFill="1" applyBorder="1"/>
    <xf numFmtId="178" fontId="18" fillId="47" borderId="35" xfId="66" applyNumberFormat="1" applyFont="1" applyFill="1" applyBorder="1"/>
    <xf numFmtId="178" fontId="18" fillId="47" borderId="47" xfId="66" applyNumberFormat="1" applyFont="1" applyFill="1" applyBorder="1"/>
    <xf numFmtId="42" fontId="17" fillId="0" borderId="16" xfId="66" applyNumberFormat="1" applyBorder="1" applyAlignment="1"/>
    <xf numFmtId="42" fontId="17" fillId="0" borderId="17" xfId="66" applyNumberFormat="1" applyBorder="1" applyAlignment="1"/>
    <xf numFmtId="178" fontId="18" fillId="47" borderId="113" xfId="66" applyNumberFormat="1" applyFont="1" applyFill="1" applyBorder="1"/>
    <xf numFmtId="0" fontId="53" fillId="0" borderId="0" xfId="520" applyFont="1" applyFill="1"/>
    <xf numFmtId="0" fontId="18" fillId="0" borderId="0" xfId="522" applyFont="1" applyFill="1" applyAlignment="1" applyProtection="1">
      <alignment horizontal="center"/>
      <protection locked="0"/>
    </xf>
    <xf numFmtId="0" fontId="17" fillId="0" borderId="0" xfId="522" applyFill="1"/>
    <xf numFmtId="17" fontId="18" fillId="0" borderId="0" xfId="522" quotePrefix="1" applyNumberFormat="1" applyFont="1" applyFill="1" applyAlignment="1" applyProtection="1">
      <alignment horizontal="center"/>
      <protection locked="0"/>
    </xf>
    <xf numFmtId="0" fontId="75" fillId="0" borderId="0" xfId="520" applyFont="1" applyFill="1"/>
    <xf numFmtId="0" fontId="17" fillId="0" borderId="16" xfId="520" applyFill="1" applyBorder="1" applyAlignment="1">
      <alignment horizontal="left" wrapText="1" indent="2"/>
    </xf>
    <xf numFmtId="180" fontId="57" fillId="49" borderId="101" xfId="520" applyNumberFormat="1" applyFont="1" applyFill="1" applyBorder="1"/>
    <xf numFmtId="181" fontId="76" fillId="0" borderId="0" xfId="520" applyNumberFormat="1" applyFont="1"/>
    <xf numFmtId="0" fontId="17" fillId="0" borderId="0" xfId="66" applyNumberFormat="1" applyFont="1" applyAlignment="1">
      <alignment horizontal="left"/>
    </xf>
    <xf numFmtId="175" fontId="17" fillId="0" borderId="16" xfId="66" applyFill="1" applyBorder="1" applyAlignment="1">
      <alignment horizontal="left" indent="1"/>
    </xf>
    <xf numFmtId="42" fontId="17" fillId="0" borderId="16" xfId="66" applyNumberFormat="1" applyFill="1" applyBorder="1" applyAlignment="1"/>
    <xf numFmtId="42" fontId="17" fillId="0" borderId="13" xfId="66" applyNumberFormat="1" applyFill="1" applyBorder="1"/>
    <xf numFmtId="42" fontId="17" fillId="0" borderId="0" xfId="66" applyNumberFormat="1" applyFill="1"/>
    <xf numFmtId="167" fontId="17" fillId="0" borderId="13" xfId="66" applyNumberFormat="1" applyFill="1" applyBorder="1" applyAlignment="1">
      <alignment horizontal="right"/>
    </xf>
    <xf numFmtId="175" fontId="64" fillId="0" borderId="0" xfId="66" applyFont="1" applyFill="1" applyProtection="1">
      <protection locked="0"/>
    </xf>
    <xf numFmtId="175" fontId="17" fillId="0" borderId="0" xfId="66" applyFill="1" applyProtection="1">
      <protection locked="0"/>
    </xf>
    <xf numFmtId="175" fontId="69" fillId="0" borderId="0" xfId="66" applyFont="1" applyFill="1"/>
    <xf numFmtId="175" fontId="68" fillId="0" borderId="0" xfId="0" applyFont="1" applyFill="1" applyAlignment="1" applyProtection="1">
      <alignment horizontal="center"/>
      <protection locked="0"/>
    </xf>
    <xf numFmtId="44" fontId="69" fillId="0" borderId="0" xfId="50" applyFont="1" applyFill="1"/>
    <xf numFmtId="175" fontId="141" fillId="0" borderId="0" xfId="66" applyFont="1" applyFill="1"/>
    <xf numFmtId="17" fontId="68" fillId="0" borderId="0" xfId="0" applyNumberFormat="1" applyFont="1" applyFill="1" applyAlignment="1" applyProtection="1">
      <alignment horizontal="center"/>
      <protection locked="0"/>
    </xf>
    <xf numFmtId="44" fontId="69" fillId="0" borderId="0" xfId="5685" applyFont="1" applyFill="1"/>
    <xf numFmtId="175" fontId="68" fillId="0" borderId="29" xfId="66" applyFont="1" applyFill="1" applyBorder="1"/>
    <xf numFmtId="175" fontId="69" fillId="0" borderId="31" xfId="66" applyFont="1" applyFill="1" applyBorder="1"/>
    <xf numFmtId="44" fontId="69" fillId="0" borderId="31" xfId="50" applyFont="1" applyFill="1" applyBorder="1"/>
    <xf numFmtId="175" fontId="69" fillId="0" borderId="44" xfId="66" applyFont="1" applyFill="1" applyBorder="1"/>
    <xf numFmtId="175" fontId="68" fillId="0" borderId="36" xfId="66" applyFont="1" applyFill="1" applyBorder="1" applyAlignment="1">
      <alignment horizontal="center"/>
    </xf>
    <xf numFmtId="175" fontId="68" fillId="0" borderId="98" xfId="66" applyFont="1" applyFill="1" applyBorder="1" applyAlignment="1">
      <alignment horizontal="right"/>
    </xf>
    <xf numFmtId="44" fontId="68" fillId="0" borderId="98" xfId="50" applyFont="1" applyFill="1" applyBorder="1" applyAlignment="1">
      <alignment horizontal="right"/>
    </xf>
    <xf numFmtId="175" fontId="68" fillId="0" borderId="85" xfId="66" applyFont="1" applyFill="1" applyBorder="1" applyAlignment="1">
      <alignment horizontal="center" wrapText="1"/>
    </xf>
    <xf numFmtId="175" fontId="68" fillId="0" borderId="37" xfId="66" applyFont="1" applyFill="1" applyBorder="1" applyAlignment="1">
      <alignment horizontal="center"/>
    </xf>
    <xf numFmtId="175" fontId="68" fillId="0" borderId="0" xfId="66" applyFont="1" applyFill="1" applyAlignment="1">
      <alignment horizontal="center"/>
    </xf>
    <xf numFmtId="175" fontId="68" fillId="0" borderId="0" xfId="66" applyFont="1" applyFill="1"/>
    <xf numFmtId="175" fontId="68" fillId="0" borderId="45" xfId="66" applyFont="1" applyFill="1" applyBorder="1" applyAlignment="1">
      <alignment horizontal="center" wrapText="1"/>
    </xf>
    <xf numFmtId="175" fontId="69" fillId="0" borderId="33" xfId="66" applyFont="1" applyFill="1" applyBorder="1"/>
    <xf numFmtId="178" fontId="69" fillId="0" borderId="102" xfId="66" applyNumberFormat="1" applyFont="1" applyFill="1" applyBorder="1"/>
    <xf numFmtId="178" fontId="69" fillId="0" borderId="45" xfId="66" applyNumberFormat="1" applyFont="1" applyFill="1" applyBorder="1"/>
    <xf numFmtId="164" fontId="69" fillId="0" borderId="99" xfId="66" applyNumberFormat="1" applyFont="1" applyFill="1" applyBorder="1"/>
    <xf numFmtId="178" fontId="69" fillId="0" borderId="16" xfId="66" applyNumberFormat="1" applyFont="1" applyFill="1" applyBorder="1"/>
    <xf numFmtId="175" fontId="69" fillId="0" borderId="33" xfId="0" applyFont="1" applyFill="1" applyBorder="1"/>
    <xf numFmtId="175" fontId="69" fillId="0" borderId="0" xfId="66" applyFont="1" applyFill="1" applyBorder="1"/>
    <xf numFmtId="175" fontId="69" fillId="0" borderId="0" xfId="0" applyFont="1" applyFill="1" applyAlignment="1">
      <alignment horizontal="left"/>
    </xf>
    <xf numFmtId="178" fontId="69" fillId="0" borderId="17" xfId="66" applyNumberFormat="1" applyFont="1" applyFill="1" applyBorder="1"/>
    <xf numFmtId="178" fontId="69" fillId="0" borderId="14" xfId="66" applyNumberFormat="1" applyFont="1" applyFill="1" applyBorder="1"/>
    <xf numFmtId="175" fontId="68" fillId="0" borderId="43" xfId="66" applyFont="1" applyFill="1" applyBorder="1"/>
    <xf numFmtId="178" fontId="68" fillId="0" borderId="17" xfId="66" applyNumberFormat="1" applyFont="1" applyFill="1" applyBorder="1"/>
    <xf numFmtId="178" fontId="68" fillId="0" borderId="14" xfId="66" applyNumberFormat="1" applyFont="1" applyFill="1" applyBorder="1"/>
    <xf numFmtId="178" fontId="68" fillId="0" borderId="85" xfId="66" applyNumberFormat="1" applyFont="1" applyFill="1" applyBorder="1"/>
    <xf numFmtId="175" fontId="68" fillId="0" borderId="33" xfId="66" applyFont="1" applyFill="1" applyBorder="1" applyAlignment="1">
      <alignment horizontal="center"/>
    </xf>
    <xf numFmtId="179" fontId="69" fillId="0" borderId="0" xfId="66" applyNumberFormat="1" applyFont="1" applyFill="1"/>
    <xf numFmtId="175" fontId="68" fillId="0" borderId="59" xfId="66" applyFont="1" applyFill="1" applyBorder="1" applyAlignment="1">
      <alignment horizontal="left" wrapText="1" indent="1"/>
    </xf>
    <xf numFmtId="178" fontId="68" fillId="0" borderId="98" xfId="66" applyNumberFormat="1" applyFont="1" applyFill="1" applyBorder="1"/>
    <xf numFmtId="175" fontId="68" fillId="0" borderId="36" xfId="66" applyFont="1" applyFill="1" applyBorder="1" applyAlignment="1">
      <alignment wrapText="1"/>
    </xf>
    <xf numFmtId="178" fontId="68" fillId="0" borderId="42" xfId="66" applyNumberFormat="1" applyFont="1" applyFill="1" applyBorder="1"/>
    <xf numFmtId="178" fontId="68" fillId="0" borderId="35" xfId="66" applyNumberFormat="1" applyFont="1" applyFill="1" applyBorder="1"/>
    <xf numFmtId="178" fontId="68" fillId="0" borderId="50" xfId="66" applyNumberFormat="1" applyFont="1" applyFill="1" applyBorder="1"/>
    <xf numFmtId="175" fontId="68" fillId="0" borderId="101" xfId="66" applyFont="1" applyFill="1" applyBorder="1"/>
    <xf numFmtId="178" fontId="68" fillId="0" borderId="0" xfId="66" applyNumberFormat="1" applyFont="1" applyFill="1" applyBorder="1"/>
    <xf numFmtId="178" fontId="68" fillId="0" borderId="49" xfId="66" applyNumberFormat="1" applyFont="1" applyFill="1" applyBorder="1"/>
    <xf numFmtId="175" fontId="68" fillId="0" borderId="111" xfId="66" applyFont="1" applyFill="1" applyBorder="1" applyAlignment="1">
      <alignment wrapText="1"/>
    </xf>
    <xf numFmtId="178" fontId="68" fillId="0" borderId="112" xfId="66" applyNumberFormat="1" applyFont="1" applyFill="1" applyBorder="1"/>
    <xf numFmtId="178" fontId="68" fillId="0" borderId="39" xfId="66" applyNumberFormat="1" applyFont="1" applyFill="1" applyBorder="1"/>
    <xf numFmtId="178" fontId="68" fillId="0" borderId="110" xfId="66" applyNumberFormat="1" applyFont="1" applyFill="1" applyBorder="1"/>
    <xf numFmtId="178" fontId="68" fillId="0" borderId="47" xfId="66" applyNumberFormat="1" applyFont="1" applyFill="1" applyBorder="1"/>
    <xf numFmtId="175" fontId="68" fillId="0" borderId="0" xfId="66" applyFont="1" applyFill="1" applyAlignment="1">
      <alignment wrapText="1"/>
    </xf>
    <xf numFmtId="164" fontId="68" fillId="0" borderId="0" xfId="66" applyNumberFormat="1" applyFont="1" applyFill="1"/>
    <xf numFmtId="164" fontId="68" fillId="0" borderId="0" xfId="66" applyNumberFormat="1" applyFont="1" applyFill="1" applyAlignment="1">
      <alignment horizontal="right"/>
    </xf>
    <xf numFmtId="175" fontId="71" fillId="0" borderId="0" xfId="66" applyFont="1" applyFill="1" applyAlignment="1">
      <alignment wrapText="1"/>
    </xf>
    <xf numFmtId="175" fontId="70" fillId="0" borderId="0" xfId="66" applyFont="1" applyFill="1" applyAlignment="1" applyProtection="1">
      <alignment vertical="center"/>
      <protection locked="0"/>
    </xf>
    <xf numFmtId="164" fontId="69" fillId="0" borderId="0" xfId="66" applyNumberFormat="1" applyFont="1" applyFill="1"/>
    <xf numFmtId="175" fontId="64" fillId="0" borderId="0" xfId="66" applyFont="1" applyFill="1"/>
    <xf numFmtId="44" fontId="64" fillId="0" borderId="0" xfId="50" applyFont="1" applyFill="1"/>
    <xf numFmtId="175" fontId="17" fillId="0" borderId="0" xfId="66" applyFill="1"/>
    <xf numFmtId="175" fontId="17" fillId="0" borderId="0" xfId="66" applyFont="1" applyFill="1"/>
    <xf numFmtId="175" fontId="17" fillId="0" borderId="0" xfId="66" applyFont="1" applyFill="1" applyProtection="1">
      <protection locked="0"/>
    </xf>
    <xf numFmtId="175" fontId="71" fillId="0" borderId="0" xfId="0" applyFont="1" applyFill="1" applyAlignment="1">
      <alignment vertical="center"/>
    </xf>
    <xf numFmtId="164" fontId="18" fillId="0" borderId="0" xfId="66" applyNumberFormat="1" applyFont="1" applyAlignment="1"/>
    <xf numFmtId="175" fontId="17" fillId="47" borderId="0" xfId="66" applyFont="1" applyFill="1" applyAlignment="1"/>
    <xf numFmtId="175" fontId="17" fillId="0" borderId="0" xfId="66" applyFont="1" applyAlignment="1"/>
    <xf numFmtId="175" fontId="128" fillId="0" borderId="0" xfId="66" applyFont="1" applyAlignment="1"/>
    <xf numFmtId="175" fontId="144" fillId="0" borderId="0" xfId="0" applyFont="1" applyAlignment="1"/>
    <xf numFmtId="175" fontId="18" fillId="0" borderId="37" xfId="66" applyFont="1" applyBorder="1" applyAlignment="1">
      <alignment horizontal="left"/>
    </xf>
    <xf numFmtId="175" fontId="17" fillId="0" borderId="0" xfId="66" applyFont="1"/>
    <xf numFmtId="175" fontId="64" fillId="47" borderId="0" xfId="0" quotePrefix="1" applyFont="1" applyFill="1" applyAlignment="1">
      <alignment horizontal="left" vertical="top" wrapText="1"/>
    </xf>
    <xf numFmtId="175" fontId="18" fillId="0" borderId="52" xfId="0" applyFont="1" applyBorder="1" applyAlignment="1">
      <alignment horizontal="center"/>
    </xf>
    <xf numFmtId="175" fontId="18" fillId="0" borderId="53" xfId="0" applyFont="1" applyBorder="1" applyAlignment="1">
      <alignment horizontal="center"/>
    </xf>
    <xf numFmtId="175" fontId="18" fillId="0" borderId="54" xfId="0" applyFont="1" applyBorder="1" applyAlignment="1">
      <alignment horizontal="center"/>
    </xf>
    <xf numFmtId="175" fontId="64" fillId="0" borderId="0" xfId="0" quotePrefix="1" applyFont="1" applyAlignment="1"/>
    <xf numFmtId="175" fontId="64" fillId="0" borderId="0" xfId="0" applyFont="1" applyAlignment="1"/>
    <xf numFmtId="175" fontId="64" fillId="52" borderId="0" xfId="0" quotePrefix="1" applyFont="1" applyFill="1" applyAlignment="1"/>
    <xf numFmtId="175" fontId="64" fillId="52" borderId="0" xfId="0" applyFont="1" applyFill="1" applyAlignment="1"/>
    <xf numFmtId="175" fontId="64" fillId="0" borderId="0" xfId="0" quotePrefix="1" applyFont="1" applyAlignment="1">
      <alignment horizontal="left" vertical="justify"/>
    </xf>
    <xf numFmtId="175" fontId="18" fillId="0" borderId="16" xfId="0" applyFont="1" applyBorder="1" applyAlignment="1">
      <alignment horizontal="center"/>
    </xf>
    <xf numFmtId="175" fontId="18" fillId="0" borderId="0" xfId="0" applyFont="1" applyAlignment="1">
      <alignment horizontal="center"/>
    </xf>
    <xf numFmtId="175" fontId="18" fillId="0" borderId="34" xfId="0" applyFont="1" applyBorder="1" applyAlignment="1">
      <alignment horizontal="center"/>
    </xf>
    <xf numFmtId="175" fontId="71" fillId="0" borderId="0" xfId="0" applyFont="1" applyAlignment="1">
      <alignment vertical="top" wrapText="1"/>
    </xf>
    <xf numFmtId="175" fontId="64" fillId="52" borderId="0" xfId="0" quotePrefix="1" applyFont="1" applyFill="1" applyAlignment="1">
      <alignment vertical="justify"/>
    </xf>
    <xf numFmtId="175" fontId="64" fillId="52" borderId="0" xfId="0" applyFont="1" applyFill="1" applyAlignment="1">
      <alignment vertical="justify"/>
    </xf>
    <xf numFmtId="175" fontId="64" fillId="0" borderId="0" xfId="0" applyFont="1" applyAlignment="1">
      <alignment horizontal="left" vertical="justify"/>
    </xf>
    <xf numFmtId="175" fontId="38" fillId="0" borderId="11" xfId="0" applyFont="1" applyBorder="1" applyAlignment="1" applyProtection="1">
      <alignment horizontal="center"/>
      <protection locked="0"/>
    </xf>
    <xf numFmtId="175" fontId="38" fillId="0" borderId="11" xfId="0" applyFont="1" applyBorder="1" applyAlignment="1">
      <alignment horizontal="center"/>
    </xf>
    <xf numFmtId="175" fontId="57" fillId="47" borderId="101" xfId="66" applyFont="1" applyFill="1" applyBorder="1" applyAlignment="1">
      <alignment horizontal="center" wrapText="1"/>
    </xf>
    <xf numFmtId="175" fontId="57" fillId="47" borderId="98" xfId="66" applyFont="1" applyFill="1" applyBorder="1" applyAlignment="1">
      <alignment horizontal="center" wrapText="1"/>
    </xf>
    <xf numFmtId="175" fontId="57" fillId="47" borderId="100" xfId="66" applyFont="1" applyFill="1" applyBorder="1" applyAlignment="1">
      <alignment horizontal="center" wrapText="1"/>
    </xf>
    <xf numFmtId="175" fontId="82" fillId="0" borderId="0" xfId="0" applyFont="1" applyAlignment="1" applyProtection="1">
      <alignment horizontal="center"/>
      <protection locked="0"/>
    </xf>
    <xf numFmtId="17" fontId="82" fillId="47" borderId="0" xfId="0" quotePrefix="1" applyNumberFormat="1" applyFont="1" applyFill="1" applyAlignment="1" applyProtection="1">
      <alignment horizontal="left"/>
      <protection locked="0"/>
    </xf>
    <xf numFmtId="0" fontId="76" fillId="0" borderId="102" xfId="520" applyFont="1" applyBorder="1" applyAlignment="1">
      <alignment horizontal="center" vertical="center" wrapText="1"/>
    </xf>
    <xf numFmtId="0" fontId="76" fillId="0" borderId="17" xfId="520" applyFont="1" applyBorder="1" applyAlignment="1">
      <alignment horizontal="center" vertical="center" wrapText="1"/>
    </xf>
    <xf numFmtId="0" fontId="76" fillId="0" borderId="104" xfId="520" applyFont="1" applyBorder="1" applyAlignment="1">
      <alignment horizontal="center" vertical="center" wrapText="1"/>
    </xf>
    <xf numFmtId="0" fontId="76" fillId="0" borderId="28" xfId="520" applyFont="1" applyBorder="1" applyAlignment="1">
      <alignment horizontal="center" vertical="center" wrapText="1"/>
    </xf>
    <xf numFmtId="175" fontId="17" fillId="0" borderId="0" xfId="66" applyAlignment="1">
      <alignment wrapText="1"/>
    </xf>
    <xf numFmtId="175" fontId="17" fillId="0" borderId="0" xfId="66" applyFont="1" applyAlignment="1"/>
    <xf numFmtId="175" fontId="64" fillId="0" borderId="0" xfId="66" applyFont="1" applyAlignment="1">
      <alignment wrapText="1"/>
    </xf>
  </cellXfs>
  <cellStyles count="5688">
    <cellStyle name="20% - Accent1" xfId="1" builtinId="30" customBuiltin="1"/>
    <cellStyle name="20% - Accent1 10" xfId="2615" xr:uid="{0530D38E-A898-4260-B744-EE0FD3F51670}"/>
    <cellStyle name="20% - Accent1 10 2" xfId="5050" xr:uid="{1B5BB733-B31C-45E1-89E8-6B9AE1C1AF2C}"/>
    <cellStyle name="20% - Accent1 11" xfId="946" xr:uid="{BDB4F86E-C395-4B17-B047-8C5095DD363A}"/>
    <cellStyle name="20% - Accent1 11 2" xfId="3842" xr:uid="{59F8B971-E92A-42A0-8C1D-D80B3EE5256F}"/>
    <cellStyle name="20% - Accent1 2" xfId="115" xr:uid="{00000000-0005-0000-0000-000001000000}"/>
    <cellStyle name="20% - Accent1 2 2" xfId="986" xr:uid="{B0F92561-DC52-438D-93BD-56FEC2F54158}"/>
    <cellStyle name="20% - Accent1 2 3" xfId="959" xr:uid="{D5F55993-EF67-4A2B-8AC5-82F99174DB9C}"/>
    <cellStyle name="20% - Accent1 2 3 2" xfId="932" xr:uid="{5756FCE1-F2E9-44A9-9BCD-DF13817ED7DF}"/>
    <cellStyle name="20% - Accent1 2 3 2 2" xfId="1978" xr:uid="{1AF804C7-B6CF-4E3F-8E9D-C44839DA52B8}"/>
    <cellStyle name="20% - Accent1 2 3 2 2 2" xfId="2816" xr:uid="{9F97E78A-BF2C-4A13-9A8A-4E9A2D7BA1C6}"/>
    <cellStyle name="20% - Accent1 2 3 2 2 2 2" xfId="5251" xr:uid="{8A7202C0-E3B0-4168-9036-A882F1397B6F}"/>
    <cellStyle name="20% - Accent1 2 3 2 2 3" xfId="4495" xr:uid="{3A6E4DDB-B1C6-4029-96D1-A8894BE732C2}"/>
    <cellStyle name="20% - Accent1 2 3 2 3" xfId="2288" xr:uid="{F2E1F472-CE35-4D10-8FEB-758E8C07E3DD}"/>
    <cellStyle name="20% - Accent1 2 3 2 3 2" xfId="4723" xr:uid="{85DE5FD8-F8C6-488F-A0CD-5787746E43DD}"/>
    <cellStyle name="20% - Accent1 2 3 2 4" xfId="3830" xr:uid="{B5345671-8464-40DF-9015-96E55105459F}"/>
    <cellStyle name="20% - Accent1 2 3 3" xfId="1808" xr:uid="{D3C92B8B-90D6-43B2-8227-DEE1BA0F0E5B}"/>
    <cellStyle name="20% - Accent1 2 3 3 2" xfId="2646" xr:uid="{70FB1B76-3321-46D4-9106-9DA2EEA22BFB}"/>
    <cellStyle name="20% - Accent1 2 3 3 2 2" xfId="5081" xr:uid="{68A9E1F3-9482-4321-80E0-5A1B248D6A70}"/>
    <cellStyle name="20% - Accent1 2 3 3 3" xfId="4325" xr:uid="{7FC01D06-39D6-40B2-B4C0-912C676C72BD}"/>
    <cellStyle name="20% - Accent1 2 3 4" xfId="2287" xr:uid="{D4B2E421-0561-416A-A741-CB28425CB29D}"/>
    <cellStyle name="20% - Accent1 2 3 4 2" xfId="4722" xr:uid="{7D5C51E6-A3EB-441F-AB85-537C9E848BA3}"/>
    <cellStyle name="20% - Accent1 2 3 5" xfId="3849" xr:uid="{A124BC04-1B1D-4243-87C3-AD3A11303B8D}"/>
    <cellStyle name="20% - Accent1 2 4" xfId="2216" xr:uid="{7EC04D94-F33F-43EE-B7B5-A74ED299E86E}"/>
    <cellStyle name="20% - Accent1 2 5" xfId="985" xr:uid="{496C287B-294B-4B32-85CE-D61DE6A8B3A9}"/>
    <cellStyle name="20% - Accent1 3" xfId="149" xr:uid="{00000000-0005-0000-0000-000002000000}"/>
    <cellStyle name="20% - Accent1 3 2" xfId="979" xr:uid="{205AB90E-089F-45A7-B4E0-E446BED22D60}"/>
    <cellStyle name="20% - Accent1 3 2 2" xfId="1979" xr:uid="{0B6C83EE-8580-457F-8023-6265CAC5FA47}"/>
    <cellStyle name="20% - Accent1 3 2 2 2" xfId="2817" xr:uid="{F988BB2A-E137-44C7-BFDC-91D1A7A233A5}"/>
    <cellStyle name="20% - Accent1 3 2 2 2 2" xfId="5252" xr:uid="{C6373E45-2710-4BC1-ADC3-D8A277A0C71F}"/>
    <cellStyle name="20% - Accent1 3 2 2 3" xfId="4496" xr:uid="{B56AD8FA-1601-449C-8498-F10B4C6DBCC3}"/>
    <cellStyle name="20% - Accent1 3 2 3" xfId="2290" xr:uid="{6F895BEF-BCED-40AC-96A0-82BD08C4B72E}"/>
    <cellStyle name="20% - Accent1 3 2 3 2" xfId="4725" xr:uid="{7ACFB64C-5FE6-4C31-A6D4-8F5C7187E785}"/>
    <cellStyle name="20% - Accent1 3 2 4" xfId="3866" xr:uid="{4D321D5C-EEB2-4EEB-BF26-5841FD046339}"/>
    <cellStyle name="20% - Accent1 3 3" xfId="1809" xr:uid="{931AC7EF-5BF8-4AFB-B058-9DF3DAB1E317}"/>
    <cellStyle name="20% - Accent1 3 3 2" xfId="2647" xr:uid="{78A469D2-3877-443D-9D6E-B6F0FBCDFBDA}"/>
    <cellStyle name="20% - Accent1 3 3 2 2" xfId="5082" xr:uid="{570EAE52-C520-41A5-88B8-D075AE9D40F5}"/>
    <cellStyle name="20% - Accent1 3 3 3" xfId="4326" xr:uid="{6A3D9817-490E-4DE7-9F98-83EEE3DFD902}"/>
    <cellStyle name="20% - Accent1 3 4" xfId="2289" xr:uid="{4303F234-775D-4272-856E-58CA7093D8D3}"/>
    <cellStyle name="20% - Accent1 3 4 2" xfId="4724" xr:uid="{874124A8-AE30-4EC2-B474-5EB1E6EB5848}"/>
    <cellStyle name="20% - Accent1 3 5" xfId="942" xr:uid="{E7080B5B-02A6-4315-B7D0-BA9EBFCC9C42}"/>
    <cellStyle name="20% - Accent1 3 5 2" xfId="3839" xr:uid="{5120F858-5000-4C64-8B26-33EAFA38F1EC}"/>
    <cellStyle name="20% - Accent1 4" xfId="195" xr:uid="{00000000-0005-0000-0000-000003000000}"/>
    <cellStyle name="20% - Accent1 4 2" xfId="961" xr:uid="{2AA9F089-2F1E-4A3A-B562-720CB4572103}"/>
    <cellStyle name="20% - Accent1 4 2 2" xfId="1977" xr:uid="{5F33A3F2-094E-4F21-9F9B-B8ECE9C453BE}"/>
    <cellStyle name="20% - Accent1 4 2 2 2" xfId="2815" xr:uid="{8030E80E-7422-4935-A2B7-2249CDE04564}"/>
    <cellStyle name="20% - Accent1 4 2 2 2 2" xfId="5250" xr:uid="{89249FE4-4DCD-4F4B-8280-D3D43FD3C821}"/>
    <cellStyle name="20% - Accent1 4 2 2 3" xfId="4494" xr:uid="{527CE932-A8CB-472C-9D91-27A874C3AB23}"/>
    <cellStyle name="20% - Accent1 4 2 3" xfId="2292" xr:uid="{904A13CC-9511-44BD-A155-55A1461B31BA}"/>
    <cellStyle name="20% - Accent1 4 2 3 2" xfId="4727" xr:uid="{0599947B-65CD-4DCE-96BA-0F04B036D9B3}"/>
    <cellStyle name="20% - Accent1 4 2 4" xfId="3851" xr:uid="{48BBF66C-EB65-4543-AA92-20F75DB96482}"/>
    <cellStyle name="20% - Accent1 4 3" xfId="1807" xr:uid="{AC47F1B8-BBE0-4DD0-97EF-DB99F3D3AE25}"/>
    <cellStyle name="20% - Accent1 4 3 2" xfId="2645" xr:uid="{B162F789-3EB4-478C-B48C-A5391DEB21B6}"/>
    <cellStyle name="20% - Accent1 4 3 2 2" xfId="5080" xr:uid="{6AC5B924-1C95-4C9C-8A22-53743593635A}"/>
    <cellStyle name="20% - Accent1 4 3 3" xfId="4324" xr:uid="{BD7295CC-9AF2-41A4-B850-986D32FA4747}"/>
    <cellStyle name="20% - Accent1 4 4" xfId="2291" xr:uid="{82B67865-F285-40AF-9237-AC60663EB795}"/>
    <cellStyle name="20% - Accent1 4 4 2" xfId="4726" xr:uid="{928E40C2-C6C4-437E-A342-82D10FC0809C}"/>
    <cellStyle name="20% - Accent1 4 5" xfId="960" xr:uid="{02CF68AE-40E1-4C03-A7E5-9AFC9172E6DB}"/>
    <cellStyle name="20% - Accent1 4 5 2" xfId="3850" xr:uid="{F176C64F-8748-4F5D-A3C8-036EEAFFDFF3}"/>
    <cellStyle name="20% - Accent1 5" xfId="241" xr:uid="{00000000-0005-0000-0000-000004000000}"/>
    <cellStyle name="20% - Accent1 5 2" xfId="1959" xr:uid="{6442A17C-839A-46CD-B1B9-93CBF511BD65}"/>
    <cellStyle name="20% - Accent1 5 2 2" xfId="2797" xr:uid="{80DEC1DD-596A-4720-A340-92C2CEE2C833}"/>
    <cellStyle name="20% - Accent1 5 2 2 2" xfId="5232" xr:uid="{50BD9A80-4680-4BEE-A932-11D90BA31DC3}"/>
    <cellStyle name="20% - Accent1 5 2 3" xfId="4476" xr:uid="{E29F50A5-4399-4677-B321-1023D8123BDC}"/>
    <cellStyle name="20% - Accent1 5 3" xfId="2293" xr:uid="{7411B0E5-644C-40F4-B004-9B1A2ECC1281}"/>
    <cellStyle name="20% - Accent1 5 3 2" xfId="4728" xr:uid="{1BB16F0A-E185-4F63-B8EC-3A30F27EE565}"/>
    <cellStyle name="20% - Accent1 5 4" xfId="947" xr:uid="{CFF7AC42-0470-4B78-BB57-0CCC00B31340}"/>
    <cellStyle name="20% - Accent1 5 4 2" xfId="3843" xr:uid="{94828FA6-D2E7-4B86-A83C-26DAD790C392}"/>
    <cellStyle name="20% - Accent1 6" xfId="290" xr:uid="{00000000-0005-0000-0000-000005000000}"/>
    <cellStyle name="20% - Accent1 6 2" xfId="2627" xr:uid="{59F633C1-AD72-4529-B123-A543BBBE47A7}"/>
    <cellStyle name="20% - Accent1 6 2 2" xfId="5062" xr:uid="{21C444C7-2B61-43BE-96D3-4022FE7FC0D1}"/>
    <cellStyle name="20% - Accent1 6 3" xfId="1789" xr:uid="{6F1A6773-3269-469E-80C2-09CF3E968FCC}"/>
    <cellStyle name="20% - Accent1 6 3 2" xfId="4306" xr:uid="{6B3019A5-4A94-4912-A6EB-603B6692FD22}"/>
    <cellStyle name="20% - Accent1 7" xfId="354" xr:uid="{00000000-0005-0000-0000-000006000000}"/>
    <cellStyle name="20% - Accent1 7 2" xfId="2969" xr:uid="{89D922CA-8333-4F9E-AB5D-C60140539537}"/>
    <cellStyle name="20% - Accent1 7 2 2" xfId="5404" xr:uid="{E594EDC5-AFDF-4F36-A47A-A880A2D697D6}"/>
    <cellStyle name="20% - Accent1 7 3" xfId="2131" xr:uid="{D72A6829-37BD-4F41-9960-E092A72BDF3B}"/>
    <cellStyle name="20% - Accent1 7 3 2" xfId="4648" xr:uid="{6F50E705-2DEC-4958-8E3C-017A8D21BB1C}"/>
    <cellStyle name="20% - Accent1 8" xfId="425" xr:uid="{00000000-0005-0000-0000-000007000000}"/>
    <cellStyle name="20% - Accent1 8 2" xfId="2160" xr:uid="{68F8AC44-09E9-4ECD-93A0-EC765A37E977}"/>
    <cellStyle name="20% - Accent1 8 2 2" xfId="4661" xr:uid="{D937CB3D-DBEA-4AEE-AAB8-2AA2F53820D1}"/>
    <cellStyle name="20% - Accent1 9" xfId="529" xr:uid="{00000000-0005-0000-0000-000008000000}"/>
    <cellStyle name="20% - Accent1 9 2" xfId="2174" xr:uid="{CBCBBE3E-F28D-4BF9-A80D-AFD5EEA10506}"/>
    <cellStyle name="20% - Accent1 9 2 2" xfId="4675" xr:uid="{8E376766-AE7D-4F37-BA57-C0B5F657E449}"/>
    <cellStyle name="20% - Accent2" xfId="2" builtinId="34" customBuiltin="1"/>
    <cellStyle name="20% - Accent2 10" xfId="2617" xr:uid="{D45E1C98-4E1F-4737-8142-6EA2ECD1C7F5}"/>
    <cellStyle name="20% - Accent2 10 2" xfId="5052" xr:uid="{1D1423E6-E4C2-4804-AC1D-26DF8BD5BABB}"/>
    <cellStyle name="20% - Accent2 11" xfId="920" xr:uid="{2F2F1766-9CCF-4EBF-B47F-27C648F64C4A}"/>
    <cellStyle name="20% - Accent2 11 2" xfId="3828" xr:uid="{CE558020-E147-4540-B4B0-2561EFA5C892}"/>
    <cellStyle name="20% - Accent2 2" xfId="116" xr:uid="{00000000-0005-0000-0000-00000A000000}"/>
    <cellStyle name="20% - Accent2 2 2" xfId="984" xr:uid="{411AB685-9CB9-4196-9358-F02608C6E97F}"/>
    <cellStyle name="20% - Accent2 2 3" xfId="962" xr:uid="{A6190496-D203-42E4-857D-DADEE9C883FE}"/>
    <cellStyle name="20% - Accent2 2 3 2" xfId="963" xr:uid="{6895F896-1357-4DDC-B042-E58DA8F2C864}"/>
    <cellStyle name="20% - Accent2 2 3 2 2" xfId="1981" xr:uid="{16FE7A79-5167-4C4B-92E6-4CBB33F1566E}"/>
    <cellStyle name="20% - Accent2 2 3 2 2 2" xfId="2819" xr:uid="{6FD42592-7A67-4D5C-8E59-4284A20DDD45}"/>
    <cellStyle name="20% - Accent2 2 3 2 2 2 2" xfId="5254" xr:uid="{C7B9348D-A92D-464B-9B0D-4BBD3DDC1F69}"/>
    <cellStyle name="20% - Accent2 2 3 2 2 3" xfId="4498" xr:uid="{C464D627-22BA-43D2-8F3B-61A6B07B122D}"/>
    <cellStyle name="20% - Accent2 2 3 2 3" xfId="2295" xr:uid="{2A4ECBE2-27F8-4DBD-BC85-DAC1F0AA44CF}"/>
    <cellStyle name="20% - Accent2 2 3 2 3 2" xfId="4730" xr:uid="{2DF45CDA-E91B-4C87-AB07-44A7448F353D}"/>
    <cellStyle name="20% - Accent2 2 3 2 4" xfId="3853" xr:uid="{53A497BF-CFB6-487F-A75E-ED98B3551F34}"/>
    <cellStyle name="20% - Accent2 2 3 3" xfId="1811" xr:uid="{21A02DD9-FFA4-402E-AD4B-44701A16DAC2}"/>
    <cellStyle name="20% - Accent2 2 3 3 2" xfId="2649" xr:uid="{792D5E3A-8196-4FB9-95E5-759F715902F2}"/>
    <cellStyle name="20% - Accent2 2 3 3 2 2" xfId="5084" xr:uid="{50E9B9D5-05AE-4916-8504-8FCB7739359F}"/>
    <cellStyle name="20% - Accent2 2 3 3 3" xfId="4328" xr:uid="{8121EB68-F8EC-4957-853D-F4C5A702F958}"/>
    <cellStyle name="20% - Accent2 2 3 4" xfId="2294" xr:uid="{3B21621E-C054-4AE6-8A37-DCB9000D8E03}"/>
    <cellStyle name="20% - Accent2 2 3 4 2" xfId="4729" xr:uid="{9E1BD3FD-E7E4-4EB9-A598-830DC34F4EC4}"/>
    <cellStyle name="20% - Accent2 2 3 5" xfId="3852" xr:uid="{489AB53F-F519-4C63-BC37-485ECD57381C}"/>
    <cellStyle name="20% - Accent2 2 4" xfId="2217" xr:uid="{8F05B092-4DCE-49FC-8339-6A9F810DA9DC}"/>
    <cellStyle name="20% - Accent2 2 5" xfId="989" xr:uid="{F6B2A9EB-0809-4EC2-B20C-AB5E9E7BE794}"/>
    <cellStyle name="20% - Accent2 3" xfId="150" xr:uid="{00000000-0005-0000-0000-00000B000000}"/>
    <cellStyle name="20% - Accent2 3 2" xfId="965" xr:uid="{B6C4C275-46FD-4A52-AFFE-FDD50B16206D}"/>
    <cellStyle name="20% - Accent2 3 2 2" xfId="1982" xr:uid="{35C6017E-1663-4FCF-87BB-6D94940C829F}"/>
    <cellStyle name="20% - Accent2 3 2 2 2" xfId="2820" xr:uid="{924999EB-B6B3-46E5-8475-1793C9FB504D}"/>
    <cellStyle name="20% - Accent2 3 2 2 2 2" xfId="5255" xr:uid="{B674335A-2E33-4E5F-807E-72A653C88827}"/>
    <cellStyle name="20% - Accent2 3 2 2 3" xfId="4499" xr:uid="{8DCF0E05-B4A7-4D5C-8959-4C7EA153B954}"/>
    <cellStyle name="20% - Accent2 3 2 3" xfId="2297" xr:uid="{5C6C3C63-DB64-4647-A265-5AD6BE0A1443}"/>
    <cellStyle name="20% - Accent2 3 2 3 2" xfId="4732" xr:uid="{FD33FF82-8916-472D-90D2-1CDB4C14FD41}"/>
    <cellStyle name="20% - Accent2 3 2 4" xfId="3855" xr:uid="{EF19E616-40E0-4380-83FD-3B24606618C0}"/>
    <cellStyle name="20% - Accent2 3 3" xfId="1812" xr:uid="{75D0AB1F-B9FC-4034-BB14-1369BFBCB17E}"/>
    <cellStyle name="20% - Accent2 3 3 2" xfId="2650" xr:uid="{F2E1BF83-BC92-41D2-9709-E7B16480C76E}"/>
    <cellStyle name="20% - Accent2 3 3 2 2" xfId="5085" xr:uid="{050B23A7-E227-4B39-BEC7-00CCBFD8861C}"/>
    <cellStyle name="20% - Accent2 3 3 3" xfId="4329" xr:uid="{507C7139-C3AD-4EF5-96A8-51545372AC95}"/>
    <cellStyle name="20% - Accent2 3 4" xfId="2296" xr:uid="{C7C4C218-3E26-423B-9E12-AB31850DA3BB}"/>
    <cellStyle name="20% - Accent2 3 4 2" xfId="4731" xr:uid="{3DA9D788-B9F1-4E6F-8BCC-67806C5DF0DD}"/>
    <cellStyle name="20% - Accent2 3 5" xfId="964" xr:uid="{747F896C-B310-485C-BD92-091169BFE826}"/>
    <cellStyle name="20% - Accent2 3 5 2" xfId="3854" xr:uid="{60E0A3AB-4751-4BD5-9576-0D196A874AC1}"/>
    <cellStyle name="20% - Accent2 4" xfId="196" xr:uid="{00000000-0005-0000-0000-00000C000000}"/>
    <cellStyle name="20% - Accent2 4 2" xfId="967" xr:uid="{49BD0448-028E-4D2D-924B-D68392E81FBC}"/>
    <cellStyle name="20% - Accent2 4 2 2" xfId="1980" xr:uid="{06A723C7-7256-4880-926D-73AA2CD6A6B5}"/>
    <cellStyle name="20% - Accent2 4 2 2 2" xfId="2818" xr:uid="{F7CCA871-54B0-49B0-856E-66B2421EF67A}"/>
    <cellStyle name="20% - Accent2 4 2 2 2 2" xfId="5253" xr:uid="{EE9109F6-A791-4E92-9C33-2B09B6E0305C}"/>
    <cellStyle name="20% - Accent2 4 2 2 3" xfId="4497" xr:uid="{3EB8827E-4C7A-4309-B34C-2A4F60779463}"/>
    <cellStyle name="20% - Accent2 4 2 3" xfId="2299" xr:uid="{1747903F-0B48-4C12-9BAD-90FE64F55E93}"/>
    <cellStyle name="20% - Accent2 4 2 3 2" xfId="4734" xr:uid="{64F285B3-1124-44A4-BDC2-FDC12290E518}"/>
    <cellStyle name="20% - Accent2 4 2 4" xfId="3857" xr:uid="{9F530370-3F75-4E09-A17A-739A00F5D3B1}"/>
    <cellStyle name="20% - Accent2 4 3" xfId="1810" xr:uid="{0D55ACEC-1AEA-4006-B035-2A1814D9ADA4}"/>
    <cellStyle name="20% - Accent2 4 3 2" xfId="2648" xr:uid="{2DB052C7-9684-45DB-A591-59F29978BF64}"/>
    <cellStyle name="20% - Accent2 4 3 2 2" xfId="5083" xr:uid="{49233B01-B753-4E61-A925-A90F024887B0}"/>
    <cellStyle name="20% - Accent2 4 3 3" xfId="4327" xr:uid="{1A3E8E34-1AA8-476A-A624-632E5EB6111B}"/>
    <cellStyle name="20% - Accent2 4 4" xfId="2298" xr:uid="{08219391-EDCF-4578-B04B-4E4572C6F6C3}"/>
    <cellStyle name="20% - Accent2 4 4 2" xfId="4733" xr:uid="{52C7C624-3795-4329-9082-86A76CAAAB6B}"/>
    <cellStyle name="20% - Accent2 4 5" xfId="966" xr:uid="{3E164E5F-D548-463E-8B9F-25F30C671444}"/>
    <cellStyle name="20% - Accent2 4 5 2" xfId="3856" xr:uid="{CC85D09E-564E-4B68-BCB7-BDD8E67E4E77}"/>
    <cellStyle name="20% - Accent2 5" xfId="242" xr:uid="{00000000-0005-0000-0000-00000D000000}"/>
    <cellStyle name="20% - Accent2 5 2" xfId="1960" xr:uid="{6268BA2A-8D35-4295-9938-7664CA5A71D8}"/>
    <cellStyle name="20% - Accent2 5 2 2" xfId="2798" xr:uid="{948ACF38-882A-48B8-AD57-0F2CF7A5AF5C}"/>
    <cellStyle name="20% - Accent2 5 2 2 2" xfId="5233" xr:uid="{DD7080F0-F129-4079-81E6-63ABC82C6A87}"/>
    <cellStyle name="20% - Accent2 5 2 3" xfId="4477" xr:uid="{EEE9C04C-53F6-4AC2-A066-F79374C56815}"/>
    <cellStyle name="20% - Accent2 5 3" xfId="2300" xr:uid="{8D329776-F97E-4510-8EDA-62F7699BCC57}"/>
    <cellStyle name="20% - Accent2 5 3 2" xfId="4735" xr:uid="{B3F0C368-3083-4EE2-856A-3C307C7A6DC3}"/>
    <cellStyle name="20% - Accent2 5 4" xfId="968" xr:uid="{1D41414A-D504-41CB-BB73-B4F86C41A2B1}"/>
    <cellStyle name="20% - Accent2 5 4 2" xfId="3858" xr:uid="{601D161D-CCF0-40F9-85E0-211EE08FDE7B}"/>
    <cellStyle name="20% - Accent2 6" xfId="291" xr:uid="{00000000-0005-0000-0000-00000E000000}"/>
    <cellStyle name="20% - Accent2 6 2" xfId="2628" xr:uid="{B5F1A896-7B3A-4D37-B3F1-8BF87E2C41B2}"/>
    <cellStyle name="20% - Accent2 6 2 2" xfId="5063" xr:uid="{6B0B7C3C-1B77-40D7-8656-68F170955B9A}"/>
    <cellStyle name="20% - Accent2 6 3" xfId="1790" xr:uid="{A8679535-76C2-4C95-B1F6-C2F50B4DBCBD}"/>
    <cellStyle name="20% - Accent2 6 3 2" xfId="4307" xr:uid="{F66C923E-9012-43EE-90B3-32EE97495547}"/>
    <cellStyle name="20% - Accent2 7" xfId="355" xr:uid="{00000000-0005-0000-0000-00000F000000}"/>
    <cellStyle name="20% - Accent2 7 2" xfId="2971" xr:uid="{64F5F296-F612-4CD5-AE57-82342F3A4393}"/>
    <cellStyle name="20% - Accent2 7 2 2" xfId="5406" xr:uid="{A668FB9D-7DF8-445A-B587-B4F5537B9FAA}"/>
    <cellStyle name="20% - Accent2 7 3" xfId="2133" xr:uid="{56DF31E3-FB5D-40BA-BE3B-0779244E3523}"/>
    <cellStyle name="20% - Accent2 7 3 2" xfId="4650" xr:uid="{84902020-C8B9-4F4C-AF5B-90DFB44E436F}"/>
    <cellStyle name="20% - Accent2 8" xfId="426" xr:uid="{00000000-0005-0000-0000-000010000000}"/>
    <cellStyle name="20% - Accent2 8 2" xfId="2162" xr:uid="{84855050-F300-458B-B537-D1EC01D7189E}"/>
    <cellStyle name="20% - Accent2 8 2 2" xfId="4663" xr:uid="{184562E0-E804-45B4-90F2-6D7B031D7C60}"/>
    <cellStyle name="20% - Accent2 9" xfId="530" xr:uid="{00000000-0005-0000-0000-000011000000}"/>
    <cellStyle name="20% - Accent2 9 2" xfId="2176" xr:uid="{5D233639-AE42-4B0D-8AE6-25139EF609DB}"/>
    <cellStyle name="20% - Accent2 9 2 2" xfId="4677" xr:uid="{3631F91E-331F-48C4-9706-143224B99FC2}"/>
    <cellStyle name="20% - Accent3" xfId="3" builtinId="38" customBuiltin="1"/>
    <cellStyle name="20% - Accent3 10" xfId="2619" xr:uid="{5CFCA78F-B461-4BCC-B775-E9685F5266A1}"/>
    <cellStyle name="20% - Accent3 10 2" xfId="5054" xr:uid="{B614DE88-F7E7-481B-95DC-1E76C25DBFAB}"/>
    <cellStyle name="20% - Accent3 11" xfId="954" xr:uid="{9976CA03-160C-4561-8E89-EC9ABB380422}"/>
    <cellStyle name="20% - Accent3 11 2" xfId="3845" xr:uid="{8689DDD5-256D-4897-A745-61F4B3A42649}"/>
    <cellStyle name="20% - Accent3 2" xfId="117" xr:uid="{00000000-0005-0000-0000-000013000000}"/>
    <cellStyle name="20% - Accent3 2 2" xfId="970" xr:uid="{DD253FEA-DAA4-4DF6-8EE5-1BB8561DED31}"/>
    <cellStyle name="20% - Accent3 2 3" xfId="971" xr:uid="{CBB66954-7CDD-471D-B5FE-8BC82C9EC750}"/>
    <cellStyle name="20% - Accent3 2 3 2" xfId="972" xr:uid="{093CC219-6515-4797-852E-6AA862DB4FE3}"/>
    <cellStyle name="20% - Accent3 2 3 2 2" xfId="1984" xr:uid="{ECD5F8E7-65A3-4F9F-A2ED-939E87D48675}"/>
    <cellStyle name="20% - Accent3 2 3 2 2 2" xfId="2822" xr:uid="{8C32541B-07CC-4DEC-BC1C-C9AE10448AE5}"/>
    <cellStyle name="20% - Accent3 2 3 2 2 2 2" xfId="5257" xr:uid="{1855AB54-8078-4A1A-97F2-062F37D88B0B}"/>
    <cellStyle name="20% - Accent3 2 3 2 2 3" xfId="4501" xr:uid="{F9EA3320-942D-4391-A89E-2B6C40C75B89}"/>
    <cellStyle name="20% - Accent3 2 3 2 3" xfId="2302" xr:uid="{7AF0586B-4310-44E5-8DEF-47382984C71B}"/>
    <cellStyle name="20% - Accent3 2 3 2 3 2" xfId="4737" xr:uid="{7CFAC01B-ABD2-4E57-B252-37D59050666F}"/>
    <cellStyle name="20% - Accent3 2 3 2 4" xfId="3860" xr:uid="{8C520078-FDCA-460A-BECB-357F9376E0E3}"/>
    <cellStyle name="20% - Accent3 2 3 3" xfId="1814" xr:uid="{839C1B10-9B83-4B60-AB4B-FE08CDA912F4}"/>
    <cellStyle name="20% - Accent3 2 3 3 2" xfId="2652" xr:uid="{A70331FB-B14B-4662-AD51-6735DAE2076D}"/>
    <cellStyle name="20% - Accent3 2 3 3 2 2" xfId="5087" xr:uid="{7BB6B168-2E7F-45C8-88A5-1D206045E45C}"/>
    <cellStyle name="20% - Accent3 2 3 3 3" xfId="4331" xr:uid="{5B06EAE2-F42C-41E5-8FE6-BBD797B512DF}"/>
    <cellStyle name="20% - Accent3 2 3 4" xfId="2301" xr:uid="{E1F9037A-2C5B-4BB8-A074-9C70863CF6D1}"/>
    <cellStyle name="20% - Accent3 2 3 4 2" xfId="4736" xr:uid="{DA803F8E-B2BE-436B-9D01-5CF24C880370}"/>
    <cellStyle name="20% - Accent3 2 3 5" xfId="3859" xr:uid="{F09E5DFA-C2F9-4121-A355-44D66A383CEB}"/>
    <cellStyle name="20% - Accent3 2 4" xfId="2218" xr:uid="{0A7782A0-8859-4E92-BC1B-36C87E98E6D5}"/>
    <cellStyle name="20% - Accent3 2 5" xfId="969" xr:uid="{4C323FB1-E24A-4CDF-9010-EFBBD52AEA7F}"/>
    <cellStyle name="20% - Accent3 3" xfId="151" xr:uid="{00000000-0005-0000-0000-000014000000}"/>
    <cellStyle name="20% - Accent3 3 2" xfId="974" xr:uid="{724ADA64-E435-46B2-97C4-6CDB46B18919}"/>
    <cellStyle name="20% - Accent3 3 2 2" xfId="1985" xr:uid="{EFF75ED3-9A83-41A3-9445-C9BE4DF6531B}"/>
    <cellStyle name="20% - Accent3 3 2 2 2" xfId="2823" xr:uid="{C881D943-3B7D-47FD-B219-74F48A9E7A25}"/>
    <cellStyle name="20% - Accent3 3 2 2 2 2" xfId="5258" xr:uid="{720EC776-DCA4-46A8-BCB7-1D1F46D2FE52}"/>
    <cellStyle name="20% - Accent3 3 2 2 3" xfId="4502" xr:uid="{E4A6BE64-C47C-464D-B6F8-A35A0A20E005}"/>
    <cellStyle name="20% - Accent3 3 2 3" xfId="2304" xr:uid="{F8983E88-6832-4586-BC30-679C8E76A32B}"/>
    <cellStyle name="20% - Accent3 3 2 3 2" xfId="4739" xr:uid="{B170CF8B-57B8-4EF9-B39E-A5EF3FBE4713}"/>
    <cellStyle name="20% - Accent3 3 2 4" xfId="3862" xr:uid="{B3664056-6FCF-4488-9A77-BF74C15BB8A6}"/>
    <cellStyle name="20% - Accent3 3 3" xfId="1815" xr:uid="{592F98F2-B4AD-42AB-A6E2-67FF0950841F}"/>
    <cellStyle name="20% - Accent3 3 3 2" xfId="2653" xr:uid="{0AFD1EF2-0FE0-4765-8734-E1D7A3853E8C}"/>
    <cellStyle name="20% - Accent3 3 3 2 2" xfId="5088" xr:uid="{FD884B17-49AD-4991-91B0-097BD0ED9E6B}"/>
    <cellStyle name="20% - Accent3 3 3 3" xfId="4332" xr:uid="{8F38C60D-E657-4C5A-84AC-2EAAE4FBC0A4}"/>
    <cellStyle name="20% - Accent3 3 4" xfId="2303" xr:uid="{0B87E608-DF69-4BD0-9AE9-4033E259A740}"/>
    <cellStyle name="20% - Accent3 3 4 2" xfId="4738" xr:uid="{78CD18B0-7CC0-4BD3-BBBC-EE18260B30E0}"/>
    <cellStyle name="20% - Accent3 3 5" xfId="973" xr:uid="{AB5D054D-9FD3-4F54-AD65-B7435A73F58A}"/>
    <cellStyle name="20% - Accent3 3 5 2" xfId="3861" xr:uid="{B7EB9F60-62CB-4CC4-B9B0-24947ECA7E53}"/>
    <cellStyle name="20% - Accent3 4" xfId="197" xr:uid="{00000000-0005-0000-0000-000015000000}"/>
    <cellStyle name="20% - Accent3 4 2" xfId="976" xr:uid="{9C0D4E76-07E0-4CFB-ABCB-56B683E5C1BA}"/>
    <cellStyle name="20% - Accent3 4 2 2" xfId="1983" xr:uid="{C5E18A03-061D-460C-9E0D-5E4515F30B08}"/>
    <cellStyle name="20% - Accent3 4 2 2 2" xfId="2821" xr:uid="{1E4E49C2-AAC5-4D0D-BC39-B6BAA92C6531}"/>
    <cellStyle name="20% - Accent3 4 2 2 2 2" xfId="5256" xr:uid="{7D839A4A-A443-4BD2-A20D-619131839913}"/>
    <cellStyle name="20% - Accent3 4 2 2 3" xfId="4500" xr:uid="{18442005-92BC-43B8-B58F-F672C02C660C}"/>
    <cellStyle name="20% - Accent3 4 2 3" xfId="2306" xr:uid="{FAAC5063-06E2-4296-AF98-8664D2AABEC0}"/>
    <cellStyle name="20% - Accent3 4 2 3 2" xfId="4741" xr:uid="{D926774F-B53A-4F71-AC33-4763BBE9E369}"/>
    <cellStyle name="20% - Accent3 4 2 4" xfId="3864" xr:uid="{8FE9A1C0-C18E-424F-B786-244FA637F61B}"/>
    <cellStyle name="20% - Accent3 4 3" xfId="1813" xr:uid="{D0B87D49-0A48-40F1-A7CB-BD29ABBC3EF9}"/>
    <cellStyle name="20% - Accent3 4 3 2" xfId="2651" xr:uid="{10423483-C5BF-42FD-8CB6-7B6538F6630F}"/>
    <cellStyle name="20% - Accent3 4 3 2 2" xfId="5086" xr:uid="{049F7C1C-3EEE-48DF-A776-64D1838F9A03}"/>
    <cellStyle name="20% - Accent3 4 3 3" xfId="4330" xr:uid="{B589C21F-CBB8-4ED2-BFA7-F4D5AEACBFD8}"/>
    <cellStyle name="20% - Accent3 4 4" xfId="2305" xr:uid="{ADF42BCE-45BB-4408-9F27-C0EA8972DA18}"/>
    <cellStyle name="20% - Accent3 4 4 2" xfId="4740" xr:uid="{3CB6FE64-AA87-496C-AB23-19CBB7BD1107}"/>
    <cellStyle name="20% - Accent3 4 5" xfId="975" xr:uid="{543CACB9-489A-41CD-93A0-84EF0D365944}"/>
    <cellStyle name="20% - Accent3 4 5 2" xfId="3863" xr:uid="{06678B94-8370-4B37-925B-45A09E44B5A5}"/>
    <cellStyle name="20% - Accent3 5" xfId="243" xr:uid="{00000000-0005-0000-0000-000016000000}"/>
    <cellStyle name="20% - Accent3 5 2" xfId="1961" xr:uid="{E753CB56-69F4-4C75-ADDD-E0D6EE7BD3A1}"/>
    <cellStyle name="20% - Accent3 5 2 2" xfId="2799" xr:uid="{BD45DB39-6319-4D67-A57B-414913B399B5}"/>
    <cellStyle name="20% - Accent3 5 2 2 2" xfId="5234" xr:uid="{41360DF6-9840-4320-AF18-197831769DF4}"/>
    <cellStyle name="20% - Accent3 5 2 3" xfId="4478" xr:uid="{2E041C25-4467-4A84-9D72-5142A116B276}"/>
    <cellStyle name="20% - Accent3 5 3" xfId="2307" xr:uid="{10772820-7654-4DBC-AC0F-34B83BBBF6F9}"/>
    <cellStyle name="20% - Accent3 5 3 2" xfId="4742" xr:uid="{CCD92B74-99C7-4B59-B84F-B3394561D3FC}"/>
    <cellStyle name="20% - Accent3 5 4" xfId="977" xr:uid="{ADED9F3F-8F59-4E0E-8A8E-94684C4899FC}"/>
    <cellStyle name="20% - Accent3 5 4 2" xfId="3865" xr:uid="{8B77B3E0-E302-4E7A-8D89-6694A47B661A}"/>
    <cellStyle name="20% - Accent3 6" xfId="292" xr:uid="{00000000-0005-0000-0000-000017000000}"/>
    <cellStyle name="20% - Accent3 6 2" xfId="2629" xr:uid="{DE824507-CB77-4F9F-95D5-EE06AC53C063}"/>
    <cellStyle name="20% - Accent3 6 2 2" xfId="5064" xr:uid="{EBF3494C-A8E2-451B-939E-34C3346F49FD}"/>
    <cellStyle name="20% - Accent3 6 3" xfId="1791" xr:uid="{F38B3921-7B0D-48AC-BB6C-454285E7984D}"/>
    <cellStyle name="20% - Accent3 6 3 2" xfId="4308" xr:uid="{462A1C57-B0DD-47F6-B824-5BEADD38136A}"/>
    <cellStyle name="20% - Accent3 7" xfId="356" xr:uid="{00000000-0005-0000-0000-000018000000}"/>
    <cellStyle name="20% - Accent3 7 2" xfId="2973" xr:uid="{EBBCB823-A93A-43C1-927B-87CAA8A2BAAD}"/>
    <cellStyle name="20% - Accent3 7 2 2" xfId="5408" xr:uid="{BB045980-9CAB-4448-AFCA-4DF3D7AAC8AF}"/>
    <cellStyle name="20% - Accent3 7 3" xfId="2135" xr:uid="{725C397B-6B53-4D9C-B684-4026A2DB8815}"/>
    <cellStyle name="20% - Accent3 7 3 2" xfId="4652" xr:uid="{24048B39-92F6-4D3E-A61B-586547AB9DF3}"/>
    <cellStyle name="20% - Accent3 8" xfId="427" xr:uid="{00000000-0005-0000-0000-000019000000}"/>
    <cellStyle name="20% - Accent3 8 2" xfId="2164" xr:uid="{0F0926F3-ECC6-4B25-9A8F-31F3B010F4B7}"/>
    <cellStyle name="20% - Accent3 8 2 2" xfId="4665" xr:uid="{94636EE7-4F49-4AC2-95FC-1FD4FB23234A}"/>
    <cellStyle name="20% - Accent3 9" xfId="531" xr:uid="{00000000-0005-0000-0000-00001A000000}"/>
    <cellStyle name="20% - Accent3 9 2" xfId="2178" xr:uid="{F5635B58-C54B-431A-A9D3-BB0919FD4219}"/>
    <cellStyle name="20% - Accent3 9 2 2" xfId="4679" xr:uid="{4F104492-CE55-4F43-98A3-1B136DBAE4A4}"/>
    <cellStyle name="20% - Accent4" xfId="4" builtinId="42" customBuiltin="1"/>
    <cellStyle name="20% - Accent4 10" xfId="2621" xr:uid="{3B246094-1720-43B5-B680-538F0B9BDA82}"/>
    <cellStyle name="20% - Accent4 10 2" xfId="5056" xr:uid="{040F4E02-EBD6-418C-B81E-B50F042FD4DE}"/>
    <cellStyle name="20% - Accent4 11" xfId="915" xr:uid="{5A6EEF32-3650-4018-B54A-AD33BB006856}"/>
    <cellStyle name="20% - Accent4 11 2" xfId="3827" xr:uid="{CAB20B1B-CB31-4D01-BC92-00672AD3C219}"/>
    <cellStyle name="20% - Accent4 2" xfId="118" xr:uid="{00000000-0005-0000-0000-00001C000000}"/>
    <cellStyle name="20% - Accent4 2 2" xfId="990" xr:uid="{AD11BAD8-EB0E-4C02-B7E0-C8A5C5BC992E}"/>
    <cellStyle name="20% - Accent4 2 3" xfId="991" xr:uid="{F37AA1A0-CC98-40B9-9C98-EFFDE52DE8EB}"/>
    <cellStyle name="20% - Accent4 2 3 2" xfId="992" xr:uid="{8740DF73-40EF-423B-B763-D97D8BCD625F}"/>
    <cellStyle name="20% - Accent4 2 3 2 2" xfId="1987" xr:uid="{50D7960A-5EBA-4D17-B5E4-486906E08A20}"/>
    <cellStyle name="20% - Accent4 2 3 2 2 2" xfId="2825" xr:uid="{EC1AAE1A-91C5-4103-9B27-4D1D0FE91ACC}"/>
    <cellStyle name="20% - Accent4 2 3 2 2 2 2" xfId="5260" xr:uid="{C7C1C9F6-4215-4672-A45C-39350091EDDC}"/>
    <cellStyle name="20% - Accent4 2 3 2 2 3" xfId="4504" xr:uid="{3158E772-1AFA-45FE-9836-C55201ED0407}"/>
    <cellStyle name="20% - Accent4 2 3 2 3" xfId="2309" xr:uid="{8657D0CA-0A0E-48A8-BF17-7661EF597940}"/>
    <cellStyle name="20% - Accent4 2 3 2 3 2" xfId="4744" xr:uid="{B37C1CBC-2D8A-4CED-A95A-33138F7C90EA}"/>
    <cellStyle name="20% - Accent4 2 3 2 4" xfId="3870" xr:uid="{3D42FFD1-33DB-4C91-9240-1CE8121377F8}"/>
    <cellStyle name="20% - Accent4 2 3 3" xfId="1817" xr:uid="{46E3803B-4A29-4307-A8A2-D69AB3EB1929}"/>
    <cellStyle name="20% - Accent4 2 3 3 2" xfId="2655" xr:uid="{4004886A-F3E3-45AE-99E6-D759C004DD92}"/>
    <cellStyle name="20% - Accent4 2 3 3 2 2" xfId="5090" xr:uid="{132EF9A7-DFB3-44B4-BC9B-5B5D57F7F722}"/>
    <cellStyle name="20% - Accent4 2 3 3 3" xfId="4334" xr:uid="{3391F630-E113-4FC9-B5EB-3900D57CD177}"/>
    <cellStyle name="20% - Accent4 2 3 4" xfId="2308" xr:uid="{26963832-3F73-44E1-979B-DB77DCFAC3E8}"/>
    <cellStyle name="20% - Accent4 2 3 4 2" xfId="4743" xr:uid="{89F77D22-A34E-44E7-962D-2D0309141FBA}"/>
    <cellStyle name="20% - Accent4 2 3 5" xfId="3869" xr:uid="{6DB4A763-618E-4E54-A67D-1F8F0564AE45}"/>
    <cellStyle name="20% - Accent4 2 4" xfId="2219" xr:uid="{075B8647-6530-43C4-ADD7-C3E66A097459}"/>
    <cellStyle name="20% - Accent4 2 5" xfId="978" xr:uid="{41407D36-276F-427E-AA59-25CEF9B39271}"/>
    <cellStyle name="20% - Accent4 3" xfId="152" xr:uid="{00000000-0005-0000-0000-00001D000000}"/>
    <cellStyle name="20% - Accent4 3 2" xfId="994" xr:uid="{8EA00686-9AF7-455A-9C75-384CEBBBD61B}"/>
    <cellStyle name="20% - Accent4 3 2 2" xfId="1988" xr:uid="{E2019116-697E-44F4-B067-14D621F451AB}"/>
    <cellStyle name="20% - Accent4 3 2 2 2" xfId="2826" xr:uid="{FDAC9AD9-EE27-49C4-914E-1AA1BEEC14C2}"/>
    <cellStyle name="20% - Accent4 3 2 2 2 2" xfId="5261" xr:uid="{082399F4-96DF-47B5-9C73-2D93A48E8E2F}"/>
    <cellStyle name="20% - Accent4 3 2 2 3" xfId="4505" xr:uid="{46FDB8C5-E9E8-4B3B-A365-76F4024BF87D}"/>
    <cellStyle name="20% - Accent4 3 2 3" xfId="2311" xr:uid="{806C6774-D6C7-4EE8-A7F9-0731C5754DE1}"/>
    <cellStyle name="20% - Accent4 3 2 3 2" xfId="4746" xr:uid="{91330C7A-9AED-41EB-A197-D9907D2DE3A2}"/>
    <cellStyle name="20% - Accent4 3 2 4" xfId="3872" xr:uid="{D12157BB-7337-4314-9EB7-69685E3A7243}"/>
    <cellStyle name="20% - Accent4 3 3" xfId="1818" xr:uid="{083BC5F4-CE7C-44D6-817C-8DE06A951424}"/>
    <cellStyle name="20% - Accent4 3 3 2" xfId="2656" xr:uid="{2EAFABAD-E117-4497-87CC-74CC40D14302}"/>
    <cellStyle name="20% - Accent4 3 3 2 2" xfId="5091" xr:uid="{E5088DFE-EBE5-4FFE-9771-8267B252A125}"/>
    <cellStyle name="20% - Accent4 3 3 3" xfId="4335" xr:uid="{E94C647A-35CB-4AEE-93D3-3993C7983190}"/>
    <cellStyle name="20% - Accent4 3 4" xfId="2310" xr:uid="{C49B6845-9C0F-408F-847E-7BB01040D4FD}"/>
    <cellStyle name="20% - Accent4 3 4 2" xfId="4745" xr:uid="{EA29C7C7-F910-4FBD-A695-5D7DA1E60954}"/>
    <cellStyle name="20% - Accent4 3 5" xfId="993" xr:uid="{DDD2C970-219F-4FC0-9272-5809ACEBDED1}"/>
    <cellStyle name="20% - Accent4 3 5 2" xfId="3871" xr:uid="{E8D4AE52-6686-4481-AC67-A8473C6A7653}"/>
    <cellStyle name="20% - Accent4 4" xfId="198" xr:uid="{00000000-0005-0000-0000-00001E000000}"/>
    <cellStyle name="20% - Accent4 4 2" xfId="996" xr:uid="{BE25CD25-1068-40EC-976D-64B4DB0B9F1A}"/>
    <cellStyle name="20% - Accent4 4 2 2" xfId="1986" xr:uid="{744944CC-AFC2-4AEA-A3B0-9BA055A9C307}"/>
    <cellStyle name="20% - Accent4 4 2 2 2" xfId="2824" xr:uid="{598AA6E2-7C39-4ABB-999E-6F0B383D7539}"/>
    <cellStyle name="20% - Accent4 4 2 2 2 2" xfId="5259" xr:uid="{C49AF3F4-FDA9-4CED-9B31-3B298C5BA507}"/>
    <cellStyle name="20% - Accent4 4 2 2 3" xfId="4503" xr:uid="{2690F89E-5ABD-4643-8F52-18A1140C3F8E}"/>
    <cellStyle name="20% - Accent4 4 2 3" xfId="2313" xr:uid="{78686982-BAEA-4E23-962D-280F43539678}"/>
    <cellStyle name="20% - Accent4 4 2 3 2" xfId="4748" xr:uid="{959BAC1E-37A2-48C7-A365-EF25B10650CE}"/>
    <cellStyle name="20% - Accent4 4 2 4" xfId="3874" xr:uid="{26F6BEEC-EE56-40A7-B134-71BFB518374E}"/>
    <cellStyle name="20% - Accent4 4 3" xfId="1816" xr:uid="{83190624-4E4D-4E40-A1C7-92888BFA02F8}"/>
    <cellStyle name="20% - Accent4 4 3 2" xfId="2654" xr:uid="{49A10E1E-DC85-408D-B63A-6065F56D789C}"/>
    <cellStyle name="20% - Accent4 4 3 2 2" xfId="5089" xr:uid="{9328185E-619E-4C97-8117-68CF351A1EC6}"/>
    <cellStyle name="20% - Accent4 4 3 3" xfId="4333" xr:uid="{9061EA33-24D5-4699-A7EF-B842AB3DC73E}"/>
    <cellStyle name="20% - Accent4 4 4" xfId="2312" xr:uid="{6FCF534A-0EA9-4B7F-9F79-A333B98820D7}"/>
    <cellStyle name="20% - Accent4 4 4 2" xfId="4747" xr:uid="{97989DA6-E5BA-48F5-A60C-E68494987407}"/>
    <cellStyle name="20% - Accent4 4 5" xfId="995" xr:uid="{DFA5EF04-B3E9-4B5D-9F85-2930EA017724}"/>
    <cellStyle name="20% - Accent4 4 5 2" xfId="3873" xr:uid="{646F8E97-E2B7-4E2C-92D1-EF30D47C108D}"/>
    <cellStyle name="20% - Accent4 5" xfId="244" xr:uid="{00000000-0005-0000-0000-00001F000000}"/>
    <cellStyle name="20% - Accent4 5 2" xfId="1962" xr:uid="{ADA161F3-2D41-4676-BD2F-3E7196E94731}"/>
    <cellStyle name="20% - Accent4 5 2 2" xfId="2800" xr:uid="{2F1CB915-6CC7-44FD-951C-00B876F43780}"/>
    <cellStyle name="20% - Accent4 5 2 2 2" xfId="5235" xr:uid="{E0F69F5F-2F51-47C4-8C7D-89BD1DCE69EA}"/>
    <cellStyle name="20% - Accent4 5 2 3" xfId="4479" xr:uid="{56118FF9-B512-4109-84C7-0186EC575E3E}"/>
    <cellStyle name="20% - Accent4 5 3" xfId="2314" xr:uid="{9747D78F-093D-4B47-8A38-96D7F968850B}"/>
    <cellStyle name="20% - Accent4 5 3 2" xfId="4749" xr:uid="{799B96A5-9C99-45F9-9C19-1165C57E06EC}"/>
    <cellStyle name="20% - Accent4 5 4" xfId="997" xr:uid="{3CC0B8DE-554D-4A59-8AE4-77900C732C2A}"/>
    <cellStyle name="20% - Accent4 5 4 2" xfId="3875" xr:uid="{1B5C81B1-65BD-4DD2-AA65-44AE87DD249D}"/>
    <cellStyle name="20% - Accent4 6" xfId="293" xr:uid="{00000000-0005-0000-0000-000020000000}"/>
    <cellStyle name="20% - Accent4 6 2" xfId="2630" xr:uid="{E591D52A-CCE6-4B0B-8597-1A6DBEF752A2}"/>
    <cellStyle name="20% - Accent4 6 2 2" xfId="5065" xr:uid="{6CF8AF5E-3730-4BB7-9B29-603F003BA235}"/>
    <cellStyle name="20% - Accent4 6 3" xfId="1792" xr:uid="{F940F4DD-2457-47CA-97AD-8792B5DBC7C5}"/>
    <cellStyle name="20% - Accent4 6 3 2" xfId="4309" xr:uid="{45AAE682-8192-4845-AFB2-6603CF47FA91}"/>
    <cellStyle name="20% - Accent4 7" xfId="357" xr:uid="{00000000-0005-0000-0000-000021000000}"/>
    <cellStyle name="20% - Accent4 7 2" xfId="2975" xr:uid="{0B41D3AE-EA91-4627-B1BC-B18C40D99F8D}"/>
    <cellStyle name="20% - Accent4 7 2 2" xfId="5410" xr:uid="{FCD70600-CE08-4DC5-8CC0-F38E631FCB7C}"/>
    <cellStyle name="20% - Accent4 7 3" xfId="2137" xr:uid="{AFA90D69-FED5-45B2-BC8B-3ABC622E7564}"/>
    <cellStyle name="20% - Accent4 7 3 2" xfId="4654" xr:uid="{ACA308D2-4F47-4F74-8420-CDB75EB62EBC}"/>
    <cellStyle name="20% - Accent4 8" xfId="428" xr:uid="{00000000-0005-0000-0000-000022000000}"/>
    <cellStyle name="20% - Accent4 8 2" xfId="2166" xr:uid="{279FEF06-27CB-4D4A-8DC7-721ACEEA3476}"/>
    <cellStyle name="20% - Accent4 8 2 2" xfId="4667" xr:uid="{2DD21D8D-B606-46ED-BE8B-1F85A1AEE040}"/>
    <cellStyle name="20% - Accent4 9" xfId="532" xr:uid="{00000000-0005-0000-0000-000023000000}"/>
    <cellStyle name="20% - Accent4 9 2" xfId="2180" xr:uid="{9C5FA449-C34D-49CA-B79F-5874FCBE6CDD}"/>
    <cellStyle name="20% - Accent4 9 2 2" xfId="4681" xr:uid="{25188845-D549-4B21-BC70-DE161D5492FD}"/>
    <cellStyle name="20% - Accent5" xfId="5" builtinId="46" customBuiltin="1"/>
    <cellStyle name="20% - Accent5 10" xfId="2623" xr:uid="{6838C6DB-F91B-405D-9955-F790BD8866AB}"/>
    <cellStyle name="20% - Accent5 10 2" xfId="5058" xr:uid="{62E328D9-A66D-4C93-B645-9E5C3AEC8E58}"/>
    <cellStyle name="20% - Accent5 11" xfId="955" xr:uid="{65D9CE5D-1048-4C74-92E8-52AAD66AFC95}"/>
    <cellStyle name="20% - Accent5 11 2" xfId="3846" xr:uid="{97F1742F-EE5C-4CB9-B4B3-6964688E9D4E}"/>
    <cellStyle name="20% - Accent5 2" xfId="119" xr:uid="{00000000-0005-0000-0000-000025000000}"/>
    <cellStyle name="20% - Accent5 2 2" xfId="999" xr:uid="{7B5C3155-02B1-4EDC-8B6B-5B064CD8FACE}"/>
    <cellStyle name="20% - Accent5 2 3" xfId="1000" xr:uid="{5A35E671-037E-4446-B676-B44A4A44C604}"/>
    <cellStyle name="20% - Accent5 2 3 2" xfId="1001" xr:uid="{7C69208B-6F47-419A-A30F-7D48C2B6C02A}"/>
    <cellStyle name="20% - Accent5 2 3 2 2" xfId="1990" xr:uid="{D7B6362A-66A5-4F7C-860F-221FBE4B7D1F}"/>
    <cellStyle name="20% - Accent5 2 3 2 2 2" xfId="2828" xr:uid="{E40D3A5F-568E-4EDF-A2C6-E1490F686110}"/>
    <cellStyle name="20% - Accent5 2 3 2 2 2 2" xfId="5263" xr:uid="{B6069C67-F9ED-465F-9629-5060AB2F2E03}"/>
    <cellStyle name="20% - Accent5 2 3 2 2 3" xfId="4507" xr:uid="{F13DD214-5A10-4D05-9013-992F07BC0C29}"/>
    <cellStyle name="20% - Accent5 2 3 2 3" xfId="2316" xr:uid="{0A18502E-91A4-4CA9-AA6A-834170908847}"/>
    <cellStyle name="20% - Accent5 2 3 2 3 2" xfId="4751" xr:uid="{D1BAD48E-94C5-4ED8-9866-6295A121C356}"/>
    <cellStyle name="20% - Accent5 2 3 2 4" xfId="3877" xr:uid="{5D95B66C-1796-41CD-81D5-C93FFF8314DD}"/>
    <cellStyle name="20% - Accent5 2 3 3" xfId="1820" xr:uid="{56132001-12FE-43E0-A866-2099ECB6DAA4}"/>
    <cellStyle name="20% - Accent5 2 3 3 2" xfId="2658" xr:uid="{45706CF6-E31B-4035-9572-EB5647294671}"/>
    <cellStyle name="20% - Accent5 2 3 3 2 2" xfId="5093" xr:uid="{C5A61A4F-E37C-4897-AD03-4501467DF222}"/>
    <cellStyle name="20% - Accent5 2 3 3 3" xfId="4337" xr:uid="{4534452B-1EB7-4168-ADF2-40AD63937640}"/>
    <cellStyle name="20% - Accent5 2 3 4" xfId="2315" xr:uid="{EAF24546-C969-44E0-B446-36ACA632C60B}"/>
    <cellStyle name="20% - Accent5 2 3 4 2" xfId="4750" xr:uid="{2CB39F72-F137-4615-8936-FBB7828CE826}"/>
    <cellStyle name="20% - Accent5 2 3 5" xfId="3876" xr:uid="{9CBD559E-7C5C-4807-827B-BB55B0B5455C}"/>
    <cellStyle name="20% - Accent5 2 4" xfId="2220" xr:uid="{F98227FC-5253-4B46-9E09-F249A2650BFA}"/>
    <cellStyle name="20% - Accent5 2 5" xfId="998" xr:uid="{8760A610-AD8B-447D-BBC5-668CB764E525}"/>
    <cellStyle name="20% - Accent5 3" xfId="153" xr:uid="{00000000-0005-0000-0000-000026000000}"/>
    <cellStyle name="20% - Accent5 3 2" xfId="1003" xr:uid="{9EF973E9-CAF4-4B7B-962C-3BF2F8E8CC62}"/>
    <cellStyle name="20% - Accent5 3 2 2" xfId="1991" xr:uid="{928F28D5-455D-42E0-B049-F840D568D4AF}"/>
    <cellStyle name="20% - Accent5 3 2 2 2" xfId="2829" xr:uid="{39F47B1B-CC14-415D-B7B6-A9686C46E583}"/>
    <cellStyle name="20% - Accent5 3 2 2 2 2" xfId="5264" xr:uid="{1F8DE7A4-11DF-43FB-B921-8714407D074D}"/>
    <cellStyle name="20% - Accent5 3 2 2 3" xfId="4508" xr:uid="{73536A38-2E6D-4708-8DE8-DDD214F24609}"/>
    <cellStyle name="20% - Accent5 3 2 3" xfId="2318" xr:uid="{ECEEC8EF-F888-4F3D-A6EF-6D8436AAAEA3}"/>
    <cellStyle name="20% - Accent5 3 2 3 2" xfId="4753" xr:uid="{76DF84AC-63CD-4A0E-93BE-BF5189E4F266}"/>
    <cellStyle name="20% - Accent5 3 2 4" xfId="3879" xr:uid="{6B0713C1-E84D-48F0-81F8-1F00CEA241E9}"/>
    <cellStyle name="20% - Accent5 3 3" xfId="1821" xr:uid="{AD14CF76-C82F-48DF-BF54-C960C90F9C84}"/>
    <cellStyle name="20% - Accent5 3 3 2" xfId="2659" xr:uid="{53B9054F-287D-4ED0-A13F-5533116E6542}"/>
    <cellStyle name="20% - Accent5 3 3 2 2" xfId="5094" xr:uid="{88087135-5B8E-474F-B3D3-195622B3C0A3}"/>
    <cellStyle name="20% - Accent5 3 3 3" xfId="4338" xr:uid="{100EE6FF-A653-4F53-8A11-69F26C67D491}"/>
    <cellStyle name="20% - Accent5 3 4" xfId="2317" xr:uid="{FF60A855-3B8A-4019-9058-ED5FAF5861E8}"/>
    <cellStyle name="20% - Accent5 3 4 2" xfId="4752" xr:uid="{F646AE9F-F323-4EE1-95A0-C02ADD14D9DE}"/>
    <cellStyle name="20% - Accent5 3 5" xfId="1002" xr:uid="{66A87533-90B6-4B1A-B0E5-C9B470CD23B3}"/>
    <cellStyle name="20% - Accent5 3 5 2" xfId="3878" xr:uid="{30D46826-05A9-4DBA-AE28-BCCBF653EBB4}"/>
    <cellStyle name="20% - Accent5 4" xfId="199" xr:uid="{00000000-0005-0000-0000-000027000000}"/>
    <cellStyle name="20% - Accent5 4 2" xfId="1005" xr:uid="{AA644061-9800-4EC0-8A2D-50A8B4859DBA}"/>
    <cellStyle name="20% - Accent5 4 2 2" xfId="1989" xr:uid="{65F84DE7-7582-4CE5-AAE4-089F874701F2}"/>
    <cellStyle name="20% - Accent5 4 2 2 2" xfId="2827" xr:uid="{473D1B3D-8A9C-4F6C-8B8D-DBDD8805BDB1}"/>
    <cellStyle name="20% - Accent5 4 2 2 2 2" xfId="5262" xr:uid="{6CFCA27E-F752-473B-8338-BD93C8B98E57}"/>
    <cellStyle name="20% - Accent5 4 2 2 3" xfId="4506" xr:uid="{FD40DF06-F49F-4971-8B9B-2B1B5BAB5A5D}"/>
    <cellStyle name="20% - Accent5 4 2 3" xfId="2320" xr:uid="{29086845-2772-429E-9818-D7E62C0C192B}"/>
    <cellStyle name="20% - Accent5 4 2 3 2" xfId="4755" xr:uid="{694771FA-D0B7-4281-8B52-6577793C87E0}"/>
    <cellStyle name="20% - Accent5 4 2 4" xfId="3881" xr:uid="{45BA9550-D03D-4673-A73E-4637E9590E8F}"/>
    <cellStyle name="20% - Accent5 4 3" xfId="1819" xr:uid="{6821BDDF-2075-48EF-91B5-8E552E9AE38D}"/>
    <cellStyle name="20% - Accent5 4 3 2" xfId="2657" xr:uid="{13EF4B57-3E05-4E81-ACD7-C490BEC58E3F}"/>
    <cellStyle name="20% - Accent5 4 3 2 2" xfId="5092" xr:uid="{69C9F7B5-6933-48F9-89F4-7E074DA4205E}"/>
    <cellStyle name="20% - Accent5 4 3 3" xfId="4336" xr:uid="{0026E6B3-271A-43B7-8B22-D641E01BF4F9}"/>
    <cellStyle name="20% - Accent5 4 4" xfId="2319" xr:uid="{7879E237-7FC4-4E34-8CEB-AC4398F530CB}"/>
    <cellStyle name="20% - Accent5 4 4 2" xfId="4754" xr:uid="{FC93B88B-26DC-4016-B094-8DE8F251E784}"/>
    <cellStyle name="20% - Accent5 4 5" xfId="1004" xr:uid="{1899A785-A684-45DA-AE71-1FD9C1F733EA}"/>
    <cellStyle name="20% - Accent5 4 5 2" xfId="3880" xr:uid="{7FD88EB2-79BE-4361-9B32-C3AC11868042}"/>
    <cellStyle name="20% - Accent5 5" xfId="245" xr:uid="{00000000-0005-0000-0000-000028000000}"/>
    <cellStyle name="20% - Accent5 5 2" xfId="1963" xr:uid="{D8B730FA-47E5-4692-90C1-F0F8DBD24AA6}"/>
    <cellStyle name="20% - Accent5 5 2 2" xfId="2801" xr:uid="{C9A74226-BC2B-440C-846F-873E586DC660}"/>
    <cellStyle name="20% - Accent5 5 2 2 2" xfId="5236" xr:uid="{77E33AE2-5E04-42E4-B3DC-3258794FFA4B}"/>
    <cellStyle name="20% - Accent5 5 2 3" xfId="4480" xr:uid="{4EE21CBA-9DC2-4F36-9C52-8C5F59C419C9}"/>
    <cellStyle name="20% - Accent5 5 3" xfId="2321" xr:uid="{1AA93757-A072-4EA9-AC5D-F4084391F2BE}"/>
    <cellStyle name="20% - Accent5 5 3 2" xfId="4756" xr:uid="{44AED110-499B-4C71-AAFB-D7A55515B370}"/>
    <cellStyle name="20% - Accent5 5 4" xfId="1006" xr:uid="{371A469F-AC47-4255-A777-DC99FF1E267C}"/>
    <cellStyle name="20% - Accent5 5 4 2" xfId="3882" xr:uid="{EDF4D78E-DD45-4B79-9515-614AE7BC41FF}"/>
    <cellStyle name="20% - Accent5 6" xfId="294" xr:uid="{00000000-0005-0000-0000-000029000000}"/>
    <cellStyle name="20% - Accent5 6 2" xfId="2631" xr:uid="{78177C13-B088-4043-8BE7-9473C983F540}"/>
    <cellStyle name="20% - Accent5 6 2 2" xfId="5066" xr:uid="{ED82CC04-98F8-465F-8A67-20F7DF6648D5}"/>
    <cellStyle name="20% - Accent5 6 3" xfId="1793" xr:uid="{D5581B2D-3A53-4D15-B3E3-5833254AF209}"/>
    <cellStyle name="20% - Accent5 6 3 2" xfId="4310" xr:uid="{B6B175A8-02B6-46F5-A9F3-F6A3E6A02BC9}"/>
    <cellStyle name="20% - Accent5 7" xfId="358" xr:uid="{00000000-0005-0000-0000-00002A000000}"/>
    <cellStyle name="20% - Accent5 7 2" xfId="2977" xr:uid="{7EFC81BD-072A-4105-A587-0039157F90AD}"/>
    <cellStyle name="20% - Accent5 7 2 2" xfId="5412" xr:uid="{66B4D51D-2472-4470-9E74-57C631DCED0F}"/>
    <cellStyle name="20% - Accent5 7 3" xfId="2139" xr:uid="{F83AD71D-90F4-43AB-AF68-AA61A396CEBF}"/>
    <cellStyle name="20% - Accent5 7 3 2" xfId="4656" xr:uid="{501C41A7-D99F-423A-90F5-BEDA4ABA7C25}"/>
    <cellStyle name="20% - Accent5 8" xfId="429" xr:uid="{00000000-0005-0000-0000-00002B000000}"/>
    <cellStyle name="20% - Accent5 8 2" xfId="2168" xr:uid="{79F8541E-4003-4E4A-8FB0-75B183F81C6D}"/>
    <cellStyle name="20% - Accent5 8 2 2" xfId="4669" xr:uid="{84E1334E-66D9-4F18-9BCA-09107C3D2855}"/>
    <cellStyle name="20% - Accent5 9" xfId="533" xr:uid="{00000000-0005-0000-0000-00002C000000}"/>
    <cellStyle name="20% - Accent5 9 2" xfId="2182" xr:uid="{AFC5FC3C-446B-4FFD-BD2F-2CA2F2885C3E}"/>
    <cellStyle name="20% - Accent5 9 2 2" xfId="4683" xr:uid="{EF8226F4-2EB0-40B1-9FA2-B9EDA30793DE}"/>
    <cellStyle name="20% - Accent6" xfId="6" builtinId="50" customBuiltin="1"/>
    <cellStyle name="20% - Accent6 10" xfId="2625" xr:uid="{139A38CA-48A4-420F-A66C-C60413E459E3}"/>
    <cellStyle name="20% - Accent6 10 2" xfId="5060" xr:uid="{75CACBBF-BB25-4D3E-821F-2396AA1ED485}"/>
    <cellStyle name="20% - Accent6 11" xfId="958" xr:uid="{B196BEDD-6B0C-4E1B-87E6-F4BD78EECC60}"/>
    <cellStyle name="20% - Accent6 11 2" xfId="3848" xr:uid="{EC3B6E11-5F16-41CF-BE18-9CA72FBC805F}"/>
    <cellStyle name="20% - Accent6 2" xfId="120" xr:uid="{00000000-0005-0000-0000-00002E000000}"/>
    <cellStyle name="20% - Accent6 2 2" xfId="1008" xr:uid="{32A5127A-3158-42F6-ACB8-F01D7AD7CBAE}"/>
    <cellStyle name="20% - Accent6 2 3" xfId="1009" xr:uid="{15F34193-FEFE-41FB-B285-50FEE25AC214}"/>
    <cellStyle name="20% - Accent6 2 3 2" xfId="1010" xr:uid="{29751FB2-23BC-4A0B-9D2B-386F70DDBD1D}"/>
    <cellStyle name="20% - Accent6 2 3 2 2" xfId="1993" xr:uid="{767E7C03-25F3-4099-A590-8993B88049A2}"/>
    <cellStyle name="20% - Accent6 2 3 2 2 2" xfId="2831" xr:uid="{C8CE4F9D-3B59-4168-9DC4-1F8CFCE3A7DA}"/>
    <cellStyle name="20% - Accent6 2 3 2 2 2 2" xfId="5266" xr:uid="{24A882A1-AF59-4A81-BC52-882B528D277A}"/>
    <cellStyle name="20% - Accent6 2 3 2 2 3" xfId="4510" xr:uid="{571644A2-CEBE-44C0-8461-F2632C02A947}"/>
    <cellStyle name="20% - Accent6 2 3 2 3" xfId="2323" xr:uid="{37B0D38D-241E-4FD5-9913-741F562B68BD}"/>
    <cellStyle name="20% - Accent6 2 3 2 3 2" xfId="4758" xr:uid="{85E6C73D-DD08-44D8-AC93-FD6316C20D7F}"/>
    <cellStyle name="20% - Accent6 2 3 2 4" xfId="3884" xr:uid="{68F4EA79-E96E-4D8B-9FC3-7CD8A1C42971}"/>
    <cellStyle name="20% - Accent6 2 3 3" xfId="1823" xr:uid="{DE964CA4-EFEA-4507-B351-4BC01D0B1A19}"/>
    <cellStyle name="20% - Accent6 2 3 3 2" xfId="2661" xr:uid="{6773F93F-E0A5-46F6-BE89-C126DBA3A359}"/>
    <cellStyle name="20% - Accent6 2 3 3 2 2" xfId="5096" xr:uid="{DFEDCFD8-7ACD-4A6F-BCA7-4964AF3DC8E1}"/>
    <cellStyle name="20% - Accent6 2 3 3 3" xfId="4340" xr:uid="{874A11FF-928C-4B41-99B2-61D756BD7C99}"/>
    <cellStyle name="20% - Accent6 2 3 4" xfId="2322" xr:uid="{8B9AC681-C74B-49D8-B5DF-8951548AEDDF}"/>
    <cellStyle name="20% - Accent6 2 3 4 2" xfId="4757" xr:uid="{15CC0B2B-28DB-4F52-8D11-C0EC7400DDC2}"/>
    <cellStyle name="20% - Accent6 2 3 5" xfId="3883" xr:uid="{2C6D429E-1151-46CC-B445-9C40C7CE9732}"/>
    <cellStyle name="20% - Accent6 2 4" xfId="2221" xr:uid="{1A3DBE4A-C500-4E69-90EF-CF2C4EF38B1E}"/>
    <cellStyle name="20% - Accent6 2 5" xfId="1007" xr:uid="{9B49734C-E797-4017-9F8B-57F174BA59E8}"/>
    <cellStyle name="20% - Accent6 3" xfId="154" xr:uid="{00000000-0005-0000-0000-00002F000000}"/>
    <cellStyle name="20% - Accent6 3 2" xfId="1012" xr:uid="{1FFCAC97-0DD8-4341-AECB-C9037D8A9C54}"/>
    <cellStyle name="20% - Accent6 3 2 2" xfId="1994" xr:uid="{F0964D8A-F982-47DB-9D2A-69AAA5276D6E}"/>
    <cellStyle name="20% - Accent6 3 2 2 2" xfId="2832" xr:uid="{55830FB8-ECCE-463F-980D-00966899FD23}"/>
    <cellStyle name="20% - Accent6 3 2 2 2 2" xfId="5267" xr:uid="{7A504E44-489F-4F50-B101-31926F83F82A}"/>
    <cellStyle name="20% - Accent6 3 2 2 3" xfId="4511" xr:uid="{73B2140E-2551-4CE0-A997-276F549FBC24}"/>
    <cellStyle name="20% - Accent6 3 2 3" xfId="2325" xr:uid="{969F23C2-3B2F-4F92-96BA-B58367C225A6}"/>
    <cellStyle name="20% - Accent6 3 2 3 2" xfId="4760" xr:uid="{F91DC0C4-AB48-49B6-B58C-E24F9FCFCA93}"/>
    <cellStyle name="20% - Accent6 3 2 4" xfId="3886" xr:uid="{997D49AC-28D0-4DC5-9DA3-190BEBA69AB8}"/>
    <cellStyle name="20% - Accent6 3 3" xfId="1824" xr:uid="{EA9F2BF0-7637-430B-A65A-B6B2AB02AE85}"/>
    <cellStyle name="20% - Accent6 3 3 2" xfId="2662" xr:uid="{3A61757D-1082-4B74-8AC7-9DEC567E744A}"/>
    <cellStyle name="20% - Accent6 3 3 2 2" xfId="5097" xr:uid="{48AD3C59-CFCF-4C1F-81FF-9A2051B5E2AC}"/>
    <cellStyle name="20% - Accent6 3 3 3" xfId="4341" xr:uid="{62318227-B596-4F8D-BB38-6B591C923498}"/>
    <cellStyle name="20% - Accent6 3 4" xfId="2324" xr:uid="{FC852339-ADB8-4F5E-A0CD-97DB78B76527}"/>
    <cellStyle name="20% - Accent6 3 4 2" xfId="4759" xr:uid="{7FEE3C9E-50A4-4670-90F4-B1335D60734C}"/>
    <cellStyle name="20% - Accent6 3 5" xfId="1011" xr:uid="{949DA3A4-504F-499F-951E-89B06CD75A3B}"/>
    <cellStyle name="20% - Accent6 3 5 2" xfId="3885" xr:uid="{8A135F68-F411-4549-8486-0BFC84DE2E78}"/>
    <cellStyle name="20% - Accent6 4" xfId="200" xr:uid="{00000000-0005-0000-0000-000030000000}"/>
    <cellStyle name="20% - Accent6 4 2" xfId="1014" xr:uid="{3C103C63-E1FB-49A7-B883-6396EC392837}"/>
    <cellStyle name="20% - Accent6 4 2 2" xfId="1992" xr:uid="{D71DC411-7CA8-48C4-BECA-07D33584524A}"/>
    <cellStyle name="20% - Accent6 4 2 2 2" xfId="2830" xr:uid="{38C70ADE-5196-4C51-BB7B-8725CC6ED438}"/>
    <cellStyle name="20% - Accent6 4 2 2 2 2" xfId="5265" xr:uid="{CF9A8566-14DF-42DC-8F30-A87A025ABCC8}"/>
    <cellStyle name="20% - Accent6 4 2 2 3" xfId="4509" xr:uid="{87E34A21-FA6A-434C-BCE7-EC3FC13BF0CD}"/>
    <cellStyle name="20% - Accent6 4 2 3" xfId="2327" xr:uid="{5028CC10-8F79-42F4-AA4F-14F8812C8659}"/>
    <cellStyle name="20% - Accent6 4 2 3 2" xfId="4762" xr:uid="{3DFA315E-0EE5-427D-A2BA-75D702FB9976}"/>
    <cellStyle name="20% - Accent6 4 2 4" xfId="3888" xr:uid="{5F39E91C-DEE9-4AAE-BBBC-96FD6FEE4350}"/>
    <cellStyle name="20% - Accent6 4 3" xfId="1822" xr:uid="{4E34EB62-5440-42DD-8BB2-B6A5B5AA818A}"/>
    <cellStyle name="20% - Accent6 4 3 2" xfId="2660" xr:uid="{DA677DDD-626D-4ABD-9AD8-40C33D5EA3D7}"/>
    <cellStyle name="20% - Accent6 4 3 2 2" xfId="5095" xr:uid="{15E27458-E25C-4A2C-801C-2FA22CF466A1}"/>
    <cellStyle name="20% - Accent6 4 3 3" xfId="4339" xr:uid="{5A763E22-205A-478C-B99A-E3BA57D5EB60}"/>
    <cellStyle name="20% - Accent6 4 4" xfId="2326" xr:uid="{9F4BA4ED-C76C-40B3-A529-40F93C5044D5}"/>
    <cellStyle name="20% - Accent6 4 4 2" xfId="4761" xr:uid="{AF8BE3ED-A36C-470D-B949-3267192289C3}"/>
    <cellStyle name="20% - Accent6 4 5" xfId="1013" xr:uid="{9835A1A3-582B-4CC5-BEB3-3F9F0E66E2FC}"/>
    <cellStyle name="20% - Accent6 4 5 2" xfId="3887" xr:uid="{E7279F50-AF90-4376-9B6F-4E673E898393}"/>
    <cellStyle name="20% - Accent6 5" xfId="246" xr:uid="{00000000-0005-0000-0000-000031000000}"/>
    <cellStyle name="20% - Accent6 5 2" xfId="1964" xr:uid="{C4A807BD-1441-4A64-B357-61DF14CEDC7F}"/>
    <cellStyle name="20% - Accent6 5 2 2" xfId="2802" xr:uid="{806E15D8-A54D-4A6E-9772-D01A7672815B}"/>
    <cellStyle name="20% - Accent6 5 2 2 2" xfId="5237" xr:uid="{E20E59F7-2901-47B4-90A6-67783099AC5F}"/>
    <cellStyle name="20% - Accent6 5 2 3" xfId="4481" xr:uid="{8E2C9663-AE93-4753-A264-E807C883A62F}"/>
    <cellStyle name="20% - Accent6 5 3" xfId="2328" xr:uid="{0621E947-548F-4EE2-99F6-CCF6F1B65603}"/>
    <cellStyle name="20% - Accent6 5 3 2" xfId="4763" xr:uid="{ACC09F02-37B4-4B09-9DE4-4092C202DCCB}"/>
    <cellStyle name="20% - Accent6 5 4" xfId="1015" xr:uid="{4621D1A5-CB6A-48BB-8500-CA57A2AD7313}"/>
    <cellStyle name="20% - Accent6 5 4 2" xfId="3889" xr:uid="{54486E86-02B7-41AB-9D64-7C4D5340CC03}"/>
    <cellStyle name="20% - Accent6 6" xfId="295" xr:uid="{00000000-0005-0000-0000-000032000000}"/>
    <cellStyle name="20% - Accent6 6 2" xfId="2632" xr:uid="{22D31A18-E558-42D0-8E06-9901EE55CA19}"/>
    <cellStyle name="20% - Accent6 6 2 2" xfId="5067" xr:uid="{5B87FEA5-72D1-4903-B335-65AB4C35EF5C}"/>
    <cellStyle name="20% - Accent6 6 3" xfId="1794" xr:uid="{E6EBB1C7-654C-4277-89B4-491E8CD6B2C3}"/>
    <cellStyle name="20% - Accent6 6 3 2" xfId="4311" xr:uid="{D1063137-A923-4D90-9B61-FCAA318855CE}"/>
    <cellStyle name="20% - Accent6 7" xfId="359" xr:uid="{00000000-0005-0000-0000-000033000000}"/>
    <cellStyle name="20% - Accent6 7 2" xfId="2979" xr:uid="{1D4239AF-0E88-411D-B0C6-31687C78CA14}"/>
    <cellStyle name="20% - Accent6 7 2 2" xfId="5414" xr:uid="{552859F0-BB5A-4E9F-9012-76EF315ED881}"/>
    <cellStyle name="20% - Accent6 7 3" xfId="2141" xr:uid="{451580E6-A980-4075-9D43-10BF72B6A4CC}"/>
    <cellStyle name="20% - Accent6 7 3 2" xfId="4658" xr:uid="{C465DDD3-7035-44CC-A139-BBB3173BAF65}"/>
    <cellStyle name="20% - Accent6 8" xfId="430" xr:uid="{00000000-0005-0000-0000-000034000000}"/>
    <cellStyle name="20% - Accent6 8 2" xfId="2170" xr:uid="{9F0149A4-331C-43E7-A5AD-DBED7B7EDFB2}"/>
    <cellStyle name="20% - Accent6 8 2 2" xfId="4671" xr:uid="{818EC89C-84A0-4752-9EA2-C1985C476E52}"/>
    <cellStyle name="20% - Accent6 9" xfId="534" xr:uid="{00000000-0005-0000-0000-000035000000}"/>
    <cellStyle name="20% - Accent6 9 2" xfId="2184" xr:uid="{B0835F1C-8ADD-4FC2-956F-2355BE589A25}"/>
    <cellStyle name="20% - Accent6 9 2 2" xfId="4685" xr:uid="{81885053-AE07-43EE-8191-1B98F57CEBA0}"/>
    <cellStyle name="40% - Accent1" xfId="7" builtinId="31" customBuiltin="1"/>
    <cellStyle name="40% - Accent1 10" xfId="2616" xr:uid="{8DCF070A-6C11-487D-BFBD-3D35B39B9F92}"/>
    <cellStyle name="40% - Accent1 10 2" xfId="5051" xr:uid="{9832DBC0-357D-4D3B-90CF-9E606EECB899}"/>
    <cellStyle name="40% - Accent1 11" xfId="944" xr:uid="{46097E77-5F1A-4B07-AE71-FAFFE50481D3}"/>
    <cellStyle name="40% - Accent1 11 2" xfId="3840" xr:uid="{3E771EAA-1729-4A37-8AF3-FB219A90044D}"/>
    <cellStyle name="40% - Accent1 2" xfId="121" xr:uid="{00000000-0005-0000-0000-000037000000}"/>
    <cellStyle name="40% - Accent1 2 2" xfId="1017" xr:uid="{EE48B4A9-65FA-4FC8-8680-BDD0BA5C69A3}"/>
    <cellStyle name="40% - Accent1 2 3" xfId="1018" xr:uid="{DC9195C7-F47C-43FD-BA98-0D0C4E98A4A6}"/>
    <cellStyle name="40% - Accent1 2 3 2" xfId="1019" xr:uid="{D6B387A6-9662-44E6-BEFE-7848465CE965}"/>
    <cellStyle name="40% - Accent1 2 3 2 2" xfId="1996" xr:uid="{8EEB65FC-E9BB-4FC4-B673-61FC5029F6AC}"/>
    <cellStyle name="40% - Accent1 2 3 2 2 2" xfId="2834" xr:uid="{5CE6FBD4-4399-4CAD-B4E9-2BA8007C0CC6}"/>
    <cellStyle name="40% - Accent1 2 3 2 2 2 2" xfId="5269" xr:uid="{281C139D-322A-417C-A280-3D7CD37572E6}"/>
    <cellStyle name="40% - Accent1 2 3 2 2 3" xfId="4513" xr:uid="{3E42D775-0DFA-4673-986B-BB5F1C629B1C}"/>
    <cellStyle name="40% - Accent1 2 3 2 3" xfId="2330" xr:uid="{55C66B1D-61A6-42B8-BB57-CB269C402D79}"/>
    <cellStyle name="40% - Accent1 2 3 2 3 2" xfId="4765" xr:uid="{B4D17EA6-795B-4437-BCA2-3588FEC9E177}"/>
    <cellStyle name="40% - Accent1 2 3 2 4" xfId="3891" xr:uid="{97A5CD8D-9080-4400-9C41-E55A5B5D0506}"/>
    <cellStyle name="40% - Accent1 2 3 3" xfId="1826" xr:uid="{B9432942-8463-453B-8802-AA2CDBDB5784}"/>
    <cellStyle name="40% - Accent1 2 3 3 2" xfId="2664" xr:uid="{D7FC95AD-F906-4945-980F-972E3AC29BFF}"/>
    <cellStyle name="40% - Accent1 2 3 3 2 2" xfId="5099" xr:uid="{5D2D9C3C-080E-4E95-895A-2748AB24E3C9}"/>
    <cellStyle name="40% - Accent1 2 3 3 3" xfId="4343" xr:uid="{3FF4E9B2-4529-4BC4-82AC-B0074EADC44D}"/>
    <cellStyle name="40% - Accent1 2 3 4" xfId="2329" xr:uid="{3FBA806A-E593-477C-A3AD-B2E19FDD9E5E}"/>
    <cellStyle name="40% - Accent1 2 3 4 2" xfId="4764" xr:uid="{4E775B0E-BA31-449C-BF97-BCA48D24408D}"/>
    <cellStyle name="40% - Accent1 2 3 5" xfId="3890" xr:uid="{540BAFC4-EF50-4A83-B862-F88A3283CFD6}"/>
    <cellStyle name="40% - Accent1 2 4" xfId="2223" xr:uid="{C5B0BFA0-089B-4BCA-A9E6-F0301307232A}"/>
    <cellStyle name="40% - Accent1 2 5" xfId="1016" xr:uid="{648F07C3-F6A0-4826-8FEB-8532217C7658}"/>
    <cellStyle name="40% - Accent1 3" xfId="155" xr:uid="{00000000-0005-0000-0000-000038000000}"/>
    <cellStyle name="40% - Accent1 3 2" xfId="1021" xr:uid="{FE370C24-3AD6-4B1E-8457-DA0B7F8C3794}"/>
    <cellStyle name="40% - Accent1 3 2 2" xfId="1997" xr:uid="{582F2FE9-89BA-4469-9809-F8BA59B69C97}"/>
    <cellStyle name="40% - Accent1 3 2 2 2" xfId="2835" xr:uid="{3F8EF19E-78A2-4245-A3E0-4C517A27EFC5}"/>
    <cellStyle name="40% - Accent1 3 2 2 2 2" xfId="5270" xr:uid="{6863D2C5-EE8A-4F6F-9DF0-9169BF337B86}"/>
    <cellStyle name="40% - Accent1 3 2 2 3" xfId="4514" xr:uid="{9BAD4EE6-51B6-41F5-91A8-74F8E253EEDE}"/>
    <cellStyle name="40% - Accent1 3 2 3" xfId="2332" xr:uid="{7818673E-111F-4712-8F55-9203627E9E64}"/>
    <cellStyle name="40% - Accent1 3 2 3 2" xfId="4767" xr:uid="{CD0BB43D-DB52-4B2D-A39A-D1099005A44F}"/>
    <cellStyle name="40% - Accent1 3 2 4" xfId="3893" xr:uid="{0F2A771F-21ED-40A7-85E1-887715581B07}"/>
    <cellStyle name="40% - Accent1 3 3" xfId="1827" xr:uid="{12EAA968-45E3-4A12-AAFC-A166182F278F}"/>
    <cellStyle name="40% - Accent1 3 3 2" xfId="2665" xr:uid="{C78DA72A-A91C-423D-A85C-FE7612BFD611}"/>
    <cellStyle name="40% - Accent1 3 3 2 2" xfId="5100" xr:uid="{EC970F49-32CF-487C-8D33-1F83D2847AFB}"/>
    <cellStyle name="40% - Accent1 3 3 3" xfId="4344" xr:uid="{73B316DB-FE24-4E3C-B427-F361C557482E}"/>
    <cellStyle name="40% - Accent1 3 4" xfId="2331" xr:uid="{6E5D48A6-D5C8-43AA-9B31-772799AB031B}"/>
    <cellStyle name="40% - Accent1 3 4 2" xfId="4766" xr:uid="{487E860D-ACAD-4A02-B72E-22E4F81B6116}"/>
    <cellStyle name="40% - Accent1 3 5" xfId="1020" xr:uid="{FF522930-8B14-4E28-8E4A-BB5ED8305E8E}"/>
    <cellStyle name="40% - Accent1 3 5 2" xfId="3892" xr:uid="{BF1C0A06-CE90-4425-B55C-9EB080F185B3}"/>
    <cellStyle name="40% - Accent1 4" xfId="201" xr:uid="{00000000-0005-0000-0000-000039000000}"/>
    <cellStyle name="40% - Accent1 4 2" xfId="1023" xr:uid="{93840538-DAE1-4C0D-9FE3-5F0452C86E85}"/>
    <cellStyle name="40% - Accent1 4 2 2" xfId="1995" xr:uid="{AD96C125-14A3-49C9-9B4D-A0DE30A33181}"/>
    <cellStyle name="40% - Accent1 4 2 2 2" xfId="2833" xr:uid="{DC2E03EB-4AD4-41A0-8838-D2B0574D9909}"/>
    <cellStyle name="40% - Accent1 4 2 2 2 2" xfId="5268" xr:uid="{58278A91-AEC1-4145-8349-F19CE5F8D428}"/>
    <cellStyle name="40% - Accent1 4 2 2 3" xfId="4512" xr:uid="{AEF84FA0-940C-46A2-8747-BB962BD5D022}"/>
    <cellStyle name="40% - Accent1 4 2 3" xfId="2334" xr:uid="{42B24712-EF83-4749-8AB1-3FB5AAC83AA2}"/>
    <cellStyle name="40% - Accent1 4 2 3 2" xfId="4769" xr:uid="{6C11AE4D-356F-4F57-AEFA-C8A925CEC94C}"/>
    <cellStyle name="40% - Accent1 4 2 4" xfId="3895" xr:uid="{EF37CAAA-5790-4E1A-A21A-E5141875935A}"/>
    <cellStyle name="40% - Accent1 4 3" xfId="1825" xr:uid="{4D5FCDA6-F22E-4E53-BAB4-3D2999636ED7}"/>
    <cellStyle name="40% - Accent1 4 3 2" xfId="2663" xr:uid="{6831E5E7-98ED-4212-814C-282CF515E354}"/>
    <cellStyle name="40% - Accent1 4 3 2 2" xfId="5098" xr:uid="{FC8CCE56-6E45-42F1-AE55-D74BEF0FD3E1}"/>
    <cellStyle name="40% - Accent1 4 3 3" xfId="4342" xr:uid="{726245DD-A7AC-4956-9DB1-E14E5A906021}"/>
    <cellStyle name="40% - Accent1 4 4" xfId="2333" xr:uid="{92A1FEFF-F629-41EC-B43C-36C71232A3E0}"/>
    <cellStyle name="40% - Accent1 4 4 2" xfId="4768" xr:uid="{BC28C5CB-5992-4218-9E38-E76E1E37DC58}"/>
    <cellStyle name="40% - Accent1 4 5" xfId="1022" xr:uid="{A22BB37C-CB2B-478D-807B-8FE7BF86C5E7}"/>
    <cellStyle name="40% - Accent1 4 5 2" xfId="3894" xr:uid="{D7D315DD-20EC-44F0-B080-776F27C2EE9D}"/>
    <cellStyle name="40% - Accent1 5" xfId="247" xr:uid="{00000000-0005-0000-0000-00003A000000}"/>
    <cellStyle name="40% - Accent1 5 2" xfId="1965" xr:uid="{58C80BFF-42C7-4126-BAA6-119CEBA75570}"/>
    <cellStyle name="40% - Accent1 5 2 2" xfId="2803" xr:uid="{DF6CD9D2-F7E2-475C-8B4F-015AA8A4DA14}"/>
    <cellStyle name="40% - Accent1 5 2 2 2" xfId="5238" xr:uid="{22325EC8-EB99-41C9-8A1D-684E407B061E}"/>
    <cellStyle name="40% - Accent1 5 2 3" xfId="4482" xr:uid="{CCB9A425-59E6-457A-99FA-47E414E8B555}"/>
    <cellStyle name="40% - Accent1 5 3" xfId="2335" xr:uid="{0C00D2A3-64B5-4CCF-9C89-79857C6CF382}"/>
    <cellStyle name="40% - Accent1 5 3 2" xfId="4770" xr:uid="{41C87991-2D38-48B7-A891-9E2B4C7FB789}"/>
    <cellStyle name="40% - Accent1 5 4" xfId="1024" xr:uid="{1DA25C8A-EFCF-4CD2-A4CB-0EFAB4A69DC5}"/>
    <cellStyle name="40% - Accent1 5 4 2" xfId="3896" xr:uid="{132E7D38-795B-4B28-A2B8-1C3746543887}"/>
    <cellStyle name="40% - Accent1 6" xfId="296" xr:uid="{00000000-0005-0000-0000-00003B000000}"/>
    <cellStyle name="40% - Accent1 6 2" xfId="2633" xr:uid="{D952AC11-1B1F-42FD-975A-1AD990526C1B}"/>
    <cellStyle name="40% - Accent1 6 2 2" xfId="5068" xr:uid="{1F6DCBA6-01AD-4A4A-B500-99156671DD02}"/>
    <cellStyle name="40% - Accent1 6 3" xfId="1795" xr:uid="{56E05594-FA1E-4647-B277-307FDA961CF2}"/>
    <cellStyle name="40% - Accent1 6 3 2" xfId="4312" xr:uid="{A0F900EF-A3FE-4B0D-B4BA-92B8EA46EF61}"/>
    <cellStyle name="40% - Accent1 7" xfId="360" xr:uid="{00000000-0005-0000-0000-00003C000000}"/>
    <cellStyle name="40% - Accent1 7 2" xfId="2970" xr:uid="{336063C9-E1F0-4D0B-8A93-DDEE942B6C77}"/>
    <cellStyle name="40% - Accent1 7 2 2" xfId="5405" xr:uid="{FC0B442D-1059-4EE8-B21C-742C098A17A7}"/>
    <cellStyle name="40% - Accent1 7 3" xfId="2132" xr:uid="{9A52F3B6-521F-40F9-9248-D65415BD5E99}"/>
    <cellStyle name="40% - Accent1 7 3 2" xfId="4649" xr:uid="{9E91A0AC-97EF-4F4F-A0D2-0D5263FA2446}"/>
    <cellStyle name="40% - Accent1 8" xfId="431" xr:uid="{00000000-0005-0000-0000-00003D000000}"/>
    <cellStyle name="40% - Accent1 8 2" xfId="2161" xr:uid="{446425C6-AD67-4B85-92C7-39C2BF478FD3}"/>
    <cellStyle name="40% - Accent1 8 2 2" xfId="4662" xr:uid="{0184520C-7DF5-44F9-8DB7-D8689330376F}"/>
    <cellStyle name="40% - Accent1 9" xfId="535" xr:uid="{00000000-0005-0000-0000-00003E000000}"/>
    <cellStyle name="40% - Accent1 9 2" xfId="2175" xr:uid="{4A54814F-EC79-4125-A046-4E0F4D9EF67B}"/>
    <cellStyle name="40% - Accent1 9 2 2" xfId="4676" xr:uid="{6A15A2DC-10A4-4C59-B516-EFB4DE783A09}"/>
    <cellStyle name="40% - Accent2" xfId="8" builtinId="35" customBuiltin="1"/>
    <cellStyle name="40% - Accent2 10" xfId="2618" xr:uid="{4ED8CBBC-0D55-4F26-B119-846424F4CA95}"/>
    <cellStyle name="40% - Accent2 10 2" xfId="5053" xr:uid="{6B354EB2-ED62-41F3-9F2F-16CC62724C5B}"/>
    <cellStyle name="40% - Accent2 11" xfId="893" xr:uid="{D6CC90F6-0DF7-49B8-A513-9DD4961A0502}"/>
    <cellStyle name="40% - Accent2 11 2" xfId="3824" xr:uid="{06EF7812-1EE3-46B0-AA4E-CEBCC7395DC6}"/>
    <cellStyle name="40% - Accent2 2" xfId="122" xr:uid="{00000000-0005-0000-0000-000040000000}"/>
    <cellStyle name="40% - Accent2 2 2" xfId="1026" xr:uid="{6B5255D9-CB53-4690-9973-FD8E659E02A4}"/>
    <cellStyle name="40% - Accent2 2 3" xfId="1027" xr:uid="{22D0D5E1-605C-46D1-B31F-A850489A6057}"/>
    <cellStyle name="40% - Accent2 2 3 2" xfId="1028" xr:uid="{0D1AE1B7-00C9-4A6B-AD84-23BFF950FA87}"/>
    <cellStyle name="40% - Accent2 2 3 2 2" xfId="1999" xr:uid="{A18D3EB8-3271-4554-9210-65D763B37097}"/>
    <cellStyle name="40% - Accent2 2 3 2 2 2" xfId="2837" xr:uid="{C72ACBCA-2B43-4030-94FD-74F11BE8E98D}"/>
    <cellStyle name="40% - Accent2 2 3 2 2 2 2" xfId="5272" xr:uid="{220B7851-665C-4EAC-A76E-F41A6E1E654A}"/>
    <cellStyle name="40% - Accent2 2 3 2 2 3" xfId="4516" xr:uid="{F6AD9080-D777-4294-9AB0-839F66A77510}"/>
    <cellStyle name="40% - Accent2 2 3 2 3" xfId="2337" xr:uid="{FDDC75C2-50C9-48D5-91C8-FB9B4F8BB5BF}"/>
    <cellStyle name="40% - Accent2 2 3 2 3 2" xfId="4772" xr:uid="{2DFFDAC0-CDB2-4DFB-B0B1-05F175933176}"/>
    <cellStyle name="40% - Accent2 2 3 2 4" xfId="3898" xr:uid="{E5D341C4-C700-4827-B908-C33771C46A39}"/>
    <cellStyle name="40% - Accent2 2 3 3" xfId="1829" xr:uid="{CE441B61-9CA3-42A6-9CF0-09C2530BD27E}"/>
    <cellStyle name="40% - Accent2 2 3 3 2" xfId="2667" xr:uid="{E9789472-8691-4150-B608-79D41C1601FE}"/>
    <cellStyle name="40% - Accent2 2 3 3 2 2" xfId="5102" xr:uid="{74CAE5EE-61D1-4B15-9C66-32845134B057}"/>
    <cellStyle name="40% - Accent2 2 3 3 3" xfId="4346" xr:uid="{31958467-638A-4070-A61C-BC354B628BE5}"/>
    <cellStyle name="40% - Accent2 2 3 4" xfId="2336" xr:uid="{F0DE6004-854A-42D2-8D1E-14BAD10469BC}"/>
    <cellStyle name="40% - Accent2 2 3 4 2" xfId="4771" xr:uid="{E69C30D3-DE74-4DA4-B9CA-DD90AF2D600B}"/>
    <cellStyle name="40% - Accent2 2 3 5" xfId="3897" xr:uid="{25B1009B-FEB4-45D2-9F7E-631C72A6D1CE}"/>
    <cellStyle name="40% - Accent2 2 4" xfId="2224" xr:uid="{9B866BF4-7507-4FBB-AB72-CC085B508EF7}"/>
    <cellStyle name="40% - Accent2 2 5" xfId="1025" xr:uid="{46A41531-F2B5-4F5F-8A35-BAB4B088FFB2}"/>
    <cellStyle name="40% - Accent2 3" xfId="156" xr:uid="{00000000-0005-0000-0000-000041000000}"/>
    <cellStyle name="40% - Accent2 3 2" xfId="1030" xr:uid="{5322D6BD-A374-461D-8A70-1C146D8AF3FA}"/>
    <cellStyle name="40% - Accent2 3 2 2" xfId="2000" xr:uid="{E68FD63E-C94A-456A-B05F-9BC4970E5B73}"/>
    <cellStyle name="40% - Accent2 3 2 2 2" xfId="2838" xr:uid="{868C5B54-0648-4ECE-BF6F-8584BB61DCD7}"/>
    <cellStyle name="40% - Accent2 3 2 2 2 2" xfId="5273" xr:uid="{BE14042F-7F8F-4969-AD34-29DF1EAFB943}"/>
    <cellStyle name="40% - Accent2 3 2 2 3" xfId="4517" xr:uid="{798BD15A-B058-458F-9B97-093747010DB1}"/>
    <cellStyle name="40% - Accent2 3 2 3" xfId="2339" xr:uid="{358ACF96-D8BB-426E-9EF4-7C19C5E69CBB}"/>
    <cellStyle name="40% - Accent2 3 2 3 2" xfId="4774" xr:uid="{AA503A31-3B49-4A17-8010-157F30B2130F}"/>
    <cellStyle name="40% - Accent2 3 2 4" xfId="3900" xr:uid="{9B2868B2-AA86-4909-9E4C-C564A6897B6A}"/>
    <cellStyle name="40% - Accent2 3 3" xfId="1830" xr:uid="{8FAF9D24-EACF-4860-9C7E-45EA276D9B71}"/>
    <cellStyle name="40% - Accent2 3 3 2" xfId="2668" xr:uid="{9B7490B5-40BB-446A-8CB6-D30DBA58E466}"/>
    <cellStyle name="40% - Accent2 3 3 2 2" xfId="5103" xr:uid="{28F23F5C-DFDF-4222-8361-C97684560A1A}"/>
    <cellStyle name="40% - Accent2 3 3 3" xfId="4347" xr:uid="{155847CA-D9B8-4EDC-BD9E-972CBEDE8CB6}"/>
    <cellStyle name="40% - Accent2 3 4" xfId="2338" xr:uid="{3629ABE5-6672-4DFD-8EA0-15587EA23525}"/>
    <cellStyle name="40% - Accent2 3 4 2" xfId="4773" xr:uid="{E26E60E0-0022-4FEF-B027-1B539A90BCDA}"/>
    <cellStyle name="40% - Accent2 3 5" xfId="1029" xr:uid="{3B09D580-820C-49FB-81A3-01EFBA75B48F}"/>
    <cellStyle name="40% - Accent2 3 5 2" xfId="3899" xr:uid="{C2D2ECE5-3CC2-45A4-8C29-19D1FB6E183B}"/>
    <cellStyle name="40% - Accent2 4" xfId="202" xr:uid="{00000000-0005-0000-0000-000042000000}"/>
    <cellStyle name="40% - Accent2 4 2" xfId="1032" xr:uid="{42DC46C4-87E8-4925-A28E-816E5CF076A2}"/>
    <cellStyle name="40% - Accent2 4 2 2" xfId="1998" xr:uid="{6E81AC5C-F2D9-4EE1-ADA9-839D4521C0B1}"/>
    <cellStyle name="40% - Accent2 4 2 2 2" xfId="2836" xr:uid="{DC2E255B-C60C-469C-B104-B54343E1DAA6}"/>
    <cellStyle name="40% - Accent2 4 2 2 2 2" xfId="5271" xr:uid="{CE3EB828-DD84-4F78-873C-28F1F107D3F2}"/>
    <cellStyle name="40% - Accent2 4 2 2 3" xfId="4515" xr:uid="{26C500D4-1C15-4DDF-95BE-E78A189A0E47}"/>
    <cellStyle name="40% - Accent2 4 2 3" xfId="2341" xr:uid="{B39BC855-4F75-40C9-B574-7E5834953957}"/>
    <cellStyle name="40% - Accent2 4 2 3 2" xfId="4776" xr:uid="{D253577F-0005-4962-901F-F036FDF77AA5}"/>
    <cellStyle name="40% - Accent2 4 2 4" xfId="3902" xr:uid="{CB96834B-5B2C-4BA6-82B8-155074D8C052}"/>
    <cellStyle name="40% - Accent2 4 3" xfId="1828" xr:uid="{D2E37A67-86B6-4258-8CF7-3FBD20E638BF}"/>
    <cellStyle name="40% - Accent2 4 3 2" xfId="2666" xr:uid="{253A0C2D-EB5A-47C9-936E-4EAAD8078C74}"/>
    <cellStyle name="40% - Accent2 4 3 2 2" xfId="5101" xr:uid="{5FED8C17-0019-4928-AE60-8810BE3B1FF4}"/>
    <cellStyle name="40% - Accent2 4 3 3" xfId="4345" xr:uid="{727D9186-61AE-4B92-9040-7A60B85EB28A}"/>
    <cellStyle name="40% - Accent2 4 4" xfId="2340" xr:uid="{2B579A92-8853-4B2D-A889-742FAADED4CE}"/>
    <cellStyle name="40% - Accent2 4 4 2" xfId="4775" xr:uid="{1639C33C-E146-4481-AD7F-8280A82916A2}"/>
    <cellStyle name="40% - Accent2 4 5" xfId="1031" xr:uid="{0E944379-D451-43BF-BF64-4870F4FAEEF1}"/>
    <cellStyle name="40% - Accent2 4 5 2" xfId="3901" xr:uid="{3928FD80-0E91-4704-9589-96AD8BB28245}"/>
    <cellStyle name="40% - Accent2 5" xfId="248" xr:uid="{00000000-0005-0000-0000-000043000000}"/>
    <cellStyle name="40% - Accent2 5 2" xfId="1966" xr:uid="{F4E17101-50B3-41ED-BB4D-641C96D86CED}"/>
    <cellStyle name="40% - Accent2 5 2 2" xfId="2804" xr:uid="{57F9DBBA-BECF-48E1-8CC2-5F1149710052}"/>
    <cellStyle name="40% - Accent2 5 2 2 2" xfId="5239" xr:uid="{DB9380B4-8633-4EFB-996B-EAA6042A7DF6}"/>
    <cellStyle name="40% - Accent2 5 2 3" xfId="4483" xr:uid="{DFC0BF43-EE48-4AF0-B402-A4F675E512A0}"/>
    <cellStyle name="40% - Accent2 5 3" xfId="2342" xr:uid="{204C8AEF-F453-46A4-98E9-999A1C6C5EF7}"/>
    <cellStyle name="40% - Accent2 5 3 2" xfId="4777" xr:uid="{17C2A9F3-01AD-4BA0-8D49-BFC7A24740AC}"/>
    <cellStyle name="40% - Accent2 5 4" xfId="1033" xr:uid="{BCC49285-3421-4C7C-80B3-0ED30D6AABD8}"/>
    <cellStyle name="40% - Accent2 5 4 2" xfId="3903" xr:uid="{BFB33BBC-BBDE-403F-B56B-1333CEB4B97C}"/>
    <cellStyle name="40% - Accent2 6" xfId="297" xr:uid="{00000000-0005-0000-0000-000044000000}"/>
    <cellStyle name="40% - Accent2 6 2" xfId="2634" xr:uid="{85F7B6F5-D95E-4D94-82BB-E7D0DA33D648}"/>
    <cellStyle name="40% - Accent2 6 2 2" xfId="5069" xr:uid="{2FE7A053-8174-4F58-9D3D-B6BD049B7ACB}"/>
    <cellStyle name="40% - Accent2 6 3" xfId="1796" xr:uid="{E15BB069-C0DC-4BC4-95EB-E54BF7CD2FBA}"/>
    <cellStyle name="40% - Accent2 6 3 2" xfId="4313" xr:uid="{1C1D7A6E-7F13-40C8-AC22-628F74A89A0F}"/>
    <cellStyle name="40% - Accent2 7" xfId="361" xr:uid="{00000000-0005-0000-0000-000045000000}"/>
    <cellStyle name="40% - Accent2 7 2" xfId="2972" xr:uid="{E6E563E8-0CBF-4BBC-ACC2-A09A31F533A9}"/>
    <cellStyle name="40% - Accent2 7 2 2" xfId="5407" xr:uid="{34D1700C-5B1F-4825-81B6-8147F3EDB03D}"/>
    <cellStyle name="40% - Accent2 7 3" xfId="2134" xr:uid="{C1422F2F-CEE7-4A3C-99AC-C1E5168BBFFF}"/>
    <cellStyle name="40% - Accent2 7 3 2" xfId="4651" xr:uid="{FE95389A-4AA5-494C-9429-342506B46E90}"/>
    <cellStyle name="40% - Accent2 8" xfId="432" xr:uid="{00000000-0005-0000-0000-000046000000}"/>
    <cellStyle name="40% - Accent2 8 2" xfId="2163" xr:uid="{C9041BBB-5899-4B75-83E2-84C6BC5BA982}"/>
    <cellStyle name="40% - Accent2 8 2 2" xfId="4664" xr:uid="{08BEE4BC-2179-40C9-90B5-F3BABDA6695C}"/>
    <cellStyle name="40% - Accent2 9" xfId="536" xr:uid="{00000000-0005-0000-0000-000047000000}"/>
    <cellStyle name="40% - Accent2 9 2" xfId="2177" xr:uid="{21DC29D4-E009-49F0-8C87-AB9B553F1698}"/>
    <cellStyle name="40% - Accent2 9 2 2" xfId="4678" xr:uid="{6A175A0C-E4F2-4BC3-812D-36A3D0039C36}"/>
    <cellStyle name="40% - Accent3" xfId="9" builtinId="39" customBuiltin="1"/>
    <cellStyle name="40% - Accent3 10" xfId="2620" xr:uid="{D03705F1-283D-4103-9DF2-44F8014E5DF1}"/>
    <cellStyle name="40% - Accent3 10 2" xfId="5055" xr:uid="{948B8219-D7AF-4B5F-9641-7848751D194C}"/>
    <cellStyle name="40% - Accent3 11" xfId="894" xr:uid="{BEB4EAE7-F034-4700-B2F3-ED68D2F135C6}"/>
    <cellStyle name="40% - Accent3 11 2" xfId="3825" xr:uid="{4AF76F72-7D4B-4EEF-A5BB-2270C2BFC5C3}"/>
    <cellStyle name="40% - Accent3 2" xfId="123" xr:uid="{00000000-0005-0000-0000-000049000000}"/>
    <cellStyle name="40% - Accent3 2 2" xfId="1035" xr:uid="{027332D9-2EB7-4DD1-A3D9-9987E80C940D}"/>
    <cellStyle name="40% - Accent3 2 3" xfId="1036" xr:uid="{2ECE416E-E605-4573-AD51-7D73BC711556}"/>
    <cellStyle name="40% - Accent3 2 3 2" xfId="1037" xr:uid="{B0B6B9A7-C04F-4799-81F9-AF0B839BADB6}"/>
    <cellStyle name="40% - Accent3 2 3 2 2" xfId="2002" xr:uid="{2919B334-82E2-4AE2-9830-9F8351F96F9A}"/>
    <cellStyle name="40% - Accent3 2 3 2 2 2" xfId="2840" xr:uid="{9D95E25C-60C7-418C-A09A-EA06F8F33610}"/>
    <cellStyle name="40% - Accent3 2 3 2 2 2 2" xfId="5275" xr:uid="{022247CA-CC1C-476E-A328-32253C6D5334}"/>
    <cellStyle name="40% - Accent3 2 3 2 2 3" xfId="4519" xr:uid="{025EA318-10F9-49B4-92C8-540CFD59D7F6}"/>
    <cellStyle name="40% - Accent3 2 3 2 3" xfId="2344" xr:uid="{F8E39E6D-0DBF-45A4-AF43-CDBEE7638C0F}"/>
    <cellStyle name="40% - Accent3 2 3 2 3 2" xfId="4779" xr:uid="{890C54AA-19C6-4CDE-BC24-6A10265CF5D1}"/>
    <cellStyle name="40% - Accent3 2 3 2 4" xfId="3905" xr:uid="{2E744821-A0BD-4686-8BDB-82ECF086AAC8}"/>
    <cellStyle name="40% - Accent3 2 3 3" xfId="1832" xr:uid="{55082156-81C0-4F26-A75D-1E29F3B5C755}"/>
    <cellStyle name="40% - Accent3 2 3 3 2" xfId="2670" xr:uid="{F2C5545B-687B-4D58-AD4F-EF8346D9470F}"/>
    <cellStyle name="40% - Accent3 2 3 3 2 2" xfId="5105" xr:uid="{075E7CAC-6FD8-4C64-844B-B15C0A3C92FD}"/>
    <cellStyle name="40% - Accent3 2 3 3 3" xfId="4349" xr:uid="{7CD86003-E336-4707-9DEC-D04A337E277E}"/>
    <cellStyle name="40% - Accent3 2 3 4" xfId="2343" xr:uid="{3D0B2A48-1D5B-4EB2-A0F8-5D5941A31C71}"/>
    <cellStyle name="40% - Accent3 2 3 4 2" xfId="4778" xr:uid="{8C7CF4CB-5A79-4A22-80AA-CC906882CA9F}"/>
    <cellStyle name="40% - Accent3 2 3 5" xfId="3904" xr:uid="{1EEBCA4B-8F7D-4867-A9DB-58B5A805FFFE}"/>
    <cellStyle name="40% - Accent3 2 4" xfId="2225" xr:uid="{4E1B9DB2-724D-497A-ABA4-5ABF9DF46E1F}"/>
    <cellStyle name="40% - Accent3 2 5" xfId="1034" xr:uid="{80840938-49E6-4C94-90E7-5512EFF48B42}"/>
    <cellStyle name="40% - Accent3 3" xfId="157" xr:uid="{00000000-0005-0000-0000-00004A000000}"/>
    <cellStyle name="40% - Accent3 3 2" xfId="1039" xr:uid="{A4163C39-0254-4651-9A09-F4398787355F}"/>
    <cellStyle name="40% - Accent3 3 2 2" xfId="2003" xr:uid="{5618BC1E-15AF-469C-B516-57BCB349F213}"/>
    <cellStyle name="40% - Accent3 3 2 2 2" xfId="2841" xr:uid="{24D5AEF9-E009-4DC2-8D91-089A825C427B}"/>
    <cellStyle name="40% - Accent3 3 2 2 2 2" xfId="5276" xr:uid="{86A0D762-E7D5-4C66-890A-71689B47E8F4}"/>
    <cellStyle name="40% - Accent3 3 2 2 3" xfId="4520" xr:uid="{B58E5B51-36D8-431D-91FA-B292E021B999}"/>
    <cellStyle name="40% - Accent3 3 2 3" xfId="2346" xr:uid="{48C9B6CC-9987-4A3B-99B7-95E7FBB006DB}"/>
    <cellStyle name="40% - Accent3 3 2 3 2" xfId="4781" xr:uid="{45FC9F42-E41C-4661-993A-EDA5135AF14A}"/>
    <cellStyle name="40% - Accent3 3 2 4" xfId="3907" xr:uid="{9D872CCD-8C4D-42C9-9747-5E4B3CF499ED}"/>
    <cellStyle name="40% - Accent3 3 3" xfId="1833" xr:uid="{BE366B6A-1996-41E1-B78B-72CB0D0BA5E7}"/>
    <cellStyle name="40% - Accent3 3 3 2" xfId="2671" xr:uid="{7415228F-059D-4799-AC19-08EDF39B9B03}"/>
    <cellStyle name="40% - Accent3 3 3 2 2" xfId="5106" xr:uid="{C0C38D83-E71E-4492-A7F6-F5AE5094D4C1}"/>
    <cellStyle name="40% - Accent3 3 3 3" xfId="4350" xr:uid="{455C83FE-E051-47CA-84DB-C834DE858E40}"/>
    <cellStyle name="40% - Accent3 3 4" xfId="2345" xr:uid="{B7D69C59-D338-4C6F-8D7D-127038B27552}"/>
    <cellStyle name="40% - Accent3 3 4 2" xfId="4780" xr:uid="{38AF1530-2432-49A8-AA1A-2C088372EBC5}"/>
    <cellStyle name="40% - Accent3 3 5" xfId="1038" xr:uid="{12D06056-74D5-46A2-A626-D19A80418A6E}"/>
    <cellStyle name="40% - Accent3 3 5 2" xfId="3906" xr:uid="{0EAD8279-85BF-421F-AC7C-CFF4E33CC5D4}"/>
    <cellStyle name="40% - Accent3 4" xfId="203" xr:uid="{00000000-0005-0000-0000-00004B000000}"/>
    <cellStyle name="40% - Accent3 4 2" xfId="1041" xr:uid="{2683EA80-6F60-4C73-9741-C59E6197270F}"/>
    <cellStyle name="40% - Accent3 4 2 2" xfId="2001" xr:uid="{C0042232-4A98-458C-B5EC-9502EE225DB1}"/>
    <cellStyle name="40% - Accent3 4 2 2 2" xfId="2839" xr:uid="{771FC633-B27A-4B70-917B-16D0F70DCD0E}"/>
    <cellStyle name="40% - Accent3 4 2 2 2 2" xfId="5274" xr:uid="{7526066C-146F-4F62-961B-A823554B831B}"/>
    <cellStyle name="40% - Accent3 4 2 2 3" xfId="4518" xr:uid="{7186C668-0A8E-4415-AD08-BAAAECC6FC3E}"/>
    <cellStyle name="40% - Accent3 4 2 3" xfId="2348" xr:uid="{0E927B08-B40B-4E3A-90BD-3749085F3694}"/>
    <cellStyle name="40% - Accent3 4 2 3 2" xfId="4783" xr:uid="{90F7E248-DF7D-4D10-89CA-7767F5CF34B9}"/>
    <cellStyle name="40% - Accent3 4 2 4" xfId="3909" xr:uid="{5708B07D-B056-422B-A1CC-22EE7F50643A}"/>
    <cellStyle name="40% - Accent3 4 3" xfId="1831" xr:uid="{5F5418D4-8788-46D2-92F8-16A37417670A}"/>
    <cellStyle name="40% - Accent3 4 3 2" xfId="2669" xr:uid="{ED4CAA7C-14F0-4B84-B447-0541164181E4}"/>
    <cellStyle name="40% - Accent3 4 3 2 2" xfId="5104" xr:uid="{CA347DE7-F313-40CC-939D-0CC533D8B2BF}"/>
    <cellStyle name="40% - Accent3 4 3 3" xfId="4348" xr:uid="{1DFFCB72-8E6D-4070-83B5-2B899C9B268D}"/>
    <cellStyle name="40% - Accent3 4 4" xfId="2347" xr:uid="{063EFA8E-DEDB-4B3E-B889-C26731A4688C}"/>
    <cellStyle name="40% - Accent3 4 4 2" xfId="4782" xr:uid="{F381EABD-8BB6-4E53-BAF6-9851B3CE65B5}"/>
    <cellStyle name="40% - Accent3 4 5" xfId="1040" xr:uid="{F43464E9-CC0D-4003-93DE-6B26DEEB3C4C}"/>
    <cellStyle name="40% - Accent3 4 5 2" xfId="3908" xr:uid="{9264628C-766E-4567-A64B-CCE186A8A31A}"/>
    <cellStyle name="40% - Accent3 5" xfId="249" xr:uid="{00000000-0005-0000-0000-00004C000000}"/>
    <cellStyle name="40% - Accent3 5 2" xfId="1967" xr:uid="{5717DCE0-A95D-478B-80E6-CDBC54F62C66}"/>
    <cellStyle name="40% - Accent3 5 2 2" xfId="2805" xr:uid="{2D4CE687-B75B-48CA-8FF4-F33E7BAA443B}"/>
    <cellStyle name="40% - Accent3 5 2 2 2" xfId="5240" xr:uid="{50F22E40-1F0D-4F62-AC3B-FED120659208}"/>
    <cellStyle name="40% - Accent3 5 2 3" xfId="4484" xr:uid="{4200D24B-2274-482D-8484-9F22878B0C94}"/>
    <cellStyle name="40% - Accent3 5 3" xfId="2349" xr:uid="{3F121369-597C-4A67-AA71-41EEF23B1591}"/>
    <cellStyle name="40% - Accent3 5 3 2" xfId="4784" xr:uid="{D7730369-F223-4F40-9FA9-DB143AEC5572}"/>
    <cellStyle name="40% - Accent3 5 4" xfId="1042" xr:uid="{30F462C0-1140-4C1D-8578-82CD0FB224D9}"/>
    <cellStyle name="40% - Accent3 5 4 2" xfId="3910" xr:uid="{64112712-1696-4963-971B-11ED0C37E7E9}"/>
    <cellStyle name="40% - Accent3 6" xfId="298" xr:uid="{00000000-0005-0000-0000-00004D000000}"/>
    <cellStyle name="40% - Accent3 6 2" xfId="2635" xr:uid="{85BC891B-CA1C-44DE-AA8C-D00C12FB90A8}"/>
    <cellStyle name="40% - Accent3 6 2 2" xfId="5070" xr:uid="{2635973E-6DB0-419D-B760-2E8DE7A91AE8}"/>
    <cellStyle name="40% - Accent3 6 3" xfId="1797" xr:uid="{900D2738-B04F-407A-9F79-151B4674F5DC}"/>
    <cellStyle name="40% - Accent3 6 3 2" xfId="4314" xr:uid="{1B5D8845-A8A9-4BC9-9596-0A9C10C428A4}"/>
    <cellStyle name="40% - Accent3 7" xfId="362" xr:uid="{00000000-0005-0000-0000-00004E000000}"/>
    <cellStyle name="40% - Accent3 7 2" xfId="2974" xr:uid="{745B1B20-FEF6-4C5E-B17F-61AC42180B1A}"/>
    <cellStyle name="40% - Accent3 7 2 2" xfId="5409" xr:uid="{C005027C-1088-4AAA-8507-F611546F6B28}"/>
    <cellStyle name="40% - Accent3 7 3" xfId="2136" xr:uid="{4677B899-388B-4AD1-98BB-6ABB7E834ACA}"/>
    <cellStyle name="40% - Accent3 7 3 2" xfId="4653" xr:uid="{64C71B14-D5E8-42C4-9F8E-5C97490630DE}"/>
    <cellStyle name="40% - Accent3 8" xfId="433" xr:uid="{00000000-0005-0000-0000-00004F000000}"/>
    <cellStyle name="40% - Accent3 8 2" xfId="2165" xr:uid="{2B3A52B2-2B2F-4EBE-AF86-C04A005C7AC3}"/>
    <cellStyle name="40% - Accent3 8 2 2" xfId="4666" xr:uid="{FB50FEB6-9BCC-4330-90E3-63C96CF31F7A}"/>
    <cellStyle name="40% - Accent3 9" xfId="537" xr:uid="{00000000-0005-0000-0000-000050000000}"/>
    <cellStyle name="40% - Accent3 9 2" xfId="2179" xr:uid="{73225AB0-2279-47EC-A712-98904FB9D3EF}"/>
    <cellStyle name="40% - Accent3 9 2 2" xfId="4680" xr:uid="{A1B89623-A572-4C1B-89F9-95DE440FEEF6}"/>
    <cellStyle name="40% - Accent4" xfId="10" builtinId="43" customBuiltin="1"/>
    <cellStyle name="40% - Accent4 10" xfId="2622" xr:uid="{0E144FDE-7340-4A8F-BA04-96915B70C42A}"/>
    <cellStyle name="40% - Accent4 10 2" xfId="5057" xr:uid="{6DDDD463-32E6-4E32-9BFD-B2CFFAE216DE}"/>
    <cellStyle name="40% - Accent4 11" xfId="914" xr:uid="{44800666-2691-4C94-8A77-A6BFD5C031CE}"/>
    <cellStyle name="40% - Accent4 11 2" xfId="3826" xr:uid="{8AF8C8D4-0D48-417A-8D55-538E6277A251}"/>
    <cellStyle name="40% - Accent4 2" xfId="124" xr:uid="{00000000-0005-0000-0000-000052000000}"/>
    <cellStyle name="40% - Accent4 2 2" xfId="1044" xr:uid="{A0B0F8D9-488B-4370-8D3E-57AD03BECD33}"/>
    <cellStyle name="40% - Accent4 2 3" xfId="1045" xr:uid="{0539CD71-78BC-41FE-BB52-497B096ABEDA}"/>
    <cellStyle name="40% - Accent4 2 3 2" xfId="1046" xr:uid="{4C8D461D-706D-45E8-9905-E348C5ABAAEF}"/>
    <cellStyle name="40% - Accent4 2 3 2 2" xfId="2005" xr:uid="{10CF92E6-41F5-492F-AAD8-72CAFD31DB80}"/>
    <cellStyle name="40% - Accent4 2 3 2 2 2" xfId="2843" xr:uid="{17AF8F52-CCFC-42D5-AD05-D02B55E8BA90}"/>
    <cellStyle name="40% - Accent4 2 3 2 2 2 2" xfId="5278" xr:uid="{D9269FC0-2AAF-4245-8802-374E8C5DD7D7}"/>
    <cellStyle name="40% - Accent4 2 3 2 2 3" xfId="4522" xr:uid="{B49AD349-F1D1-4613-91F3-87E6F7975FEB}"/>
    <cellStyle name="40% - Accent4 2 3 2 3" xfId="2351" xr:uid="{20B42E8B-45BF-4C32-93D4-D47AC122F1B6}"/>
    <cellStyle name="40% - Accent4 2 3 2 3 2" xfId="4786" xr:uid="{44A27F71-B69B-4D2A-9F48-2003096D0B74}"/>
    <cellStyle name="40% - Accent4 2 3 2 4" xfId="3912" xr:uid="{CB06680E-5224-4C13-81B8-44E25BEBA332}"/>
    <cellStyle name="40% - Accent4 2 3 3" xfId="1835" xr:uid="{33BF445D-21AB-40A7-A8FE-277878DFD9D4}"/>
    <cellStyle name="40% - Accent4 2 3 3 2" xfId="2673" xr:uid="{9BD9C329-EC2A-4711-BFDB-91D5FA9DFCA6}"/>
    <cellStyle name="40% - Accent4 2 3 3 2 2" xfId="5108" xr:uid="{49CC667D-2F81-4203-A8B9-D85CE6BEBE26}"/>
    <cellStyle name="40% - Accent4 2 3 3 3" xfId="4352" xr:uid="{C7609109-2899-45CA-9116-5E3263EBE3CD}"/>
    <cellStyle name="40% - Accent4 2 3 4" xfId="2350" xr:uid="{AB21A8CC-0921-440E-B973-E650883CC1A5}"/>
    <cellStyle name="40% - Accent4 2 3 4 2" xfId="4785" xr:uid="{15BAC67F-4195-4993-B106-75328B9CC698}"/>
    <cellStyle name="40% - Accent4 2 3 5" xfId="3911" xr:uid="{2D610C7C-9946-4740-AC79-5D277C0F6777}"/>
    <cellStyle name="40% - Accent4 2 4" xfId="2226" xr:uid="{6D20DC19-6A6C-407F-A2D1-513EC97EB6D6}"/>
    <cellStyle name="40% - Accent4 2 5" xfId="1043" xr:uid="{0ACFD449-F23E-4FE3-B0AB-FF4D6DA60800}"/>
    <cellStyle name="40% - Accent4 3" xfId="158" xr:uid="{00000000-0005-0000-0000-000053000000}"/>
    <cellStyle name="40% - Accent4 3 2" xfId="1048" xr:uid="{7233C134-A469-4246-BEBD-26A3E9C04C46}"/>
    <cellStyle name="40% - Accent4 3 2 2" xfId="2006" xr:uid="{AE15EBFF-7036-49C8-B2EA-23C1BC78C16D}"/>
    <cellStyle name="40% - Accent4 3 2 2 2" xfId="2844" xr:uid="{FF7B8F9B-2293-4512-9D6B-4C4ADA982AAA}"/>
    <cellStyle name="40% - Accent4 3 2 2 2 2" xfId="5279" xr:uid="{96E1F437-EC4B-49D3-9702-8DEA9929BA19}"/>
    <cellStyle name="40% - Accent4 3 2 2 3" xfId="4523" xr:uid="{A4DC51B5-C43B-4142-BEB4-42BFC3A2BA0A}"/>
    <cellStyle name="40% - Accent4 3 2 3" xfId="2353" xr:uid="{1C6B5577-30F2-40D3-8E64-0E872E02C582}"/>
    <cellStyle name="40% - Accent4 3 2 3 2" xfId="4788" xr:uid="{F69F67D2-781B-47D6-933F-CBBE2CF480B0}"/>
    <cellStyle name="40% - Accent4 3 2 4" xfId="3914" xr:uid="{1BC76346-13EF-4EF2-AB16-96346BA518C2}"/>
    <cellStyle name="40% - Accent4 3 3" xfId="1836" xr:uid="{F761AF9A-854B-4358-9DFC-1DE5E15504EE}"/>
    <cellStyle name="40% - Accent4 3 3 2" xfId="2674" xr:uid="{ACFCFE2A-51F8-4F24-A300-C64969F78A3D}"/>
    <cellStyle name="40% - Accent4 3 3 2 2" xfId="5109" xr:uid="{D0142FA3-8568-4986-B246-14BA19FB4662}"/>
    <cellStyle name="40% - Accent4 3 3 3" xfId="4353" xr:uid="{E2F12815-6CB5-4FD3-9F76-2DE5A911FEDF}"/>
    <cellStyle name="40% - Accent4 3 4" xfId="2352" xr:uid="{13B731E0-8F58-4D7A-B48D-7068F8F65D09}"/>
    <cellStyle name="40% - Accent4 3 4 2" xfId="4787" xr:uid="{36519A12-EB8E-45E2-8C12-12B959173EF8}"/>
    <cellStyle name="40% - Accent4 3 5" xfId="1047" xr:uid="{CFBCF4D9-47BA-4733-B24B-762F3DBA7406}"/>
    <cellStyle name="40% - Accent4 3 5 2" xfId="3913" xr:uid="{D97CD6C7-F85B-454F-B283-511DFEBCB062}"/>
    <cellStyle name="40% - Accent4 4" xfId="204" xr:uid="{00000000-0005-0000-0000-000054000000}"/>
    <cellStyle name="40% - Accent4 4 2" xfId="1050" xr:uid="{DE17A839-9135-4056-917B-EAB151047E7F}"/>
    <cellStyle name="40% - Accent4 4 2 2" xfId="2004" xr:uid="{A084BD64-9512-47B0-A37C-685B1B06F2A6}"/>
    <cellStyle name="40% - Accent4 4 2 2 2" xfId="2842" xr:uid="{8E884660-6ECB-47FF-BA97-08E49D7B643F}"/>
    <cellStyle name="40% - Accent4 4 2 2 2 2" xfId="5277" xr:uid="{8F8BE2F4-5333-4977-B391-C67050FC7896}"/>
    <cellStyle name="40% - Accent4 4 2 2 3" xfId="4521" xr:uid="{1FCEF1FD-B241-44B0-9FBF-8966737C9E8E}"/>
    <cellStyle name="40% - Accent4 4 2 3" xfId="2355" xr:uid="{BA3A3A70-DCAF-4905-9790-DFDA4C4BB1C8}"/>
    <cellStyle name="40% - Accent4 4 2 3 2" xfId="4790" xr:uid="{9C7737D1-4ED0-4BE8-8C84-4257C86EC559}"/>
    <cellStyle name="40% - Accent4 4 2 4" xfId="3916" xr:uid="{9017BD89-8ADC-496B-9869-392129FBF6BE}"/>
    <cellStyle name="40% - Accent4 4 3" xfId="1834" xr:uid="{2FB7EF63-94F1-4365-AFA6-65FC2EA7D67A}"/>
    <cellStyle name="40% - Accent4 4 3 2" xfId="2672" xr:uid="{C127E980-437A-4299-BCDE-DD27759CF322}"/>
    <cellStyle name="40% - Accent4 4 3 2 2" xfId="5107" xr:uid="{AEEA28E9-24EE-4DD8-95C8-EC7CDD19DBE0}"/>
    <cellStyle name="40% - Accent4 4 3 3" xfId="4351" xr:uid="{E1E4DBF4-CF91-43AE-B087-19AED4934A9E}"/>
    <cellStyle name="40% - Accent4 4 4" xfId="2354" xr:uid="{082FCE4E-07D6-46D5-9DDA-EE48BC21EB7A}"/>
    <cellStyle name="40% - Accent4 4 4 2" xfId="4789" xr:uid="{D8CA8ABC-90C8-47F3-A990-5917219D4315}"/>
    <cellStyle name="40% - Accent4 4 5" xfId="1049" xr:uid="{5B05DD0E-D171-4716-8953-DEF3389EFDFB}"/>
    <cellStyle name="40% - Accent4 4 5 2" xfId="3915" xr:uid="{38271523-C291-408E-BC60-52A98533AA32}"/>
    <cellStyle name="40% - Accent4 5" xfId="250" xr:uid="{00000000-0005-0000-0000-000055000000}"/>
    <cellStyle name="40% - Accent4 5 2" xfId="1968" xr:uid="{BD4237AB-1704-44EF-97FE-47480B509987}"/>
    <cellStyle name="40% - Accent4 5 2 2" xfId="2806" xr:uid="{14417774-31F1-42C2-8495-AFA881A73460}"/>
    <cellStyle name="40% - Accent4 5 2 2 2" xfId="5241" xr:uid="{9D68EC30-8199-4F67-AE38-848CCC0E3737}"/>
    <cellStyle name="40% - Accent4 5 2 3" xfId="4485" xr:uid="{BDEBDAC1-017D-4116-86C3-99ED929758E1}"/>
    <cellStyle name="40% - Accent4 5 3" xfId="2356" xr:uid="{3D97A6D3-BE80-46DC-ABA3-805650CA40B1}"/>
    <cellStyle name="40% - Accent4 5 3 2" xfId="4791" xr:uid="{4BC833BB-F107-4396-8DB3-B1BCC4CF26EF}"/>
    <cellStyle name="40% - Accent4 5 4" xfId="1051" xr:uid="{7FED6131-7C86-4745-B80B-08B5E0095669}"/>
    <cellStyle name="40% - Accent4 5 4 2" xfId="3917" xr:uid="{780D1E36-F19F-4D58-BFA7-4B955D39D1D0}"/>
    <cellStyle name="40% - Accent4 6" xfId="299" xr:uid="{00000000-0005-0000-0000-000056000000}"/>
    <cellStyle name="40% - Accent4 6 2" xfId="2636" xr:uid="{5D8D53BD-BB9C-43CC-971F-19E983D06462}"/>
    <cellStyle name="40% - Accent4 6 2 2" xfId="5071" xr:uid="{74CF94B2-F891-4215-BA8B-1C1C9F83D3B1}"/>
    <cellStyle name="40% - Accent4 6 3" xfId="1798" xr:uid="{05F174E9-B5C4-4ED8-80AB-6B711C1713E4}"/>
    <cellStyle name="40% - Accent4 6 3 2" xfId="4315" xr:uid="{E15CC6A0-D88E-4BB8-A72E-E3EBDBB585A7}"/>
    <cellStyle name="40% - Accent4 7" xfId="363" xr:uid="{00000000-0005-0000-0000-000057000000}"/>
    <cellStyle name="40% - Accent4 7 2" xfId="2976" xr:uid="{40FFA76D-0188-4CAC-AA54-D03A58C9BD8D}"/>
    <cellStyle name="40% - Accent4 7 2 2" xfId="5411" xr:uid="{BF72BB01-9015-4838-B3DB-D6F1F6E6691D}"/>
    <cellStyle name="40% - Accent4 7 3" xfId="2138" xr:uid="{6E0875B5-5060-44A8-83FF-53F8EA965182}"/>
    <cellStyle name="40% - Accent4 7 3 2" xfId="4655" xr:uid="{FCB57EDD-ECF8-439A-820C-A1576E667909}"/>
    <cellStyle name="40% - Accent4 8" xfId="434" xr:uid="{00000000-0005-0000-0000-000058000000}"/>
    <cellStyle name="40% - Accent4 8 2" xfId="2167" xr:uid="{C07DF2F1-D637-4040-88B1-44F9BF5A4813}"/>
    <cellStyle name="40% - Accent4 8 2 2" xfId="4668" xr:uid="{65338133-8849-4FE6-B160-C2A17770FA8E}"/>
    <cellStyle name="40% - Accent4 9" xfId="538" xr:uid="{00000000-0005-0000-0000-000059000000}"/>
    <cellStyle name="40% - Accent4 9 2" xfId="2181" xr:uid="{272F4A23-11DA-482D-B721-81F1FE611EE5}"/>
    <cellStyle name="40% - Accent4 9 2 2" xfId="4682" xr:uid="{1D0315DB-449E-47BC-BF05-E1CF3B8CBEAB}"/>
    <cellStyle name="40% - Accent5" xfId="11" builtinId="47" customBuiltin="1"/>
    <cellStyle name="40% - Accent5 10" xfId="2624" xr:uid="{BEA96B51-3F59-4ACC-959B-EFCE2376E587}"/>
    <cellStyle name="40% - Accent5 10 2" xfId="5059" xr:uid="{591A4C8F-60B8-49DB-BE7F-A541E80B4DC3}"/>
    <cellStyle name="40% - Accent5 11" xfId="956" xr:uid="{F7B0C202-3EB2-4AAD-BCAF-EEF1A4C74832}"/>
    <cellStyle name="40% - Accent5 11 2" xfId="3847" xr:uid="{16695F4D-7DBA-4FF3-B6F2-E1F8C3983214}"/>
    <cellStyle name="40% - Accent5 2" xfId="125" xr:uid="{00000000-0005-0000-0000-00005B000000}"/>
    <cellStyle name="40% - Accent5 2 2" xfId="1053" xr:uid="{F68A143B-4FD0-4EE1-99E3-59C7F7E532DC}"/>
    <cellStyle name="40% - Accent5 2 3" xfId="1054" xr:uid="{60FC2C4B-B656-4700-AEEB-EB77C3E61E5F}"/>
    <cellStyle name="40% - Accent5 2 3 2" xfId="1055" xr:uid="{EDA48642-5E87-4F6F-AEEB-0260E746E635}"/>
    <cellStyle name="40% - Accent5 2 3 2 2" xfId="2008" xr:uid="{092753AD-3BF4-466F-99D8-2513227C0328}"/>
    <cellStyle name="40% - Accent5 2 3 2 2 2" xfId="2846" xr:uid="{4E256D91-99DE-41A1-8B66-A80DBBA3EDD4}"/>
    <cellStyle name="40% - Accent5 2 3 2 2 2 2" xfId="5281" xr:uid="{F3EE5566-7C19-4ADA-A033-F8943A00C09E}"/>
    <cellStyle name="40% - Accent5 2 3 2 2 3" xfId="4525" xr:uid="{D9277B07-3D54-4D6D-9C78-449B6A8979B8}"/>
    <cellStyle name="40% - Accent5 2 3 2 3" xfId="2358" xr:uid="{54A7B384-C74A-4E57-BE1A-4061D975B71D}"/>
    <cellStyle name="40% - Accent5 2 3 2 3 2" xfId="4793" xr:uid="{EB81FF91-EF86-406F-836B-46A370E21552}"/>
    <cellStyle name="40% - Accent5 2 3 2 4" xfId="3919" xr:uid="{38FB6272-9BE4-49CE-9411-71E829AB268C}"/>
    <cellStyle name="40% - Accent5 2 3 3" xfId="1838" xr:uid="{FB789F49-DAA1-4471-A7F3-E3E51C96C97F}"/>
    <cellStyle name="40% - Accent5 2 3 3 2" xfId="2676" xr:uid="{C647C14E-1FDC-4FF2-ACFA-073B54DA9319}"/>
    <cellStyle name="40% - Accent5 2 3 3 2 2" xfId="5111" xr:uid="{0FD44ADF-4D7B-40F9-BD60-8729CA0B84EF}"/>
    <cellStyle name="40% - Accent5 2 3 3 3" xfId="4355" xr:uid="{E3D03835-1C9A-4EE6-8DCB-6DBC89656C53}"/>
    <cellStyle name="40% - Accent5 2 3 4" xfId="2357" xr:uid="{777EEF74-297F-47F9-985C-E3D294AE7332}"/>
    <cellStyle name="40% - Accent5 2 3 4 2" xfId="4792" xr:uid="{2A45B322-4474-4F00-AB57-1448B5B36F6E}"/>
    <cellStyle name="40% - Accent5 2 3 5" xfId="3918" xr:uid="{52DCBF71-CF00-4EC1-B50E-2940EF8AADCA}"/>
    <cellStyle name="40% - Accent5 2 4" xfId="2227" xr:uid="{A970BE78-FF47-498A-BC70-576076D8970D}"/>
    <cellStyle name="40% - Accent5 2 5" xfId="1052" xr:uid="{2AE2FF2D-53DE-4FA1-9131-5539E505D5EB}"/>
    <cellStyle name="40% - Accent5 3" xfId="159" xr:uid="{00000000-0005-0000-0000-00005C000000}"/>
    <cellStyle name="40% - Accent5 3 2" xfId="1057" xr:uid="{FF0B5EF2-35EB-459E-80D9-3F6A3358A4BD}"/>
    <cellStyle name="40% - Accent5 3 2 2" xfId="2009" xr:uid="{14636DA1-F6D7-4DDD-8A9F-BD2942B4E9C3}"/>
    <cellStyle name="40% - Accent5 3 2 2 2" xfId="2847" xr:uid="{4073D374-99C4-4462-BC7D-819077C5C83F}"/>
    <cellStyle name="40% - Accent5 3 2 2 2 2" xfId="5282" xr:uid="{A36D9199-2E47-4A4A-83DC-4030F0FA8188}"/>
    <cellStyle name="40% - Accent5 3 2 2 3" xfId="4526" xr:uid="{E82E4418-6E43-4EAF-9280-0E417BA1CBE9}"/>
    <cellStyle name="40% - Accent5 3 2 3" xfId="2360" xr:uid="{6142FD7C-5281-4458-AE22-B29F1DAC8298}"/>
    <cellStyle name="40% - Accent5 3 2 3 2" xfId="4795" xr:uid="{6DA916C0-2DBC-4961-8B65-1FD1483EECBA}"/>
    <cellStyle name="40% - Accent5 3 2 4" xfId="3921" xr:uid="{6646D104-CE81-446F-B87B-661B7FBA4B4C}"/>
    <cellStyle name="40% - Accent5 3 3" xfId="1839" xr:uid="{64D0CD8D-6ACD-437A-A73B-3C52C1717C15}"/>
    <cellStyle name="40% - Accent5 3 3 2" xfId="2677" xr:uid="{7E1A2875-F160-4407-81A0-383408601322}"/>
    <cellStyle name="40% - Accent5 3 3 2 2" xfId="5112" xr:uid="{72BED644-E998-44C6-AE16-C0F8D7018403}"/>
    <cellStyle name="40% - Accent5 3 3 3" xfId="4356" xr:uid="{300F9ECD-F3F6-4868-BCCE-6C709AFC1915}"/>
    <cellStyle name="40% - Accent5 3 4" xfId="2359" xr:uid="{1560B020-90C1-44AB-BD98-6A4B0498711C}"/>
    <cellStyle name="40% - Accent5 3 4 2" xfId="4794" xr:uid="{20506587-1C4A-484D-8BC1-5B17E33FD3E7}"/>
    <cellStyle name="40% - Accent5 3 5" xfId="1056" xr:uid="{9D8EABC5-349B-49FA-A42B-26EFBC12E179}"/>
    <cellStyle name="40% - Accent5 3 5 2" xfId="3920" xr:uid="{2475AFA4-E363-4D74-85DE-70C4C5E3D156}"/>
    <cellStyle name="40% - Accent5 4" xfId="205" xr:uid="{00000000-0005-0000-0000-00005D000000}"/>
    <cellStyle name="40% - Accent5 4 2" xfId="1059" xr:uid="{BFFD4667-8B9F-47D9-8F72-FED5C06867EE}"/>
    <cellStyle name="40% - Accent5 4 2 2" xfId="2007" xr:uid="{75EE0A65-17DC-465D-8B1C-58AB94C4A784}"/>
    <cellStyle name="40% - Accent5 4 2 2 2" xfId="2845" xr:uid="{89E353C9-DA67-4A85-8EBE-04E1AE939A7C}"/>
    <cellStyle name="40% - Accent5 4 2 2 2 2" xfId="5280" xr:uid="{AD7CFB95-6166-4A61-8115-050E8884142E}"/>
    <cellStyle name="40% - Accent5 4 2 2 3" xfId="4524" xr:uid="{14A4D0BD-A657-45E0-A0BB-27AF9785AB8A}"/>
    <cellStyle name="40% - Accent5 4 2 3" xfId="2362" xr:uid="{68C43C60-7370-40F5-81B3-6E417044ED6F}"/>
    <cellStyle name="40% - Accent5 4 2 3 2" xfId="4797" xr:uid="{058D9E1E-028E-4004-9E9C-93F7C80090FC}"/>
    <cellStyle name="40% - Accent5 4 2 4" xfId="3923" xr:uid="{49891433-B69B-4998-AB1D-CA7A6AE49B1F}"/>
    <cellStyle name="40% - Accent5 4 3" xfId="1837" xr:uid="{A78D0F56-CFE0-43B9-BA42-C23FA85EB63C}"/>
    <cellStyle name="40% - Accent5 4 3 2" xfId="2675" xr:uid="{55A9E2BD-7ADC-43D7-904F-FF2821E26A53}"/>
    <cellStyle name="40% - Accent5 4 3 2 2" xfId="5110" xr:uid="{08DDBAAF-D726-438C-9300-6A42542985BD}"/>
    <cellStyle name="40% - Accent5 4 3 3" xfId="4354" xr:uid="{DF5B0E45-42FD-4831-9CB8-6CEE921B7FB9}"/>
    <cellStyle name="40% - Accent5 4 4" xfId="2361" xr:uid="{8677EBAD-EAA3-4494-8AFC-03E0F2E7B1E0}"/>
    <cellStyle name="40% - Accent5 4 4 2" xfId="4796" xr:uid="{537D74C5-0C95-48DB-B7C4-DB14C6729B11}"/>
    <cellStyle name="40% - Accent5 4 5" xfId="1058" xr:uid="{8430CDCE-E50B-483D-A8C7-7C7A4F032391}"/>
    <cellStyle name="40% - Accent5 4 5 2" xfId="3922" xr:uid="{5FC73EF2-F469-4252-BC42-DC6846469019}"/>
    <cellStyle name="40% - Accent5 5" xfId="251" xr:uid="{00000000-0005-0000-0000-00005E000000}"/>
    <cellStyle name="40% - Accent5 5 2" xfId="1969" xr:uid="{1F93E9D8-DD19-4BA6-BF40-41F52D9B54B4}"/>
    <cellStyle name="40% - Accent5 5 2 2" xfId="2807" xr:uid="{62CC4DAC-8412-4A8E-AC09-D2D593B3EAB2}"/>
    <cellStyle name="40% - Accent5 5 2 2 2" xfId="5242" xr:uid="{8EE43EB3-A7F9-4EFE-8B43-9C8C2AA14FAE}"/>
    <cellStyle name="40% - Accent5 5 2 3" xfId="4486" xr:uid="{0A59B1B5-853E-4C11-A323-34F7DCFB49C4}"/>
    <cellStyle name="40% - Accent5 5 3" xfId="2363" xr:uid="{C4D318D2-1E9A-402C-88ED-94D42B4AB7B6}"/>
    <cellStyle name="40% - Accent5 5 3 2" xfId="4798" xr:uid="{2FD3F569-D0C6-47F9-A4BB-BE49D733B41C}"/>
    <cellStyle name="40% - Accent5 5 4" xfId="1060" xr:uid="{348B5C0E-3CCA-496E-8DA9-B08D08888DD9}"/>
    <cellStyle name="40% - Accent5 5 4 2" xfId="3924" xr:uid="{953F043D-CAC0-49AE-8A81-88D00E6E962C}"/>
    <cellStyle name="40% - Accent5 6" xfId="300" xr:uid="{00000000-0005-0000-0000-00005F000000}"/>
    <cellStyle name="40% - Accent5 6 2" xfId="2637" xr:uid="{7C03BFD5-7850-43FE-A022-49BE0D2012BC}"/>
    <cellStyle name="40% - Accent5 6 2 2" xfId="5072" xr:uid="{296BB2CC-4629-49E8-A1FF-2A6D8FB02406}"/>
    <cellStyle name="40% - Accent5 6 3" xfId="1799" xr:uid="{F0680BF5-692E-4BC7-B24A-8A365AB75533}"/>
    <cellStyle name="40% - Accent5 6 3 2" xfId="4316" xr:uid="{55338790-8FF0-4FB0-8354-1BDFA4593352}"/>
    <cellStyle name="40% - Accent5 7" xfId="364" xr:uid="{00000000-0005-0000-0000-000060000000}"/>
    <cellStyle name="40% - Accent5 7 2" xfId="2978" xr:uid="{B82E5AC5-3CA2-4207-AB30-C4E3375643A7}"/>
    <cellStyle name="40% - Accent5 7 2 2" xfId="5413" xr:uid="{C0CB2207-CC79-4B39-A8C2-063BD6509C6A}"/>
    <cellStyle name="40% - Accent5 7 3" xfId="2140" xr:uid="{36E357C2-0B9D-4C09-8A6C-85794ED33B2C}"/>
    <cellStyle name="40% - Accent5 7 3 2" xfId="4657" xr:uid="{57709832-28F2-4D95-AFC3-7DB7755FE513}"/>
    <cellStyle name="40% - Accent5 8" xfId="435" xr:uid="{00000000-0005-0000-0000-000061000000}"/>
    <cellStyle name="40% - Accent5 8 2" xfId="2169" xr:uid="{2A822548-C23F-4116-88BB-FC8458188FB6}"/>
    <cellStyle name="40% - Accent5 8 2 2" xfId="4670" xr:uid="{697571D3-CBC7-4031-A7A5-EC3F4946E89E}"/>
    <cellStyle name="40% - Accent5 9" xfId="539" xr:uid="{00000000-0005-0000-0000-000062000000}"/>
    <cellStyle name="40% - Accent5 9 2" xfId="2183" xr:uid="{645737B1-ACB4-4801-9970-DE5D4002227B}"/>
    <cellStyle name="40% - Accent5 9 2 2" xfId="4684" xr:uid="{6AE2F8E2-1893-49CA-9651-9A14E8CFAEC6}"/>
    <cellStyle name="40% - Accent6" xfId="12" builtinId="51" customBuiltin="1"/>
    <cellStyle name="40% - Accent6 10" xfId="2626" xr:uid="{C21A98BD-1103-471F-9430-20648CE90C44}"/>
    <cellStyle name="40% - Accent6 10 2" xfId="5061" xr:uid="{A2CA3F10-3C8D-486E-BBD5-B08F213A7E81}"/>
    <cellStyle name="40% - Accent6 11" xfId="980" xr:uid="{D230E761-E665-4AB1-860D-06F98F9B84BA}"/>
    <cellStyle name="40% - Accent6 11 2" xfId="3867" xr:uid="{F13A34CE-0978-4EFB-835F-65A09300E1FD}"/>
    <cellStyle name="40% - Accent6 2" xfId="126" xr:uid="{00000000-0005-0000-0000-000064000000}"/>
    <cellStyle name="40% - Accent6 2 2" xfId="1062" xr:uid="{B86146FC-54B9-4A87-9241-9F84ECBCAD0F}"/>
    <cellStyle name="40% - Accent6 2 3" xfId="1063" xr:uid="{FF05A4C6-E2A6-4AFD-A716-7EDE0495435D}"/>
    <cellStyle name="40% - Accent6 2 3 2" xfId="1064" xr:uid="{93F0226F-1468-4673-90A2-66D39A984B23}"/>
    <cellStyle name="40% - Accent6 2 3 2 2" xfId="2011" xr:uid="{04FEE035-D0C6-43DE-AD4D-7C291A4BC41F}"/>
    <cellStyle name="40% - Accent6 2 3 2 2 2" xfId="2849" xr:uid="{C63635AB-20AB-4005-BF68-23745F1F8055}"/>
    <cellStyle name="40% - Accent6 2 3 2 2 2 2" xfId="5284" xr:uid="{BDC94FAE-C294-46FE-AB30-92EE9DE7739C}"/>
    <cellStyle name="40% - Accent6 2 3 2 2 3" xfId="4528" xr:uid="{67B18485-22F2-4A75-86FF-1A6FD490B8C6}"/>
    <cellStyle name="40% - Accent6 2 3 2 3" xfId="2365" xr:uid="{5A72E1EC-A89C-47A7-B5AB-21CBDE13B2F3}"/>
    <cellStyle name="40% - Accent6 2 3 2 3 2" xfId="4800" xr:uid="{CC2453F9-FBCC-401A-814D-755A70819D84}"/>
    <cellStyle name="40% - Accent6 2 3 2 4" xfId="3926" xr:uid="{B7138063-A151-4A91-97E2-77B63A8FF529}"/>
    <cellStyle name="40% - Accent6 2 3 3" xfId="1841" xr:uid="{0CECA3A3-4CA0-4015-8841-3394A6D58BC0}"/>
    <cellStyle name="40% - Accent6 2 3 3 2" xfId="2679" xr:uid="{99C30B72-3379-41CD-B03F-1298368562A1}"/>
    <cellStyle name="40% - Accent6 2 3 3 2 2" xfId="5114" xr:uid="{B9A72ACF-5692-485D-AE9C-D72B535C15B4}"/>
    <cellStyle name="40% - Accent6 2 3 3 3" xfId="4358" xr:uid="{A5111472-774C-417A-AD5B-49F621F6692C}"/>
    <cellStyle name="40% - Accent6 2 3 4" xfId="2364" xr:uid="{A03762CE-09A9-453B-AD40-F25C46C6258C}"/>
    <cellStyle name="40% - Accent6 2 3 4 2" xfId="4799" xr:uid="{9EDB8269-321D-4791-9982-0B762EC92B5C}"/>
    <cellStyle name="40% - Accent6 2 3 5" xfId="3925" xr:uid="{8248DE47-19CC-4844-BA65-22E3225B652D}"/>
    <cellStyle name="40% - Accent6 2 4" xfId="2228" xr:uid="{65A1543B-59F0-4039-A8FD-07E07E86BB34}"/>
    <cellStyle name="40% - Accent6 2 5" xfId="1061" xr:uid="{0C76B08B-C604-4D2E-B4AC-BD6FA052E290}"/>
    <cellStyle name="40% - Accent6 3" xfId="160" xr:uid="{00000000-0005-0000-0000-000065000000}"/>
    <cellStyle name="40% - Accent6 3 2" xfId="1066" xr:uid="{9E85FC9F-D8B3-44CB-9B8F-C593328F3F25}"/>
    <cellStyle name="40% - Accent6 3 2 2" xfId="2012" xr:uid="{DDF3C799-273C-4E67-B3D7-62459976B65B}"/>
    <cellStyle name="40% - Accent6 3 2 2 2" xfId="2850" xr:uid="{C8C73791-85DD-4AC1-AE19-3C8BDAA94870}"/>
    <cellStyle name="40% - Accent6 3 2 2 2 2" xfId="5285" xr:uid="{DFB02C79-EF39-41B0-B68D-FE7F0E7C0510}"/>
    <cellStyle name="40% - Accent6 3 2 2 3" xfId="4529" xr:uid="{B71B5CF9-8B36-40B4-966A-B34412E5C495}"/>
    <cellStyle name="40% - Accent6 3 2 3" xfId="2367" xr:uid="{43768B4C-6BBC-4F12-AFCD-0D5825128366}"/>
    <cellStyle name="40% - Accent6 3 2 3 2" xfId="4802" xr:uid="{11EDD627-A6A5-4D51-84BB-163C61E12C2C}"/>
    <cellStyle name="40% - Accent6 3 2 4" xfId="3928" xr:uid="{F218D3BA-C057-4D4A-B825-219DCA829BC6}"/>
    <cellStyle name="40% - Accent6 3 3" xfId="1842" xr:uid="{F92505F3-4309-4D1B-A5B9-936236423FAB}"/>
    <cellStyle name="40% - Accent6 3 3 2" xfId="2680" xr:uid="{4F2BD282-906B-444E-A3DF-E0BBA83A93D9}"/>
    <cellStyle name="40% - Accent6 3 3 2 2" xfId="5115" xr:uid="{92821CD0-C2AC-4AB5-8C1B-B77AF8334F78}"/>
    <cellStyle name="40% - Accent6 3 3 3" xfId="4359" xr:uid="{152F8A42-933F-496A-86A3-93920010E7CC}"/>
    <cellStyle name="40% - Accent6 3 4" xfId="2366" xr:uid="{FC24BB0B-C46F-489F-B9FF-BBDC9976A213}"/>
    <cellStyle name="40% - Accent6 3 4 2" xfId="4801" xr:uid="{E187E3BB-46AA-400C-B95B-E53C70A75138}"/>
    <cellStyle name="40% - Accent6 3 5" xfId="1065" xr:uid="{72C004D4-F533-453E-92A8-064553DEEF7D}"/>
    <cellStyle name="40% - Accent6 3 5 2" xfId="3927" xr:uid="{234F1C37-438E-43DF-9421-E1FBC9760C44}"/>
    <cellStyle name="40% - Accent6 4" xfId="206" xr:uid="{00000000-0005-0000-0000-000066000000}"/>
    <cellStyle name="40% - Accent6 4 2" xfId="1068" xr:uid="{DAE9BA26-DF31-4A0C-9DE4-76DD9FE5CBF1}"/>
    <cellStyle name="40% - Accent6 4 2 2" xfId="2010" xr:uid="{AEF4B1F5-379D-4017-BF4C-7EE557DCE7B8}"/>
    <cellStyle name="40% - Accent6 4 2 2 2" xfId="2848" xr:uid="{52D5DA1F-1104-48A4-B3CB-196D46C54A3E}"/>
    <cellStyle name="40% - Accent6 4 2 2 2 2" xfId="5283" xr:uid="{30AE53C2-C01C-47E3-99F3-88B577778306}"/>
    <cellStyle name="40% - Accent6 4 2 2 3" xfId="4527" xr:uid="{52C54EE7-35FF-4B7C-8667-0D25C3B31973}"/>
    <cellStyle name="40% - Accent6 4 2 3" xfId="2369" xr:uid="{17B98110-C695-4C47-8B88-F6C94E285DCA}"/>
    <cellStyle name="40% - Accent6 4 2 3 2" xfId="4804" xr:uid="{6A903863-5215-459A-9033-1D3F9ECC7B8E}"/>
    <cellStyle name="40% - Accent6 4 2 4" xfId="3930" xr:uid="{DECE60E3-CB74-45FC-A2D6-761A000E6C46}"/>
    <cellStyle name="40% - Accent6 4 3" xfId="1840" xr:uid="{C065FD5D-40AD-43F0-A448-10EC331687CB}"/>
    <cellStyle name="40% - Accent6 4 3 2" xfId="2678" xr:uid="{40921068-5F1E-416F-9B84-2BAFE9851948}"/>
    <cellStyle name="40% - Accent6 4 3 2 2" xfId="5113" xr:uid="{047DDEBE-FCCF-4E32-88C4-D8FF1E438FF0}"/>
    <cellStyle name="40% - Accent6 4 3 3" xfId="4357" xr:uid="{0A24E264-2243-4F2A-A712-B2169814241C}"/>
    <cellStyle name="40% - Accent6 4 4" xfId="2368" xr:uid="{F482FFD0-88C6-4E87-8165-D1C894D588B8}"/>
    <cellStyle name="40% - Accent6 4 4 2" xfId="4803" xr:uid="{7DBD6B80-6881-41AB-BAAD-ADFE2C9F8CB1}"/>
    <cellStyle name="40% - Accent6 4 5" xfId="1067" xr:uid="{6A5E99AF-4B74-46B7-81A9-1CE55B37A1BA}"/>
    <cellStyle name="40% - Accent6 4 5 2" xfId="3929" xr:uid="{B10D69FE-2FD1-4D86-AC7B-E62E00958FEF}"/>
    <cellStyle name="40% - Accent6 5" xfId="252" xr:uid="{00000000-0005-0000-0000-000067000000}"/>
    <cellStyle name="40% - Accent6 5 2" xfId="1970" xr:uid="{6DB890FB-0E61-4307-B183-2B16FEDF29DA}"/>
    <cellStyle name="40% - Accent6 5 2 2" xfId="2808" xr:uid="{FD7C7E97-8200-41B8-83ED-88790EDC0B32}"/>
    <cellStyle name="40% - Accent6 5 2 2 2" xfId="5243" xr:uid="{3962319C-0B9E-48CF-8D36-609BB1A4DB55}"/>
    <cellStyle name="40% - Accent6 5 2 3" xfId="4487" xr:uid="{84663BA4-FAEE-45F4-B4E3-21CEBC90E337}"/>
    <cellStyle name="40% - Accent6 5 3" xfId="2370" xr:uid="{513DC4F4-8205-4022-B47F-78A8636EDDEF}"/>
    <cellStyle name="40% - Accent6 5 3 2" xfId="4805" xr:uid="{34253FEA-ED60-4DE9-9B47-F92C9A1D7F34}"/>
    <cellStyle name="40% - Accent6 5 4" xfId="1069" xr:uid="{74B0F5AD-BFB2-4197-A6B4-BFE473A85D0B}"/>
    <cellStyle name="40% - Accent6 5 4 2" xfId="3931" xr:uid="{D7A49735-0888-41D3-B8B9-B7AD01AF8BF0}"/>
    <cellStyle name="40% - Accent6 6" xfId="301" xr:uid="{00000000-0005-0000-0000-000068000000}"/>
    <cellStyle name="40% - Accent6 6 2" xfId="2638" xr:uid="{05CC4D4F-565F-4911-A520-1097A66A7B0F}"/>
    <cellStyle name="40% - Accent6 6 2 2" xfId="5073" xr:uid="{83D041CC-9572-4B1D-B033-10E0A4E18094}"/>
    <cellStyle name="40% - Accent6 6 3" xfId="1800" xr:uid="{9F77B020-F03A-494A-BF77-5BA0AB3FBEF1}"/>
    <cellStyle name="40% - Accent6 6 3 2" xfId="4317" xr:uid="{3FE887F2-A909-4795-A41D-C0D257B18CB7}"/>
    <cellStyle name="40% - Accent6 7" xfId="365" xr:uid="{00000000-0005-0000-0000-000069000000}"/>
    <cellStyle name="40% - Accent6 7 2" xfId="2980" xr:uid="{CEFBAA50-B1DC-4787-AADA-BA301D75093C}"/>
    <cellStyle name="40% - Accent6 7 2 2" xfId="5415" xr:uid="{065F94EA-1F19-4198-9558-A4B43A5487A3}"/>
    <cellStyle name="40% - Accent6 7 3" xfId="2142" xr:uid="{C17B9AC1-103A-4DE1-A527-F4B906BDF9FB}"/>
    <cellStyle name="40% - Accent6 7 3 2" xfId="4659" xr:uid="{C0BA5D82-7939-4FD6-BE10-F975B16DEC91}"/>
    <cellStyle name="40% - Accent6 8" xfId="436" xr:uid="{00000000-0005-0000-0000-00006A000000}"/>
    <cellStyle name="40% - Accent6 8 2" xfId="2171" xr:uid="{14E1C59F-A3F4-4EEB-9C7A-BCC606A57B70}"/>
    <cellStyle name="40% - Accent6 8 2 2" xfId="4672" xr:uid="{7C34B83E-DF65-4B8D-8C24-9FE3F0332B1A}"/>
    <cellStyle name="40% - Accent6 9" xfId="540" xr:uid="{00000000-0005-0000-0000-00006B000000}"/>
    <cellStyle name="40% - Accent6 9 2" xfId="2185" xr:uid="{5E2EF2E5-F833-4108-8384-8DCC5EEB89F6}"/>
    <cellStyle name="40% - Accent6 9 2 2" xfId="4686" xr:uid="{744AC416-5387-4E18-87B2-011F11E64D78}"/>
    <cellStyle name="60% - Accent1" xfId="13" builtinId="32" customBuiltin="1"/>
    <cellStyle name="60% - Accent1 2" xfId="161" xr:uid="{00000000-0005-0000-0000-00006D000000}"/>
    <cellStyle name="60% - Accent1 2 2" xfId="1070" xr:uid="{F619F85F-EF0B-4773-9321-837336812262}"/>
    <cellStyle name="60% - Accent1 3" xfId="207" xr:uid="{00000000-0005-0000-0000-00006E000000}"/>
    <cellStyle name="60% - Accent1 3 2" xfId="1783" xr:uid="{F1A5227D-A071-47A6-834F-187B9306FD5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2 2" xfId="1071" xr:uid="{72AFCAA7-7264-4780-86D2-6FDDD127CA49}"/>
    <cellStyle name="60% - Accent2 3" xfId="208" xr:uid="{00000000-0005-0000-0000-000076000000}"/>
    <cellStyle name="60% - Accent2 3 2" xfId="1784" xr:uid="{9DCE2D12-9B17-4979-A261-A6DAB5D33E53}"/>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2 2" xfId="1072" xr:uid="{71C7DE70-2CA6-40B0-9021-46D5B544D7F1}"/>
    <cellStyle name="60% - Accent3 3" xfId="209" xr:uid="{00000000-0005-0000-0000-00007E000000}"/>
    <cellStyle name="60% - Accent3 3 2" xfId="1785" xr:uid="{96C7BFFF-0AAF-4470-8EFD-F78D78D47B4F}"/>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2 2" xfId="1073" xr:uid="{92624BDC-9309-4C34-B9B1-C834C49C682B}"/>
    <cellStyle name="60% - Accent4 3" xfId="210" xr:uid="{00000000-0005-0000-0000-000086000000}"/>
    <cellStyle name="60% - Accent4 3 2" xfId="1786" xr:uid="{BEECFAC8-A866-4ABE-B1DE-083EDDC2D164}"/>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2 2" xfId="1074" xr:uid="{79915B16-F3F0-402C-8D8B-332BA6107D95}"/>
    <cellStyle name="60% - Accent5 3" xfId="211" xr:uid="{00000000-0005-0000-0000-00008E000000}"/>
    <cellStyle name="60% - Accent5 3 2" xfId="1787" xr:uid="{1B435A57-E048-4E1B-822A-75C84CB1A8EF}"/>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2 2" xfId="1075" xr:uid="{03AB1D74-0877-4774-94EE-BF003912416F}"/>
    <cellStyle name="60% - Accent6 3" xfId="212" xr:uid="{00000000-0005-0000-0000-000096000000}"/>
    <cellStyle name="60% - Accent6 3 2" xfId="1788" xr:uid="{C5E35DEF-8A0D-4063-9F53-6EBDC7B83EAC}"/>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20% 2" xfId="895" xr:uid="{2341EBAC-9038-489B-89E0-D771DE82EA42}"/>
    <cellStyle name="Accent1 - 20% 2 2" xfId="1077" xr:uid="{414B7D17-031D-4725-BDCB-068DB20E3195}"/>
    <cellStyle name="Accent1 - 20% 3" xfId="1076" xr:uid="{6D182D04-6AC5-4395-84D6-5BBA711DB76C}"/>
    <cellStyle name="Accent1 - 40%" xfId="21" xr:uid="{00000000-0005-0000-0000-00009E000000}"/>
    <cellStyle name="Accent1 - 40% 2" xfId="896" xr:uid="{2BF20286-8C14-4DD0-BC48-F86BC03F1EA6}"/>
    <cellStyle name="Accent1 - 40% 2 2" xfId="1079" xr:uid="{5703260F-9F55-472D-B852-0745440CAE20}"/>
    <cellStyle name="Accent1 - 40% 3" xfId="1078" xr:uid="{37310F85-B540-47B0-A930-846AA20AAEE6}"/>
    <cellStyle name="Accent1 - 60%" xfId="22" xr:uid="{00000000-0005-0000-0000-00009F000000}"/>
    <cellStyle name="Accent1 - 60% 2" xfId="897" xr:uid="{408C100A-9179-46C4-8CFF-78775259CF40}"/>
    <cellStyle name="Accent1 - 60% 3" xfId="1080" xr:uid="{BD64EBD7-8CF6-4504-880D-533D1EB14A1C}"/>
    <cellStyle name="Accent1 10" xfId="1213" xr:uid="{1C990109-106A-4596-B574-DCB65713A036}"/>
    <cellStyle name="Accent1 2" xfId="167" xr:uid="{00000000-0005-0000-0000-0000A0000000}"/>
    <cellStyle name="Accent1 2 2" xfId="1082" xr:uid="{A2AEDD95-125F-4D35-8FEF-1CE9A7E7967C}"/>
    <cellStyle name="Accent1 2 3" xfId="1081" xr:uid="{D5BA26EA-C2B8-488C-A3D5-C7B9F5B8FBAE}"/>
    <cellStyle name="Accent1 3" xfId="213" xr:uid="{00000000-0005-0000-0000-0000A1000000}"/>
    <cellStyle name="Accent1 3 2" xfId="1083" xr:uid="{39773C2A-FEDF-4019-A333-EEE368665DA0}"/>
    <cellStyle name="Accent1 4" xfId="259" xr:uid="{00000000-0005-0000-0000-0000A2000000}"/>
    <cellStyle name="Accent1 4 2" xfId="1084" xr:uid="{F325E876-4B8E-453E-A8D7-B4D6CE075DB8}"/>
    <cellStyle name="Accent1 5" xfId="308" xr:uid="{00000000-0005-0000-0000-0000A3000000}"/>
    <cellStyle name="Accent1 5 2" xfId="1085" xr:uid="{B0F8ABE1-00B6-4D40-93F9-613FDA5B7CEC}"/>
    <cellStyle name="Accent1 6" xfId="372" xr:uid="{00000000-0005-0000-0000-0000A4000000}"/>
    <cellStyle name="Accent1 6 2" xfId="1086" xr:uid="{3A40E004-7839-4117-930D-994452E88160}"/>
    <cellStyle name="Accent1 7" xfId="443" xr:uid="{00000000-0005-0000-0000-0000A5000000}"/>
    <cellStyle name="Accent1 8" xfId="547" xr:uid="{00000000-0005-0000-0000-0000A6000000}"/>
    <cellStyle name="Accent1 9" xfId="951" xr:uid="{6347ABA3-020E-427A-ACD0-91D282C3A9A0}"/>
    <cellStyle name="Accent2" xfId="23" builtinId="33" customBuiltin="1"/>
    <cellStyle name="Accent2 - 20%" xfId="24" xr:uid="{00000000-0005-0000-0000-0000A8000000}"/>
    <cellStyle name="Accent2 - 20% 2" xfId="898" xr:uid="{CE2FEAEC-91C4-47A9-B758-BE9651C717BF}"/>
    <cellStyle name="Accent2 - 20% 2 2" xfId="1088" xr:uid="{F68C5F47-8087-4EF5-A86D-EF36AF207E58}"/>
    <cellStyle name="Accent2 - 20% 3" xfId="1087" xr:uid="{740E2974-99A3-4C6A-9A3C-9D35A45C4D44}"/>
    <cellStyle name="Accent2 - 40%" xfId="25" xr:uid="{00000000-0005-0000-0000-0000A9000000}"/>
    <cellStyle name="Accent2 - 40% 2" xfId="899" xr:uid="{C8AB0773-203C-4C6E-B565-01F33238BC7F}"/>
    <cellStyle name="Accent2 - 40% 2 2" xfId="1090" xr:uid="{B23C6FBB-CEEF-4E12-82D4-A41405795F2D}"/>
    <cellStyle name="Accent2 - 40% 3" xfId="1089" xr:uid="{36FB6292-0688-4100-A52D-BB0036457F47}"/>
    <cellStyle name="Accent2 - 60%" xfId="26" xr:uid="{00000000-0005-0000-0000-0000AA000000}"/>
    <cellStyle name="Accent2 - 60% 2" xfId="900" xr:uid="{AF53FF1C-518F-4939-AF19-B56F4C363B7D}"/>
    <cellStyle name="Accent2 - 60% 3" xfId="1091" xr:uid="{3EE8043A-A8D8-4095-A13B-E2F8DCAF4F83}"/>
    <cellStyle name="Accent2 10" xfId="931" xr:uid="{B71FC80D-923E-42FE-B25A-620E92B92CAA}"/>
    <cellStyle name="Accent2 2" xfId="168" xr:uid="{00000000-0005-0000-0000-0000AB000000}"/>
    <cellStyle name="Accent2 2 2" xfId="1093" xr:uid="{E2AFFB22-8D6D-4174-B386-E06D33B4B0D0}"/>
    <cellStyle name="Accent2 2 3" xfId="1092" xr:uid="{DEA24C2F-BD40-4FBE-A814-9D5A35169FA2}"/>
    <cellStyle name="Accent2 3" xfId="214" xr:uid="{00000000-0005-0000-0000-0000AC000000}"/>
    <cellStyle name="Accent2 3 2" xfId="1094" xr:uid="{91095101-B597-45A2-AAF7-4E16DFA94DC2}"/>
    <cellStyle name="Accent2 4" xfId="260" xr:uid="{00000000-0005-0000-0000-0000AD000000}"/>
    <cellStyle name="Accent2 4 2" xfId="1095" xr:uid="{B6825291-8684-430A-87A0-B6892FDCB861}"/>
    <cellStyle name="Accent2 5" xfId="309" xr:uid="{00000000-0005-0000-0000-0000AE000000}"/>
    <cellStyle name="Accent2 5 2" xfId="1096" xr:uid="{2BC4EB0C-C3D5-49F4-9B6D-0621473FBAC3}"/>
    <cellStyle name="Accent2 6" xfId="373" xr:uid="{00000000-0005-0000-0000-0000AF000000}"/>
    <cellStyle name="Accent2 6 2" xfId="1097" xr:uid="{E79C3EF2-7899-45CB-8E55-2409DE3D6262}"/>
    <cellStyle name="Accent2 7" xfId="444" xr:uid="{00000000-0005-0000-0000-0000B0000000}"/>
    <cellStyle name="Accent2 8" xfId="548" xr:uid="{00000000-0005-0000-0000-0000B1000000}"/>
    <cellStyle name="Accent2 9" xfId="950" xr:uid="{BC8A2DEE-4CB2-4376-80A9-E5B9DE57E410}"/>
    <cellStyle name="Accent3" xfId="27" builtinId="37" customBuiltin="1"/>
    <cellStyle name="Accent3 - 20%" xfId="28" xr:uid="{00000000-0005-0000-0000-0000B3000000}"/>
    <cellStyle name="Accent3 - 20% 2" xfId="901" xr:uid="{799D8D2C-063B-414A-9931-887EFCFC4E67}"/>
    <cellStyle name="Accent3 - 20% 2 2" xfId="1099" xr:uid="{B7CB49EF-AB66-4FED-8A0F-0665B8C333E2}"/>
    <cellStyle name="Accent3 - 20% 3" xfId="1098" xr:uid="{BEDE6608-4E97-48F3-A85A-04882925D571}"/>
    <cellStyle name="Accent3 - 40%" xfId="29" xr:uid="{00000000-0005-0000-0000-0000B4000000}"/>
    <cellStyle name="Accent3 - 40% 2" xfId="902" xr:uid="{9EE4BE1D-CF1C-4742-8B41-85BFD5FD0E44}"/>
    <cellStyle name="Accent3 - 40% 2 2" xfId="1101" xr:uid="{637AE64C-46E6-4E54-A754-5BCB4710A002}"/>
    <cellStyle name="Accent3 - 40% 3" xfId="1100" xr:uid="{1191125C-292B-4EAC-9AC9-5CDD313F9E61}"/>
    <cellStyle name="Accent3 - 60%" xfId="30" xr:uid="{00000000-0005-0000-0000-0000B5000000}"/>
    <cellStyle name="Accent3 - 60% 2" xfId="903" xr:uid="{D0DE66A8-CA6C-4224-8DB9-E474B7B1280B}"/>
    <cellStyle name="Accent3 - 60% 3" xfId="1102" xr:uid="{33A92544-35BE-42FD-8800-0B328CCE314B}"/>
    <cellStyle name="Accent3 10" xfId="1122" xr:uid="{062B3298-900C-4715-8273-EB8D67633230}"/>
    <cellStyle name="Accent3 2" xfId="169" xr:uid="{00000000-0005-0000-0000-0000B6000000}"/>
    <cellStyle name="Accent3 2 2" xfId="1104" xr:uid="{AD0EAA13-596C-48C8-B2B0-2BCCAB62471A}"/>
    <cellStyle name="Accent3 2 3" xfId="1103" xr:uid="{7BE6615A-2710-42B7-8924-11B35425E74D}"/>
    <cellStyle name="Accent3 3" xfId="215" xr:uid="{00000000-0005-0000-0000-0000B7000000}"/>
    <cellStyle name="Accent3 3 2" xfId="1105" xr:uid="{31C22731-24A1-4C30-86D2-212C22845DA9}"/>
    <cellStyle name="Accent3 4" xfId="261" xr:uid="{00000000-0005-0000-0000-0000B8000000}"/>
    <cellStyle name="Accent3 4 2" xfId="1106" xr:uid="{117C03F0-794F-4772-BC2D-AAD9A70B091E}"/>
    <cellStyle name="Accent3 5" xfId="310" xr:uid="{00000000-0005-0000-0000-0000B9000000}"/>
    <cellStyle name="Accent3 5 2" xfId="1107" xr:uid="{C67BA2AB-1CE0-4AE5-A4A8-F8513869DF9F}"/>
    <cellStyle name="Accent3 6" xfId="374" xr:uid="{00000000-0005-0000-0000-0000BA000000}"/>
    <cellStyle name="Accent3 6 2" xfId="1108" xr:uid="{4517FCAE-1CEA-4BDD-A2F2-D08942B3B088}"/>
    <cellStyle name="Accent3 7" xfId="445" xr:uid="{00000000-0005-0000-0000-0000BB000000}"/>
    <cellStyle name="Accent3 8" xfId="549" xr:uid="{00000000-0005-0000-0000-0000BC000000}"/>
    <cellStyle name="Accent3 9" xfId="953" xr:uid="{B22748A5-3A25-43AC-B351-99C87BEC613D}"/>
    <cellStyle name="Accent4" xfId="31" builtinId="41" customBuiltin="1"/>
    <cellStyle name="Accent4 - 20%" xfId="32" xr:uid="{00000000-0005-0000-0000-0000BE000000}"/>
    <cellStyle name="Accent4 - 20% 2" xfId="904" xr:uid="{2A244947-8719-466C-882F-76D767C039CB}"/>
    <cellStyle name="Accent4 - 20% 2 2" xfId="1110" xr:uid="{3E9F496F-5B39-4E62-9083-99C9008F1185}"/>
    <cellStyle name="Accent4 - 20% 3" xfId="1109" xr:uid="{219BD5D1-FA2D-40CD-B912-1C479533EAA8}"/>
    <cellStyle name="Accent4 - 40%" xfId="33" xr:uid="{00000000-0005-0000-0000-0000BF000000}"/>
    <cellStyle name="Accent4 - 40% 2" xfId="905" xr:uid="{AFDFCFCB-B00A-4EF8-A068-4DB2E94E6F65}"/>
    <cellStyle name="Accent4 - 40% 2 2" xfId="1112" xr:uid="{05CE971B-A2FB-4C38-B08B-32BBB09DFA33}"/>
    <cellStyle name="Accent4 - 40% 3" xfId="1111" xr:uid="{0D0C1A3F-A9AB-47C1-971A-0DFAED12DEEC}"/>
    <cellStyle name="Accent4 - 60%" xfId="34" xr:uid="{00000000-0005-0000-0000-0000C0000000}"/>
    <cellStyle name="Accent4 - 60% 2" xfId="906" xr:uid="{D5544E1B-0053-4E69-AFF5-74AC05D47F77}"/>
    <cellStyle name="Accent4 - 60% 3" xfId="1113" xr:uid="{0D4BC98E-799C-4B75-BBC6-02DCBD9BF55A}"/>
    <cellStyle name="Accent4 10" xfId="3311" xr:uid="{F46DF3C4-5610-4E61-AADA-B24876832B7A}"/>
    <cellStyle name="Accent4 2" xfId="170" xr:uid="{00000000-0005-0000-0000-0000C1000000}"/>
    <cellStyle name="Accent4 2 2" xfId="1115" xr:uid="{569278D7-7112-4B2E-BF1C-45E6D3F2735C}"/>
    <cellStyle name="Accent4 2 3" xfId="1114" xr:uid="{310310A8-778A-4026-8B1A-CB89A40C9F6C}"/>
    <cellStyle name="Accent4 3" xfId="216" xr:uid="{00000000-0005-0000-0000-0000C2000000}"/>
    <cellStyle name="Accent4 3 2" xfId="1116" xr:uid="{9AF0226D-D497-45B5-850A-BE9C180674DB}"/>
    <cellStyle name="Accent4 4" xfId="262" xr:uid="{00000000-0005-0000-0000-0000C3000000}"/>
    <cellStyle name="Accent4 4 2" xfId="1117" xr:uid="{D9496B3F-F057-431F-AEE1-0E4A33B46FAD}"/>
    <cellStyle name="Accent4 5" xfId="311" xr:uid="{00000000-0005-0000-0000-0000C4000000}"/>
    <cellStyle name="Accent4 5 2" xfId="1118" xr:uid="{4BD48876-9CB3-4458-9052-1C3ACB358A5F}"/>
    <cellStyle name="Accent4 6" xfId="375" xr:uid="{00000000-0005-0000-0000-0000C5000000}"/>
    <cellStyle name="Accent4 6 2" xfId="1119" xr:uid="{CEE9625D-A294-4910-81B6-B564BBDE42AC}"/>
    <cellStyle name="Accent4 7" xfId="446" xr:uid="{00000000-0005-0000-0000-0000C6000000}"/>
    <cellStyle name="Accent4 8" xfId="550" xr:uid="{00000000-0005-0000-0000-0000C7000000}"/>
    <cellStyle name="Accent4 9" xfId="916" xr:uid="{1E49948A-8419-4CDD-A029-BF6BCAB8415F}"/>
    <cellStyle name="Accent5" xfId="35" builtinId="45" customBuiltin="1"/>
    <cellStyle name="Accent5 - 20%" xfId="36" xr:uid="{00000000-0005-0000-0000-0000C9000000}"/>
    <cellStyle name="Accent5 - 20% 2" xfId="907" xr:uid="{89E935E9-9950-44BE-8448-0BB5624B551C}"/>
    <cellStyle name="Accent5 - 20% 2 2" xfId="1121" xr:uid="{986DEAA9-7DBF-4AD8-8A23-4567D6191E7F}"/>
    <cellStyle name="Accent5 - 20% 3" xfId="1120" xr:uid="{D94450C6-6787-4B9C-99B4-554826CF9990}"/>
    <cellStyle name="Accent5 - 40%" xfId="37" xr:uid="{00000000-0005-0000-0000-0000CA000000}"/>
    <cellStyle name="Accent5 - 40% 2" xfId="908" xr:uid="{8B81908A-60A3-4F36-BAE6-ECDF676E0561}"/>
    <cellStyle name="Accent5 - 60%" xfId="38" xr:uid="{00000000-0005-0000-0000-0000CB000000}"/>
    <cellStyle name="Accent5 - 60% 2" xfId="909" xr:uid="{BB129ECB-848D-4823-AB4C-1E2B0321DA1D}"/>
    <cellStyle name="Accent5 - 60% 3" xfId="1123" xr:uid="{5F4A6472-2E59-47F0-A928-C7A58380DDD5}"/>
    <cellStyle name="Accent5 10" xfId="3312" xr:uid="{F883AEA5-15AC-45E8-9072-1A76639067DF}"/>
    <cellStyle name="Accent5 2" xfId="171" xr:uid="{00000000-0005-0000-0000-0000CC000000}"/>
    <cellStyle name="Accent5 2 2" xfId="1125" xr:uid="{C3F6D20C-3BCD-4395-9E2D-BBB30836745E}"/>
    <cellStyle name="Accent5 2 3" xfId="1124" xr:uid="{DA6573BB-58A8-431B-ABA5-20DA17E05D8A}"/>
    <cellStyle name="Accent5 3" xfId="217" xr:uid="{00000000-0005-0000-0000-0000CD000000}"/>
    <cellStyle name="Accent5 3 2" xfId="1126" xr:uid="{63A1CBF7-EFF7-4700-935D-CA9EED1D58E1}"/>
    <cellStyle name="Accent5 4" xfId="263" xr:uid="{00000000-0005-0000-0000-0000CE000000}"/>
    <cellStyle name="Accent5 4 2" xfId="1127" xr:uid="{6CF94C34-7D46-4F8E-A1CE-C74E0AE3E331}"/>
    <cellStyle name="Accent5 5" xfId="312" xr:uid="{00000000-0005-0000-0000-0000CF000000}"/>
    <cellStyle name="Accent5 5 2" xfId="1128" xr:uid="{BF38DBF9-72C2-4737-972D-F53EF5BEAAAC}"/>
    <cellStyle name="Accent5 6" xfId="376" xr:uid="{00000000-0005-0000-0000-0000D0000000}"/>
    <cellStyle name="Accent5 6 2" xfId="1129" xr:uid="{7EDB78D8-448B-4B55-8FC4-F278B54F561B}"/>
    <cellStyle name="Accent5 7" xfId="447" xr:uid="{00000000-0005-0000-0000-0000D1000000}"/>
    <cellStyle name="Accent5 8" xfId="551" xr:uid="{00000000-0005-0000-0000-0000D2000000}"/>
    <cellStyle name="Accent5 9" xfId="913" xr:uid="{AF81FAD9-2403-4A11-AE4B-921643EBA684}"/>
    <cellStyle name="Accent6" xfId="39" builtinId="49" customBuiltin="1"/>
    <cellStyle name="Accent6 - 20%" xfId="40" xr:uid="{00000000-0005-0000-0000-0000D4000000}"/>
    <cellStyle name="Accent6 - 20% 2" xfId="910" xr:uid="{C54B27D8-100A-4EEC-83B0-62C23B5A7799}"/>
    <cellStyle name="Accent6 - 40%" xfId="41" xr:uid="{00000000-0005-0000-0000-0000D5000000}"/>
    <cellStyle name="Accent6 - 40% 2" xfId="911" xr:uid="{96A5857A-2028-47BB-AC92-FA568BFD5666}"/>
    <cellStyle name="Accent6 - 40% 2 2" xfId="1131" xr:uid="{C8A2569D-AA9B-4492-BFF6-38CF712B4884}"/>
    <cellStyle name="Accent6 - 40% 3" xfId="1130" xr:uid="{AD139F09-9DD1-4E0C-974D-F21ACFCC3369}"/>
    <cellStyle name="Accent6 - 60%" xfId="42" xr:uid="{00000000-0005-0000-0000-0000D6000000}"/>
    <cellStyle name="Accent6 - 60% 2" xfId="912" xr:uid="{1C6C4C6A-45F8-403C-BCA4-A7F3FB2FE4F9}"/>
    <cellStyle name="Accent6 - 60% 3" xfId="1132" xr:uid="{A0483F0A-D5D9-4BDC-8EF2-E9E671226253}"/>
    <cellStyle name="Accent6 10" xfId="3313" xr:uid="{5194ABC5-93A1-4C48-AE07-3D7F164B9ED5}"/>
    <cellStyle name="Accent6 2" xfId="172" xr:uid="{00000000-0005-0000-0000-0000D7000000}"/>
    <cellStyle name="Accent6 2 2" xfId="1134" xr:uid="{2A48EB7B-8F04-4D09-B815-DC461C6621AD}"/>
    <cellStyle name="Accent6 2 3" xfId="1133" xr:uid="{82050C57-1704-4782-8CFF-BA7B80AE3907}"/>
    <cellStyle name="Accent6 3" xfId="218" xr:uid="{00000000-0005-0000-0000-0000D8000000}"/>
    <cellStyle name="Accent6 3 2" xfId="1135" xr:uid="{393E79D3-6A93-4FC5-BC58-0C6D208767CA}"/>
    <cellStyle name="Accent6 4" xfId="264" xr:uid="{00000000-0005-0000-0000-0000D9000000}"/>
    <cellStyle name="Accent6 4 2" xfId="1136" xr:uid="{2400D7D5-448F-41EC-B144-F0773A2D67EE}"/>
    <cellStyle name="Accent6 5" xfId="313" xr:uid="{00000000-0005-0000-0000-0000DA000000}"/>
    <cellStyle name="Accent6 5 2" xfId="1137" xr:uid="{88D9331B-44B9-48EB-BCC5-47A36A59A06D}"/>
    <cellStyle name="Accent6 6" xfId="377" xr:uid="{00000000-0005-0000-0000-0000DB000000}"/>
    <cellStyle name="Accent6 6 2" xfId="1138" xr:uid="{B260B284-DD10-4822-9325-369AAC0302B0}"/>
    <cellStyle name="Accent6 7" xfId="448" xr:uid="{00000000-0005-0000-0000-0000DC000000}"/>
    <cellStyle name="Accent6 8" xfId="552" xr:uid="{00000000-0005-0000-0000-0000DD000000}"/>
    <cellStyle name="Accent6 9" xfId="957" xr:uid="{31DE2352-7871-47D4-AA82-7E747C110FA2}"/>
    <cellStyle name="Bad" xfId="43" builtinId="27" customBuiltin="1"/>
    <cellStyle name="Bad 2" xfId="173" xr:uid="{00000000-0005-0000-0000-0000DF000000}"/>
    <cellStyle name="Bad 2 2" xfId="1140" xr:uid="{EF3CDA51-3D50-43AD-AC08-88B3B52AEF02}"/>
    <cellStyle name="Bad 2 3" xfId="1139" xr:uid="{A73B6750-E885-4C74-82E2-F4EB09B85EE4}"/>
    <cellStyle name="Bad 3" xfId="219" xr:uid="{00000000-0005-0000-0000-0000E0000000}"/>
    <cellStyle name="Bad 3 2" xfId="1141" xr:uid="{1AEEBF8D-BD6A-4B40-8BF9-8431F8FAC5B5}"/>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Bad 9" xfId="948" xr:uid="{75FF57D6-7168-4E47-B741-7396B407EB1B}"/>
    <cellStyle name="Calculation" xfId="44" builtinId="22" customBuiltin="1"/>
    <cellStyle name="Calculation 10" xfId="3314" xr:uid="{3DBE477C-096C-49F3-AFA3-5272A78340AA}"/>
    <cellStyle name="Calculation 2" xfId="174" xr:uid="{00000000-0005-0000-0000-0000E7000000}"/>
    <cellStyle name="Calculation 2 2" xfId="1143" xr:uid="{469FD491-EEDC-44CD-84EC-E8450110DEA4}"/>
    <cellStyle name="Calculation 2 2 2" xfId="3290" xr:uid="{8BDD3A74-61AF-4953-A27F-5B32B532D884}"/>
    <cellStyle name="Calculation 2 2 2 2" xfId="5664" xr:uid="{95F50B25-0F60-465E-8B3C-20F8945AD9E9}"/>
    <cellStyle name="Calculation 2 2 3" xfId="3141" xr:uid="{7896FD04-59FB-4E13-87C9-01D48FFC6D3E}"/>
    <cellStyle name="Calculation 2 2 3 2" xfId="5515" xr:uid="{8F06241D-FDD1-4689-A365-6DCE38ACD629}"/>
    <cellStyle name="Calculation 2 2 4" xfId="3933" xr:uid="{B01127C6-8106-449C-9DF1-6217D8C32293}"/>
    <cellStyle name="Calculation 2 3" xfId="3107" xr:uid="{B26FC16B-DE57-4E49-BE54-CD8B90EF129B}"/>
    <cellStyle name="Calculation 2 3 2" xfId="5481" xr:uid="{8CD9686D-35EC-4569-AFA6-5A525730C02E}"/>
    <cellStyle name="Calculation 2 4" xfId="3294" xr:uid="{87E32EE9-651C-4737-A334-2CA799505CC5}"/>
    <cellStyle name="Calculation 2 4 2" xfId="5668" xr:uid="{7ECF1AD5-86BB-48E4-86D8-215DEE2AF208}"/>
    <cellStyle name="Calculation 2 5" xfId="1142" xr:uid="{CF9B27F6-9FE3-42F8-BE7F-2E8BF783A282}"/>
    <cellStyle name="Calculation 2 5 2" xfId="3932" xr:uid="{6DCB1F24-2A1B-4330-9F63-903BE59538C0}"/>
    <cellStyle name="Calculation 2 6" xfId="3367" xr:uid="{16F673C4-1D84-4EAD-9570-E44D0CA379B2}"/>
    <cellStyle name="Calculation 3" xfId="220" xr:uid="{00000000-0005-0000-0000-0000E8000000}"/>
    <cellStyle name="Calculation 3 2" xfId="3373" xr:uid="{528D89DE-220D-41EB-8267-D42D165B7600}"/>
    <cellStyle name="Calculation 4" xfId="266" xr:uid="{00000000-0005-0000-0000-0000E9000000}"/>
    <cellStyle name="Calculation 4 2" xfId="3380" xr:uid="{F2F4F0E5-BE94-421B-85F9-AD0CAA076DD4}"/>
    <cellStyle name="Calculation 5" xfId="315" xr:uid="{00000000-0005-0000-0000-0000EA000000}"/>
    <cellStyle name="Calculation 5 2" xfId="3389" xr:uid="{9F8B0560-A0CE-472A-9776-91442BDC2121}"/>
    <cellStyle name="Calculation 6" xfId="379" xr:uid="{00000000-0005-0000-0000-0000EB000000}"/>
    <cellStyle name="Calculation 6 2" xfId="3412" xr:uid="{6235C727-A9B8-4133-8959-D4500D9FAD47}"/>
    <cellStyle name="Calculation 7" xfId="450" xr:uid="{00000000-0005-0000-0000-0000EC000000}"/>
    <cellStyle name="Calculation 7 2" xfId="3443" xr:uid="{DC59FC78-C2FD-472C-B318-90F122F82608}"/>
    <cellStyle name="Calculation 8" xfId="554" xr:uid="{00000000-0005-0000-0000-0000ED000000}"/>
    <cellStyle name="Calculation 8 2" xfId="3501" xr:uid="{59C5F892-F21E-4F74-8636-2E99F5EF84E9}"/>
    <cellStyle name="Calculation 9" xfId="923" xr:uid="{CA2DF9D3-1031-47BE-883C-D830DE199877}"/>
    <cellStyle name="Check Cell" xfId="45" builtinId="23" customBuiltin="1"/>
    <cellStyle name="Check Cell 2" xfId="175" xr:uid="{00000000-0005-0000-0000-0000EF000000}"/>
    <cellStyle name="Check Cell 2 2" xfId="1145" xr:uid="{C922E485-1A5F-45CC-B93E-1A4081F3FCA5}"/>
    <cellStyle name="Check Cell 2 3" xfId="1144" xr:uid="{0554EDF0-82FD-4B9E-A7F8-C7B58CF5BD7A}"/>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heck Cell 9" xfId="983" xr:uid="{0FF80B56-0D70-42B8-BE8E-1DF3256F2D0E}"/>
    <cellStyle name="Comma" xfId="46" builtinId="3"/>
    <cellStyle name="Comma [0] 2" xfId="1146" xr:uid="{97CD7DFC-5A8D-4176-8E2B-5A4503614C4A}"/>
    <cellStyle name="Comma 10" xfId="891" xr:uid="{AA021DD0-4C03-4450-8885-A7D916097526}"/>
    <cellStyle name="Comma 10 2" xfId="1147" xr:uid="{68C2C8C2-F50C-4CA4-8525-580A914BFDDD}"/>
    <cellStyle name="Comma 10 2 2" xfId="1148" xr:uid="{8A34BE01-CC6D-4019-B06B-80E98CD16CCD}"/>
    <cellStyle name="Comma 10 3" xfId="1149" xr:uid="{7714276C-F20F-4672-AEE6-342684EA79E7}"/>
    <cellStyle name="Comma 10 4" xfId="930" xr:uid="{157ACD8A-9174-4A67-A274-730A03942E07}"/>
    <cellStyle name="Comma 10 5" xfId="3822" xr:uid="{20BBA402-4576-48F9-88A1-D548B45B31C2}"/>
    <cellStyle name="Comma 11" xfId="1150" xr:uid="{92D650FF-2BFA-4F28-8EC1-AC8C89BE6482}"/>
    <cellStyle name="Comma 12" xfId="1151" xr:uid="{72BBCD3A-31C0-45FE-8FA1-4EBD73EECAEB}"/>
    <cellStyle name="Comma 12 2" xfId="1152" xr:uid="{137FCBCD-6564-4448-AB0F-E36E93CEFD9E}"/>
    <cellStyle name="Comma 12 2 2" xfId="1153" xr:uid="{7AC5401D-36D7-4203-9B8D-4CF1F03EC974}"/>
    <cellStyle name="Comma 12 3" xfId="1154" xr:uid="{493EE55F-C202-4205-921E-5B6677569D98}"/>
    <cellStyle name="Comma 13" xfId="1155" xr:uid="{1822ABD2-8AD4-45C4-8D75-A2A485677059}"/>
    <cellStyle name="Comma 13 2" xfId="1156" xr:uid="{F097B4DC-856B-4053-A682-03DBC7EE424F}"/>
    <cellStyle name="Comma 14" xfId="1157" xr:uid="{139F5FC7-44AF-4817-8AE2-91D8023161A1}"/>
    <cellStyle name="Comma 14 2" xfId="1158" xr:uid="{57AD8D7A-DA25-40DF-9097-69C463B20E92}"/>
    <cellStyle name="Comma 15" xfId="1159" xr:uid="{40654EEE-2F20-4689-8A8D-AF8C760112B5}"/>
    <cellStyle name="Comma 15 2" xfId="1160" xr:uid="{A2EADB3B-952E-48D6-AA9F-D9ACE873B5C5}"/>
    <cellStyle name="Comma 16" xfId="1161" xr:uid="{BD6B89C2-E096-4704-8A7A-73F5E7EF646D}"/>
    <cellStyle name="Comma 16 2" xfId="1162" xr:uid="{BEE6BBC5-CB30-4B56-A14B-FA48A25A3A22}"/>
    <cellStyle name="Comma 17" xfId="1163" xr:uid="{8DF524E8-ADCC-47D1-AE24-AA58F5460431}"/>
    <cellStyle name="Comma 17 2" xfId="1164" xr:uid="{476647E9-0129-4967-B81A-E8266010BA9F}"/>
    <cellStyle name="Comma 17 2 2" xfId="1165" xr:uid="{B5DFC4CD-0DA0-4B4E-98CF-6EFDFA2A90F1}"/>
    <cellStyle name="Comma 17 2 3" xfId="1166" xr:uid="{03F909B2-892B-4318-A85D-5CB9DDCD1715}"/>
    <cellStyle name="Comma 17 3" xfId="1167" xr:uid="{2ACF6974-7B36-44CD-AC98-8759C9F26967}"/>
    <cellStyle name="Comma 17 4" xfId="1168" xr:uid="{70044D7A-504C-479F-809A-063CB9AB900E}"/>
    <cellStyle name="Comma 18" xfId="1169" xr:uid="{D1A79776-9786-4614-8B6E-86C504440B9E}"/>
    <cellStyle name="Comma 19" xfId="1170" xr:uid="{39500E38-EA51-42AD-B9AD-103AC2D59EF8}"/>
    <cellStyle name="Comma 2" xfId="47" xr:uid="{00000000-0005-0000-0000-0000F7000000}"/>
    <cellStyle name="Comma 2 2" xfId="48" xr:uid="{00000000-0005-0000-0000-0000F8000000}"/>
    <cellStyle name="Comma 2 2 2" xfId="1171" xr:uid="{E7E86A3B-B0DB-49BD-8BE7-416BB3C1416C}"/>
    <cellStyle name="Comma 2 2 3" xfId="1172" xr:uid="{8FE40F42-BF90-460D-BAAF-9E9DA3B545D5}"/>
    <cellStyle name="Comma 2 3" xfId="1173" xr:uid="{62701446-57CC-4F1F-89AF-529BC20415E6}"/>
    <cellStyle name="Comma 2 3 2" xfId="1174" xr:uid="{DE213E23-BC48-4316-AA6E-9F355EFB0855}"/>
    <cellStyle name="Comma 2 3 3" xfId="1175" xr:uid="{A7168289-8C1F-43AA-B140-C90E3D974B62}"/>
    <cellStyle name="Comma 2 3 3 2" xfId="1176" xr:uid="{3EBAE58E-A84C-46E6-90C3-F55179533DC8}"/>
    <cellStyle name="Comma 2 3 4" xfId="1177" xr:uid="{B7E54ECD-869E-4AF4-97E6-989985171106}"/>
    <cellStyle name="Comma 2 3 5" xfId="1178" xr:uid="{E1BB7F7B-C27C-4218-A733-A37ACB7DA8E8}"/>
    <cellStyle name="Comma 2 4" xfId="1179" xr:uid="{58C1FB42-84CE-44F4-A4CA-639C0273AFA2}"/>
    <cellStyle name="Comma 2 5" xfId="1180" xr:uid="{FB7B5BF3-4914-4C3D-864D-CFDDF3C2EA77}"/>
    <cellStyle name="Comma 20" xfId="1181" xr:uid="{CEC18F73-988A-43CE-96A5-CDA4E4612E04}"/>
    <cellStyle name="Comma 21" xfId="1182" xr:uid="{10E16244-70EC-4EA2-82F1-2D41D7A7952D}"/>
    <cellStyle name="Comma 22" xfId="1183" xr:uid="{7ADD6C31-2A24-43D5-B699-BAE3AA6AB17F}"/>
    <cellStyle name="Comma 23" xfId="1184" xr:uid="{7D2F663A-F6FF-4CF9-8BD1-36A237A49003}"/>
    <cellStyle name="Comma 24" xfId="1185" xr:uid="{ABD29478-2E19-4543-A887-D38C2CDF771F}"/>
    <cellStyle name="Comma 25" xfId="1186" xr:uid="{E15E5154-245B-46F9-84ED-1CA25F283741}"/>
    <cellStyle name="Comma 26" xfId="1187" xr:uid="{5D12D41C-CA14-4EA5-9FAB-00BA2B28A68E}"/>
    <cellStyle name="Comma 27" xfId="1188" xr:uid="{BA4A031E-9EBB-428A-B601-83E4425E7F3C}"/>
    <cellStyle name="Comma 28" xfId="1189" xr:uid="{C2548BF5-C6D0-4ADB-AC4E-CD7D1464B82B}"/>
    <cellStyle name="Comma 29" xfId="1190" xr:uid="{EC4BB99F-63A8-4899-AC39-6C4407FF112D}"/>
    <cellStyle name="Comma 3" xfId="176" xr:uid="{00000000-0005-0000-0000-0000F9000000}"/>
    <cellStyle name="Comma 3 2" xfId="1192" xr:uid="{A49EE661-BEE4-473B-9700-1D5499DEF105}"/>
    <cellStyle name="Comma 3 3" xfId="1193" xr:uid="{0DF9808A-4D6A-4634-9CEB-E065FEBE2405}"/>
    <cellStyle name="Comma 3 3 2" xfId="1194" xr:uid="{9B77B6C1-2117-4293-A3DF-16F3066D92B1}"/>
    <cellStyle name="Comma 3 4" xfId="1191" xr:uid="{02B6AFB5-5B83-4BB2-A85C-CF1007851E99}"/>
    <cellStyle name="Comma 30" xfId="1195" xr:uid="{2A6BFE5F-BDED-4FD2-8035-8245BFFE8A96}"/>
    <cellStyle name="Comma 31" xfId="1196" xr:uid="{971650DA-6F40-4FC1-B69A-E366926FA0DA}"/>
    <cellStyle name="Comma 32" xfId="1197" xr:uid="{3BFB74EA-39D1-406E-B207-7B225344EA6B}"/>
    <cellStyle name="Comma 33" xfId="1198" xr:uid="{A74FDD34-F598-4CF8-841E-23EC884C5AB6}"/>
    <cellStyle name="Comma 34" xfId="1199" xr:uid="{7A781A14-63C9-4E75-97D8-4CA2FEE54963}"/>
    <cellStyle name="Comma 35" xfId="1200" xr:uid="{CD32AD17-24FA-497F-A40D-7B1CA5CA471B}"/>
    <cellStyle name="Comma 36" xfId="1201" xr:uid="{00C4D41D-E246-4DEB-9A51-DA3DE1C10D13}"/>
    <cellStyle name="Comma 37" xfId="1202" xr:uid="{678B7820-A76E-472B-8563-971C56E216A1}"/>
    <cellStyle name="Comma 38" xfId="1203" xr:uid="{B01FB710-8A90-45ED-89E3-969A501C4AE1}"/>
    <cellStyle name="Comma 39" xfId="1204" xr:uid="{8300141D-EB03-456B-8011-A20BB1324E2C}"/>
    <cellStyle name="Comma 4" xfId="222" xr:uid="{00000000-0005-0000-0000-0000FA000000}"/>
    <cellStyle name="Comma 4 2" xfId="1206" xr:uid="{E735E1D8-4A15-4B91-AFDD-0B77617E5195}"/>
    <cellStyle name="Comma 4 3" xfId="1207" xr:uid="{635FDFCB-1E3C-4059-8280-2D8AC616335B}"/>
    <cellStyle name="Comma 4 4" xfId="1208" xr:uid="{9A46E82D-B4BD-456C-9F8E-5051ECC36D73}"/>
    <cellStyle name="Comma 4 4 2" xfId="1209" xr:uid="{14E2004A-08A3-4724-838B-1E917FDB251D}"/>
    <cellStyle name="Comma 4 5" xfId="1210" xr:uid="{41B8D035-0E01-47A9-B205-BE23AD54A9D6}"/>
    <cellStyle name="Comma 4 6" xfId="1205" xr:uid="{8742A3C9-B8D8-4959-AEB3-6E985796953A}"/>
    <cellStyle name="Comma 40" xfId="1211" xr:uid="{FE8ED40D-34F2-4B08-A341-F21BC3F7F119}"/>
    <cellStyle name="Comma 41" xfId="1212" xr:uid="{DBCE1388-0DE0-4781-BCA1-01C820CE25AB}"/>
    <cellStyle name="Comma 42" xfId="3043" xr:uid="{912B3E8F-8527-4AB6-B24F-47DB6C340F0D}"/>
    <cellStyle name="Comma 42 2" xfId="5417" xr:uid="{6FC48A84-97D1-4661-8167-9C2E1CF2BB88}"/>
    <cellStyle name="Comma 43" xfId="3309" xr:uid="{BD579F3F-AC46-431D-A6F2-A60D0274FFB9}"/>
    <cellStyle name="Comma 43 2" xfId="5683" xr:uid="{273BDF79-C595-46BC-A5EF-4E24AA1F70D9}"/>
    <cellStyle name="Comma 44" xfId="3308" xr:uid="{C7760472-264E-4679-9986-A0C746B344D6}"/>
    <cellStyle name="Comma 44 2" xfId="5682" xr:uid="{67A9A973-1A4B-4602-8E03-A1EA77FE9180}"/>
    <cellStyle name="Comma 45" xfId="3307" xr:uid="{EB6308FD-6A76-4D2E-A403-3AFC5D6DE18C}"/>
    <cellStyle name="Comma 45 2" xfId="5681" xr:uid="{6F29F66D-887F-47F1-8704-955136A6A147}"/>
    <cellStyle name="Comma 46" xfId="3310" xr:uid="{1580F03D-FECF-4C76-B543-A70F1EFF9C40}"/>
    <cellStyle name="Comma 46 2" xfId="5684" xr:uid="{EC6614A7-A679-4C51-B811-C3ADCA51F859}"/>
    <cellStyle name="Comma 5" xfId="268" xr:uid="{00000000-0005-0000-0000-0000FB000000}"/>
    <cellStyle name="Comma 6" xfId="317" xr:uid="{00000000-0005-0000-0000-0000FC000000}"/>
    <cellStyle name="Comma 6 2" xfId="1214" xr:uid="{3D8586F0-E870-4E6E-953E-4D6B771DA682}"/>
    <cellStyle name="Comma 7" xfId="381" xr:uid="{00000000-0005-0000-0000-0000FD000000}"/>
    <cellStyle name="Comma 8" xfId="452" xr:uid="{00000000-0005-0000-0000-0000FE000000}"/>
    <cellStyle name="Comma 8 2" xfId="1215" xr:uid="{6ECA102A-4C95-4B9C-AAD1-42B9CBF72A02}"/>
    <cellStyle name="Comma 9" xfId="556" xr:uid="{00000000-0005-0000-0000-0000FF000000}"/>
    <cellStyle name="Comma 9 2" xfId="1216" xr:uid="{2F6FD71D-38D7-4472-9224-6B345E7C210C}"/>
    <cellStyle name="Currency" xfId="5685" builtinId="4"/>
    <cellStyle name="Currency 10" xfId="1217" xr:uid="{DAA7AE13-90DF-44D0-B12F-E79020C62AD4}"/>
    <cellStyle name="Currency 10 2" xfId="1218" xr:uid="{8E982539-AEF9-414F-9C7F-C0F7B9118325}"/>
    <cellStyle name="Currency 11" xfId="1219" xr:uid="{9CEFFF05-F7F9-404E-8AA8-ED0A3020E9F7}"/>
    <cellStyle name="Currency 12" xfId="1220" xr:uid="{9D3F97B5-C1EC-445C-8ACF-B67F693FA35E}"/>
    <cellStyle name="Currency 12 2" xfId="1221" xr:uid="{D810A0AA-BE08-42E9-845B-292D0CEDEB10}"/>
    <cellStyle name="Currency 12 2 2" xfId="1222" xr:uid="{B71F33A8-CC80-42BD-9F33-C977A155F1CA}"/>
    <cellStyle name="Currency 12 3" xfId="1223" xr:uid="{8912D54A-A4E4-46A0-943E-92AB09722F3B}"/>
    <cellStyle name="Currency 13" xfId="1224" xr:uid="{BF7EA303-8146-4F5E-98A5-9B72CFD30F9D}"/>
    <cellStyle name="Currency 13 2" xfId="1225" xr:uid="{B7A5358C-D27A-4A8A-8051-82D4A2123E28}"/>
    <cellStyle name="Currency 14" xfId="1226" xr:uid="{D7DE8B73-3920-4922-92A8-F69549D707B9}"/>
    <cellStyle name="Currency 14 2" xfId="1227" xr:uid="{6FC6FDE5-3C6F-4276-9FD6-F9160E9F259E}"/>
    <cellStyle name="Currency 15" xfId="1228" xr:uid="{E4F97831-B02A-478C-9958-3D7D4D92E931}"/>
    <cellStyle name="Currency 15 2" xfId="1229" xr:uid="{B5AD3F47-E18E-4AD7-8FFD-650D03CB1CDA}"/>
    <cellStyle name="Currency 16" xfId="1230" xr:uid="{34C5363A-0478-440A-914E-7634B0BF0311}"/>
    <cellStyle name="Currency 16 2" xfId="1231" xr:uid="{52EC6057-4F3A-4565-895D-1AA17F7E82B4}"/>
    <cellStyle name="Currency 17" xfId="1232" xr:uid="{C4948B3C-6E3C-4232-A36A-8EFD2689DDA6}"/>
    <cellStyle name="Currency 17 2" xfId="1233" xr:uid="{27427482-0F17-4F6A-9F68-38A3ECEFDBAC}"/>
    <cellStyle name="Currency 18" xfId="1234" xr:uid="{C89E21F9-A1BC-4756-BF1F-A01203A87CEA}"/>
    <cellStyle name="Currency 18 2" xfId="1235" xr:uid="{A8000D24-AF90-46B2-A088-48EAA7CD2CA1}"/>
    <cellStyle name="Currency 18 2 2" xfId="1236" xr:uid="{B7C81EC8-5649-450A-9DA5-461497DEBF56}"/>
    <cellStyle name="Currency 18 2 3" xfId="1237" xr:uid="{3D510FBD-DFC6-4188-BB2B-1A60C69FD0C8}"/>
    <cellStyle name="Currency 18 3" xfId="1238" xr:uid="{B53FEBF3-5B8F-4AC0-A95A-A703E245119D}"/>
    <cellStyle name="Currency 18 4" xfId="1239" xr:uid="{394EF61E-0669-4EAF-89B9-A7EAE830A0DE}"/>
    <cellStyle name="Currency 18 5" xfId="1240" xr:uid="{2406DB68-BA10-4404-AA40-34A45ACA25BC}"/>
    <cellStyle name="Currency 19" xfId="2268" xr:uid="{ABE63D88-05B9-4341-BF7F-1CE44D24387E}"/>
    <cellStyle name="Currency 19 2" xfId="4716" xr:uid="{90FED96D-88CC-4667-AE35-CA5B6729470E}"/>
    <cellStyle name="Currency 2" xfId="49" xr:uid="{00000000-0005-0000-0000-000000010000}"/>
    <cellStyle name="Currency 2 2" xfId="50" xr:uid="{00000000-0005-0000-0000-000001010000}"/>
    <cellStyle name="Currency 2 2 2" xfId="1243" xr:uid="{E201012F-DE9A-4F2F-B13C-C0342E802014}"/>
    <cellStyle name="Currency 2 2 3" xfId="1242" xr:uid="{61010E2F-D2E7-4415-9717-2684358FC8A8}"/>
    <cellStyle name="Currency 2 3" xfId="1244" xr:uid="{41FC98B7-8DD9-4D98-8108-FD1500525169}"/>
    <cellStyle name="Currency 2 4" xfId="1245" xr:uid="{279044D2-7595-43D7-AD3E-95E5EB466ACB}"/>
    <cellStyle name="Currency 2 5" xfId="1241" xr:uid="{1D662784-D386-486B-ADD7-6BE09A3A13A2}"/>
    <cellStyle name="Currency 3" xfId="51" xr:uid="{00000000-0005-0000-0000-000002010000}"/>
    <cellStyle name="Currency 3 2" xfId="52" xr:uid="{00000000-0005-0000-0000-000003010000}"/>
    <cellStyle name="Currency 3 2 2" xfId="1246" xr:uid="{FD5F7968-4EB3-4004-902F-960F1B3DA825}"/>
    <cellStyle name="Currency 3 2 3" xfId="1247" xr:uid="{BE4A63EE-C1FF-4478-9392-B7E9D11A766A}"/>
    <cellStyle name="Currency 3 2 4" xfId="1248" xr:uid="{C3357B12-7269-471A-9CCA-0BAA693FD628}"/>
    <cellStyle name="Currency 3 3" xfId="1249" xr:uid="{3088D22E-097A-438C-8945-BDC153FE649D}"/>
    <cellStyle name="Currency 3 3 2" xfId="1250" xr:uid="{79D8C32D-4775-47A7-8DAA-7AB257B26260}"/>
    <cellStyle name="Currency 3 3 3" xfId="1251" xr:uid="{98B17E30-5E64-46E2-B83B-731EA5B463ED}"/>
    <cellStyle name="Currency 3 3 3 2" xfId="1252" xr:uid="{7D28ABCF-1C3F-42C1-BB13-BA194D7F9E34}"/>
    <cellStyle name="Currency 3 3 4" xfId="1253" xr:uid="{90EFB2FC-6EA9-4327-A845-4C23ACF35325}"/>
    <cellStyle name="Currency 3 4" xfId="1254" xr:uid="{F6294732-912E-4394-8D3D-2175E3498189}"/>
    <cellStyle name="Currency 3 5" xfId="1255" xr:uid="{C8814D9A-7522-4DE7-9501-57C086FC2A9D}"/>
    <cellStyle name="Currency 3 6" xfId="1256" xr:uid="{93B0155A-FD22-4EAC-B4FE-5325557393A8}"/>
    <cellStyle name="Currency 3 7" xfId="1257" xr:uid="{0660CDC1-723B-4A56-A7C0-0B2F3780FAB0}"/>
    <cellStyle name="Currency 3 8" xfId="1258" xr:uid="{0C193B52-817F-4DA8-824C-C6EBD67B8C87}"/>
    <cellStyle name="Currency 4" xfId="53" xr:uid="{00000000-0005-0000-0000-000004010000}"/>
    <cellStyle name="Currency 4 10" xfId="1805" xr:uid="{EFAC7B31-BA33-4C73-8FC4-6E2F25534A51}"/>
    <cellStyle name="Currency 4 10 2" xfId="2643" xr:uid="{40008FDA-B230-4A5A-9919-DF3F087DE3A1}"/>
    <cellStyle name="Currency 4 10 2 2" xfId="5078" xr:uid="{EAE17EE6-371A-4E90-B79D-734C5E80B434}"/>
    <cellStyle name="Currency 4 10 3" xfId="4322" xr:uid="{A681359D-A260-4950-91B3-CB08F5CBBEE5}"/>
    <cellStyle name="Currency 4 11" xfId="2371" xr:uid="{1E4B7249-AF69-45B6-BFDF-71F9118B83E7}"/>
    <cellStyle name="Currency 4 11 2" xfId="4806" xr:uid="{1396AF91-7A7D-4C4C-9205-E06B0BB17125}"/>
    <cellStyle name="Currency 4 12" xfId="1259" xr:uid="{E7DAEBC2-444C-4ECF-A8D9-C6A2487CC9FE}"/>
    <cellStyle name="Currency 4 12 2" xfId="3934" xr:uid="{E6AB433B-AC8E-4659-A443-814442C44636}"/>
    <cellStyle name="Currency 4 2" xfId="127" xr:uid="{00000000-0005-0000-0000-000005010000}"/>
    <cellStyle name="Currency 4 3" xfId="1260" xr:uid="{F14B565A-AF7A-4132-858B-D46891E7FECE}"/>
    <cellStyle name="Currency 4 4" xfId="1261" xr:uid="{1215AFDC-EF92-4ECD-9F23-105BB59802C4}"/>
    <cellStyle name="Currency 4 4 2" xfId="1262" xr:uid="{FB3ED144-2B78-49B6-BE58-E8FE9E6E2C85}"/>
    <cellStyle name="Currency 4 5" xfId="1263" xr:uid="{87AE4AD2-7D37-434A-8ED7-C3BD0C4F0819}"/>
    <cellStyle name="Currency 4 6" xfId="1264" xr:uid="{101F1732-1CBC-41B6-BB1B-62CC7AFAB105}"/>
    <cellStyle name="Currency 4 7" xfId="1265" xr:uid="{6F1C5B3E-5D2C-4E86-AC39-2B575E05E043}"/>
    <cellStyle name="Currency 4 8" xfId="1266" xr:uid="{4C0EB38E-9942-4FF6-B106-30C41CBB584C}"/>
    <cellStyle name="Currency 4 9" xfId="1267" xr:uid="{F060286D-DAEE-4B73-81C1-C3A2159FCC7D}"/>
    <cellStyle name="Currency 4 9 2" xfId="1975" xr:uid="{65A926D2-AE05-465C-9EB7-04D01620B564}"/>
    <cellStyle name="Currency 4 9 2 2" xfId="2813" xr:uid="{6F09FFD0-C0AD-418E-AB72-EF170FF94FF7}"/>
    <cellStyle name="Currency 4 9 2 2 2" xfId="5248" xr:uid="{32D83D4E-2A24-42D8-ADE0-AF34EB0B9171}"/>
    <cellStyle name="Currency 4 9 2 3" xfId="4492" xr:uid="{CE9D2E07-C449-43B5-A0F0-BC68907BABED}"/>
    <cellStyle name="Currency 4 9 3" xfId="2372" xr:uid="{08F4D02B-4292-473D-ADC0-56ABAC607A79}"/>
    <cellStyle name="Currency 4 9 3 2" xfId="4807" xr:uid="{F3A74430-4BAA-4149-82BD-EC49BDB06A1C}"/>
    <cellStyle name="Currency 4 9 4" xfId="3935" xr:uid="{CB864C65-BC8F-4C61-86CF-A5F6EF5709F1}"/>
    <cellStyle name="Currency 5" xfId="1268" xr:uid="{900E3995-2E18-4599-9BBE-6A07BB2A64BA}"/>
    <cellStyle name="Currency 5 2" xfId="1269" xr:uid="{70B909D3-B9F5-4ACC-8172-1B8C02222110}"/>
    <cellStyle name="Currency 6" xfId="1270" xr:uid="{3F346143-F901-4DF5-AEBD-3C6F74774E30}"/>
    <cellStyle name="Currency 6 2" xfId="1271" xr:uid="{3EF08993-B2A1-4E2B-82E9-CBB25FF36B29}"/>
    <cellStyle name="Currency 7" xfId="1272" xr:uid="{1043828E-45E4-4D96-85B7-09A15AF790F3}"/>
    <cellStyle name="Currency 7 2" xfId="1273" xr:uid="{4B5EBE0C-DF62-4828-ABDC-75E3A402E8D7}"/>
    <cellStyle name="Currency 7 3" xfId="1274" xr:uid="{9A32415E-325B-4E9B-BB8B-2BA34A6EFC2B}"/>
    <cellStyle name="Currency 8" xfId="1275" xr:uid="{991D6C1F-BC65-403F-859D-AA6A4A33BE17}"/>
    <cellStyle name="Currency 8 2" xfId="1276" xr:uid="{78526ABE-6E10-41BE-A51B-06C646A28CDC}"/>
    <cellStyle name="Currency 9" xfId="1277" xr:uid="{B7EB932E-5D2A-4502-A9EC-7E4985415933}"/>
    <cellStyle name="Currency 9 2" xfId="1278" xr:uid="{04B29BBA-569C-43B6-9B15-23B6E36323C3}"/>
    <cellStyle name="Emphasis 1" xfId="54" xr:uid="{00000000-0005-0000-0000-000006010000}"/>
    <cellStyle name="Emphasis 1 2" xfId="917" xr:uid="{74CCC5F6-5282-4A82-B4C7-6996BEAA31E3}"/>
    <cellStyle name="Emphasis 1 3" xfId="1279" xr:uid="{FAB9CDBF-38DC-4B39-BEA3-4C6946A1EA52}"/>
    <cellStyle name="Emphasis 2" xfId="55" xr:uid="{00000000-0005-0000-0000-000007010000}"/>
    <cellStyle name="Emphasis 2 2" xfId="918" xr:uid="{7DF847CC-DDD8-4E36-B62A-9D6AB0C4F0F3}"/>
    <cellStyle name="Emphasis 2 3" xfId="1280" xr:uid="{216350D6-20C0-4331-87E5-99F54F3A4EE8}"/>
    <cellStyle name="Emphasis 3" xfId="56" xr:uid="{00000000-0005-0000-0000-000008010000}"/>
    <cellStyle name="Emphasis 3 2" xfId="919" xr:uid="{1D85A897-D5F1-4CF0-A272-1A8272AC77B8}"/>
    <cellStyle name="Explanatory Text" xfId="57" builtinId="53" customBuiltin="1"/>
    <cellStyle name="Explanatory Text 2" xfId="177" xr:uid="{00000000-0005-0000-0000-00000A010000}"/>
    <cellStyle name="Explanatory Text 2 2" xfId="1281" xr:uid="{6B223D25-EBF2-48C0-9D0E-7AB8CF431BC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Explanatory Text 9" xfId="922" xr:uid="{D73C82E4-7EB2-44C8-8269-71A823648203}"/>
    <cellStyle name="Good" xfId="58" builtinId="26" customBuiltin="1"/>
    <cellStyle name="Good 2" xfId="178" xr:uid="{00000000-0005-0000-0000-000012010000}"/>
    <cellStyle name="Good 2 2" xfId="1283" xr:uid="{4A8C39FC-9655-4713-BCF7-A2D2E3E47EBE}"/>
    <cellStyle name="Good 2 3" xfId="1284" xr:uid="{0873EB1A-3C28-45F8-94F6-89BF6598174D}"/>
    <cellStyle name="Good 2 4" xfId="1282" xr:uid="{2795725B-B5E4-48E4-B781-9603FE581344}"/>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Good 9" xfId="924" xr:uid="{B9964E3A-2E01-42E4-BFF4-480EDA461974}"/>
    <cellStyle name="Heading 1" xfId="59" builtinId="16" customBuiltin="1"/>
    <cellStyle name="Heading 1 2" xfId="179" xr:uid="{00000000-0005-0000-0000-00001A010000}"/>
    <cellStyle name="Heading 1 2 2" xfId="1286" xr:uid="{80CA7419-8821-4512-9534-636CD0DFD148}"/>
    <cellStyle name="Heading 1 2 3" xfId="1285" xr:uid="{24AC5080-E21D-47DE-A0FE-B0C982CA2A4E}"/>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1 9" xfId="929" xr:uid="{9F610093-5186-443C-8749-A509FA11AA3B}"/>
    <cellStyle name="Heading 2" xfId="60" builtinId="17" customBuiltin="1"/>
    <cellStyle name="Heading 2 2" xfId="180" xr:uid="{00000000-0005-0000-0000-000022010000}"/>
    <cellStyle name="Heading 2 2 2" xfId="1288" xr:uid="{55E8AC3F-397B-4AD3-8D6F-A01C23E89ACB}"/>
    <cellStyle name="Heading 2 2 3" xfId="1287" xr:uid="{77BF7205-C67F-4C68-8797-44E4BE037886}"/>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2 9" xfId="928" xr:uid="{CAD5B6B2-30B5-42C3-9D8E-F695196BD282}"/>
    <cellStyle name="Heading 3" xfId="61" builtinId="18" customBuiltin="1"/>
    <cellStyle name="Heading 3 2" xfId="181" xr:uid="{00000000-0005-0000-0000-00002A010000}"/>
    <cellStyle name="Heading 3 2 2" xfId="1290" xr:uid="{7B3B58F5-89E5-4E55-B3E1-BC9F1B58EE84}"/>
    <cellStyle name="Heading 3 2 3" xfId="1289" xr:uid="{9D1C87DF-4008-419A-A053-3A0B71535B19}"/>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3 9" xfId="927" xr:uid="{D7B7C194-7642-468E-BF05-DD94E5FFFD86}"/>
    <cellStyle name="Heading 4" xfId="62" builtinId="19" customBuiltin="1"/>
    <cellStyle name="Heading 4 2" xfId="182" xr:uid="{00000000-0005-0000-0000-000032010000}"/>
    <cellStyle name="Heading 4 2 2" xfId="1292" xr:uid="{F97BD222-B504-4DBF-A7EB-EE30EB52A590}"/>
    <cellStyle name="Heading 4 2 3" xfId="1291" xr:uid="{51208659-6264-4C45-82E3-CBF262B42127}"/>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Heading 4 9" xfId="926" xr:uid="{3C9A4483-BEDF-4D26-9C6C-EAFDA0191319}"/>
    <cellStyle name="Input" xfId="63" builtinId="20" customBuiltin="1"/>
    <cellStyle name="Input 10" xfId="3315" xr:uid="{E6465447-25A1-4A2C-A61F-A73B5226D70E}"/>
    <cellStyle name="Input 2" xfId="183" xr:uid="{00000000-0005-0000-0000-00003A010000}"/>
    <cellStyle name="Input 2 2" xfId="1294" xr:uid="{8899C54C-7999-4683-9767-B5290C6E019C}"/>
    <cellStyle name="Input 2 2 2" xfId="3227" xr:uid="{BDB2C478-9B34-4C8A-ADFC-B1E5A5D55AC0}"/>
    <cellStyle name="Input 2 2 2 2" xfId="5601" xr:uid="{F48A6FFA-F040-46D5-A69C-958F3E4BCF39}"/>
    <cellStyle name="Input 2 2 3" xfId="3261" xr:uid="{258DE233-A65E-4866-95C8-4B39CE3CE6E0}"/>
    <cellStyle name="Input 2 2 3 2" xfId="5635" xr:uid="{49247DEC-81A0-4AFF-8604-25BA076DF1B1}"/>
    <cellStyle name="Input 2 2 4" xfId="3937" xr:uid="{B7CF7B30-9854-4E9E-B13D-474859DFA9BC}"/>
    <cellStyle name="Input 2 3" xfId="3116" xr:uid="{FD47FBA9-CE1D-41D2-A32C-BE8B9CA5CDEA}"/>
    <cellStyle name="Input 2 3 2" xfId="5490" xr:uid="{AFF8A07A-5A44-43E2-B55E-0EC4FFF02B1E}"/>
    <cellStyle name="Input 2 4" xfId="3247" xr:uid="{A2FF7547-0326-44DF-B804-2B22B6369143}"/>
    <cellStyle name="Input 2 4 2" xfId="5621" xr:uid="{6650B97F-2BA4-40D8-BBA7-66F1BDA05F0E}"/>
    <cellStyle name="Input 2 5" xfId="1293" xr:uid="{4A06307E-D690-4EAE-AFEF-D1040613786B}"/>
    <cellStyle name="Input 2 5 2" xfId="3936" xr:uid="{232E22A7-24CF-40E0-8FA7-31E623DB4513}"/>
    <cellStyle name="Input 2 6" xfId="3368" xr:uid="{EC716131-382A-4935-87AA-A6F25579B005}"/>
    <cellStyle name="Input 3" xfId="229" xr:uid="{00000000-0005-0000-0000-00003B010000}"/>
    <cellStyle name="Input 3 2" xfId="3374" xr:uid="{AE7F97B4-BD48-4809-8314-83793A4FC142}"/>
    <cellStyle name="Input 4" xfId="275" xr:uid="{00000000-0005-0000-0000-00003C010000}"/>
    <cellStyle name="Input 4 2" xfId="3381" xr:uid="{C871E969-AC23-499F-8C50-BC12C872095E}"/>
    <cellStyle name="Input 5" xfId="324" xr:uid="{00000000-0005-0000-0000-00003D010000}"/>
    <cellStyle name="Input 5 2" xfId="3390" xr:uid="{FD3297FA-F033-4D2B-A1B3-5F09BA893EE0}"/>
    <cellStyle name="Input 6" xfId="388" xr:uid="{00000000-0005-0000-0000-00003E010000}"/>
    <cellStyle name="Input 6 2" xfId="3413" xr:uid="{D531B6C6-E5CD-44DE-863D-34B1ED688526}"/>
    <cellStyle name="Input 7" xfId="459" xr:uid="{00000000-0005-0000-0000-00003F010000}"/>
    <cellStyle name="Input 7 2" xfId="3444" xr:uid="{76CDDAD9-3852-4AE9-A575-4C8431ED09DB}"/>
    <cellStyle name="Input 8" xfId="563" xr:uid="{00000000-0005-0000-0000-000040010000}"/>
    <cellStyle name="Input 8 2" xfId="3502" xr:uid="{86D8372E-8718-4AD1-947A-C217E48F9F2B}"/>
    <cellStyle name="Input 9" xfId="988" xr:uid="{7979286E-28E5-4DB1-ABF0-6FC70E9297BC}"/>
    <cellStyle name="Linked Cell" xfId="64" builtinId="24" customBuiltin="1"/>
    <cellStyle name="Linked Cell 2" xfId="184" xr:uid="{00000000-0005-0000-0000-000042010000}"/>
    <cellStyle name="Linked Cell 2 2" xfId="1296" xr:uid="{4BA08E7A-2977-4113-9957-DE06136457C5}"/>
    <cellStyle name="Linked Cell 2 3" xfId="1295" xr:uid="{6A6B1FDA-6976-4637-918B-7F881145FE14}"/>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Linked Cell 9" xfId="943" xr:uid="{383AA543-5FEB-4173-896E-27759E55D80C}"/>
    <cellStyle name="Neutral" xfId="65" builtinId="28" customBuiltin="1"/>
    <cellStyle name="Neutral 2" xfId="185" xr:uid="{00000000-0005-0000-0000-00004A010000}"/>
    <cellStyle name="Neutral 2 2" xfId="1298" xr:uid="{041E7A13-BE7D-4252-B8C7-7D878CF6CF55}"/>
    <cellStyle name="Neutral 2 3" xfId="1297" xr:uid="{0EBF437E-E014-4157-8CF0-AED8B99A2C3E}"/>
    <cellStyle name="Neutral 3" xfId="231" xr:uid="{00000000-0005-0000-0000-00004B010000}"/>
    <cellStyle name="Neutral 3 2" xfId="1299" xr:uid="{1A1E86A7-E928-4DDC-913D-AD9FA5604064}"/>
    <cellStyle name="Neutral 4" xfId="277" xr:uid="{00000000-0005-0000-0000-00004C010000}"/>
    <cellStyle name="Neutral 4 2" xfId="1782" xr:uid="{34CD3D16-B5E8-4A29-97B3-B49F6B1F7736}"/>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2 2" xfId="2230" xr:uid="{896B54DE-50A3-41E4-B4A9-A30A5FB376D4}"/>
    <cellStyle name="Normal 10 2 3" xfId="522" xr:uid="{00000000-0005-0000-0000-000055010000}"/>
    <cellStyle name="Normal 10 2 3 2" xfId="2206" xr:uid="{E09CD5EF-0DF6-4392-9655-B3F949A96223}"/>
    <cellStyle name="Normal 10 2 3 2 2" xfId="4696" xr:uid="{F9B49122-6B4A-49D4-B5A4-7F463CB81620}"/>
    <cellStyle name="Normal 10 3" xfId="521" xr:uid="{00000000-0005-0000-0000-000056010000}"/>
    <cellStyle name="Normal 10 3 2" xfId="2013" xr:uid="{7745E213-0E61-4785-870B-41F75C1D3115}"/>
    <cellStyle name="Normal 10 3 2 2" xfId="2851" xr:uid="{CDBC5013-947E-4494-8351-B2197DDEE8AC}"/>
    <cellStyle name="Normal 10 3 2 2 2" xfId="5286" xr:uid="{75B0DEFB-4516-4D49-BF52-10B777CDC4AD}"/>
    <cellStyle name="Normal 10 3 2 3" xfId="4530" xr:uid="{A9FF4842-AC76-487D-AEEB-3E2BB80AC6A0}"/>
    <cellStyle name="Normal 10 3 3" xfId="2374" xr:uid="{01E57F75-D9F3-4147-879B-2E2814D110F7}"/>
    <cellStyle name="Normal 10 3 3 2" xfId="4809" xr:uid="{5A2D8414-B7CE-4F9F-B3B7-804207C82906}"/>
    <cellStyle name="Normal 10 3 4" xfId="1301" xr:uid="{9A94F352-8BBC-488B-A76F-CF622501CF8A}"/>
    <cellStyle name="Normal 10 3 4 2" xfId="3939" xr:uid="{1CE9DD88-CFFF-40F0-B863-A6DE55819839}"/>
    <cellStyle name="Normal 10 4" xfId="1843" xr:uid="{29780475-1C47-48AC-A136-AFA6477CFBAE}"/>
    <cellStyle name="Normal 10 4 2" xfId="2681" xr:uid="{14409364-0323-41CD-8558-2125D0EA9CD0}"/>
    <cellStyle name="Normal 10 4 2 2" xfId="5116" xr:uid="{1A8352C3-0C3E-4287-B7A7-5F48FD6AC87F}"/>
    <cellStyle name="Normal 10 4 3" xfId="4360" xr:uid="{FB6B6C91-28C9-4C6B-88A8-14D45CFC03B8}"/>
    <cellStyle name="Normal 10 5" xfId="2229" xr:uid="{5AF3DE03-B4A8-43C7-BA7B-F058EF16009E}"/>
    <cellStyle name="Normal 10 5 2" xfId="4706" xr:uid="{D27E4892-E433-44EC-A39D-B830423510E8}"/>
    <cellStyle name="Normal 10 6" xfId="2373" xr:uid="{3A732DCF-C5B0-4F24-8E54-3873CBFF7EB4}"/>
    <cellStyle name="Normal 10 6 2" xfId="4808" xr:uid="{D4BAF86C-2A50-4EA2-B319-30EC2C3ACEA8}"/>
    <cellStyle name="Normal 10 7" xfId="1300" xr:uid="{11FFE916-F797-4BA2-8E61-AD503BC8B58D}"/>
    <cellStyle name="Normal 10 7 2" xfId="3938" xr:uid="{328D4A4B-958B-43B7-AA99-25289E3EC55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2 2 2" xfId="3800" xr:uid="{75D7499F-3A75-4544-B0AF-E8B2B4940C2E}"/>
    <cellStyle name="Normal 11 2 2 2 3" xfId="3591" xr:uid="{B36C3378-A6C2-418A-B69B-D6174FF14175}"/>
    <cellStyle name="Normal 11 2 2 3" xfId="762" xr:uid="{00000000-0005-0000-0000-00005C010000}"/>
    <cellStyle name="Normal 11 2 2 3 2" xfId="3695" xr:uid="{190049E9-F49B-435F-8A56-244C9AC2F64F}"/>
    <cellStyle name="Normal 11 2 2 4" xfId="2232" xr:uid="{B1237019-C641-42A9-AED3-1445FAECAC3F}"/>
    <cellStyle name="Normal 11 2 2 5" xfId="3481" xr:uid="{62D3EC59-F6B7-45CC-A97D-615615C34763}"/>
    <cellStyle name="Normal 11 2 3" xfId="605" xr:uid="{00000000-0005-0000-0000-00005D010000}"/>
    <cellStyle name="Normal 11 2 3 2" xfId="816" xr:uid="{00000000-0005-0000-0000-00005E010000}"/>
    <cellStyle name="Normal 11 2 3 2 2" xfId="3748" xr:uid="{6D1B7CC6-B275-467A-9D82-1D127A9A71BB}"/>
    <cellStyle name="Normal 11 2 3 3" xfId="2207" xr:uid="{BB019278-5D42-465A-A2EC-B9C667EA61E1}"/>
    <cellStyle name="Normal 11 2 3 3 2" xfId="4697" xr:uid="{9DB5D335-934D-43F7-A8A8-A60728AE17AA}"/>
    <cellStyle name="Normal 11 2 3 4" xfId="3539" xr:uid="{96489F8E-EBC9-48C1-A2D8-FF0AA30D0254}"/>
    <cellStyle name="Normal 11 2 4" xfId="710" xr:uid="{00000000-0005-0000-0000-00005F010000}"/>
    <cellStyle name="Normal 11 2 4 2" xfId="3643" xr:uid="{D36F6DEA-B9C9-4EF7-B3F8-5566CB451E6F}"/>
    <cellStyle name="Normal 11 2 5" xfId="1303" xr:uid="{536546D5-378C-4DD6-BE7F-78F86762F9EB}"/>
    <cellStyle name="Normal 11 2 6" xfId="3424" xr:uid="{CC6095AA-B25C-4BA1-A3A5-51BF8CE0736C}"/>
    <cellStyle name="Normal 11 3" xfId="475" xr:uid="{00000000-0005-0000-0000-000060010000}"/>
    <cellStyle name="Normal 11 3 2" xfId="631" xr:uid="{00000000-0005-0000-0000-000061010000}"/>
    <cellStyle name="Normal 11 3 2 2" xfId="842" xr:uid="{00000000-0005-0000-0000-000062010000}"/>
    <cellStyle name="Normal 11 3 2 2 2" xfId="3774" xr:uid="{3603CFDB-733E-41BB-BDE2-715ED9CC2039}"/>
    <cellStyle name="Normal 11 3 2 3" xfId="3565" xr:uid="{39F41154-1EF5-4247-83FA-F05BD4FB1975}"/>
    <cellStyle name="Normal 11 3 3" xfId="736" xr:uid="{00000000-0005-0000-0000-000063010000}"/>
    <cellStyle name="Normal 11 3 3 2" xfId="3669" xr:uid="{1AE8DAED-F6D0-490D-936A-2F2B666330B8}"/>
    <cellStyle name="Normal 11 3 4" xfId="1304" xr:uid="{359B6297-B3DD-403F-BDFF-8288E8BDBB3B}"/>
    <cellStyle name="Normal 11 3 5" xfId="3455" xr:uid="{8429BA1A-DA79-4D6F-8AA8-2240F89C5E99}"/>
    <cellStyle name="Normal 11 4" xfId="579" xr:uid="{00000000-0005-0000-0000-000064010000}"/>
    <cellStyle name="Normal 11 4 2" xfId="790" xr:uid="{00000000-0005-0000-0000-000065010000}"/>
    <cellStyle name="Normal 11 4 2 2" xfId="3722" xr:uid="{DD81BAD9-BC81-40E7-93E0-9A172635B669}"/>
    <cellStyle name="Normal 11 4 3" xfId="2231" xr:uid="{6BC8C81C-09D2-4FAC-BF98-12A324E869A3}"/>
    <cellStyle name="Normal 11 4 4" xfId="3513" xr:uid="{0CFF853E-6BE6-4B76-9370-16FE3EAF31E2}"/>
    <cellStyle name="Normal 11 5" xfId="684" xr:uid="{00000000-0005-0000-0000-000066010000}"/>
    <cellStyle name="Normal 11 5 2" xfId="2198" xr:uid="{C253D32C-3448-4783-ACE3-D463ADA6E348}"/>
    <cellStyle name="Normal 11 5 2 2" xfId="4689" xr:uid="{FBA028B7-207B-420E-AAB0-0A4644A299EE}"/>
    <cellStyle name="Normal 11 5 3" xfId="3617" xr:uid="{4EBC33AF-30E5-4AAD-83AD-3E20A4BF56CE}"/>
    <cellStyle name="Normal 11 6" xfId="1302" xr:uid="{75FD1AD2-165D-4662-9D50-EC185D54BE1E}"/>
    <cellStyle name="Normal 11 7" xfId="3388" xr:uid="{21F32BC0-5C99-47B7-BAFA-581DFE5B4C9A}"/>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2 2 2" xfId="3808" xr:uid="{F7ACE8FD-7B8F-4543-92A1-12499C4C3945}"/>
    <cellStyle name="Normal 12 2 2 2 3" xfId="3599" xr:uid="{BC2DA3EA-783D-4928-8F56-B1BBC87B71F0}"/>
    <cellStyle name="Normal 12 2 2 3" xfId="770" xr:uid="{00000000-0005-0000-0000-00006C010000}"/>
    <cellStyle name="Normal 12 2 2 3 2" xfId="3703" xr:uid="{8FE9E8AC-84B3-4801-B4E7-FCC76E21CB7B}"/>
    <cellStyle name="Normal 12 2 2 4" xfId="2234" xr:uid="{F3DA8E82-5C98-471A-B96F-B58C3C8E1248}"/>
    <cellStyle name="Normal 12 2 2 5" xfId="3489" xr:uid="{7836C0DF-32C4-4576-BBA7-DA10FD9D8725}"/>
    <cellStyle name="Normal 12 2 3" xfId="613" xr:uid="{00000000-0005-0000-0000-00006D010000}"/>
    <cellStyle name="Normal 12 2 3 2" xfId="824" xr:uid="{00000000-0005-0000-0000-00006E010000}"/>
    <cellStyle name="Normal 12 2 3 2 2" xfId="3756" xr:uid="{9360D084-DB5E-461E-A13E-B94846422529}"/>
    <cellStyle name="Normal 12 2 3 3" xfId="2208" xr:uid="{E23C1F4A-746B-4B1A-A788-66B8069A8956}"/>
    <cellStyle name="Normal 12 2 3 3 2" xfId="4698" xr:uid="{6A7EB0F5-A26F-47A8-8159-F35A1AF07441}"/>
    <cellStyle name="Normal 12 2 3 4" xfId="3547" xr:uid="{52397E20-CC62-498A-B6A0-0826383FD46D}"/>
    <cellStyle name="Normal 12 2 4" xfId="718" xr:uid="{00000000-0005-0000-0000-00006F010000}"/>
    <cellStyle name="Normal 12 2 4 2" xfId="3651" xr:uid="{4377522F-EF4E-4F7C-A2DB-C1DE3A3981D7}"/>
    <cellStyle name="Normal 12 2 5" xfId="1306" xr:uid="{1831F7C4-12E4-497E-BF82-A1659D30E57F}"/>
    <cellStyle name="Normal 12 2 6" xfId="3432" xr:uid="{5A5B4FC4-902A-42B2-BE09-986297FC41CB}"/>
    <cellStyle name="Normal 12 3" xfId="483" xr:uid="{00000000-0005-0000-0000-000070010000}"/>
    <cellStyle name="Normal 12 3 2" xfId="639" xr:uid="{00000000-0005-0000-0000-000071010000}"/>
    <cellStyle name="Normal 12 3 2 2" xfId="850" xr:uid="{00000000-0005-0000-0000-000072010000}"/>
    <cellStyle name="Normal 12 3 2 2 2" xfId="3782" xr:uid="{9AB9E4FD-B9EE-4121-97FB-A06DB2CE4D90}"/>
    <cellStyle name="Normal 12 3 2 3" xfId="3573" xr:uid="{052AC7BC-F5F0-41CF-A08F-674687894C4A}"/>
    <cellStyle name="Normal 12 3 3" xfId="744" xr:uid="{00000000-0005-0000-0000-000073010000}"/>
    <cellStyle name="Normal 12 3 3 2" xfId="3677" xr:uid="{039E7C73-ED79-4353-9FA4-D6553ECEE392}"/>
    <cellStyle name="Normal 12 3 4" xfId="2233" xr:uid="{FAB73BD6-5809-47BF-965B-F055B397A81A}"/>
    <cellStyle name="Normal 12 3 5" xfId="3463" xr:uid="{6DFEF45A-C88E-4864-A14C-1707B09394F8}"/>
    <cellStyle name="Normal 12 4" xfId="587" xr:uid="{00000000-0005-0000-0000-000074010000}"/>
    <cellStyle name="Normal 12 4 2" xfId="798" xr:uid="{00000000-0005-0000-0000-000075010000}"/>
    <cellStyle name="Normal 12 4 2 2" xfId="3730" xr:uid="{14B719D6-31CA-4AC0-BE84-98A62209700E}"/>
    <cellStyle name="Normal 12 4 3" xfId="2199" xr:uid="{D9B9E22E-5861-4F8B-BB01-B2659081A43F}"/>
    <cellStyle name="Normal 12 4 3 2" xfId="4690" xr:uid="{79EC065E-A40D-4ADF-BC32-E2A6CA5F3279}"/>
    <cellStyle name="Normal 12 4 4" xfId="3521" xr:uid="{E6DCE664-7B81-4BB0-96D8-E556F808F949}"/>
    <cellStyle name="Normal 12 5" xfId="692" xr:uid="{00000000-0005-0000-0000-000076010000}"/>
    <cellStyle name="Normal 12 5 2" xfId="3625" xr:uid="{042D9BA5-74C5-4D1B-A502-B75DD3DF655C}"/>
    <cellStyle name="Normal 12 6" xfId="1305" xr:uid="{C4A3F2F2-7C80-4D10-83C5-3EFEE42D01C3}"/>
    <cellStyle name="Normal 12 7" xfId="3401" xr:uid="{FD615071-B053-4D27-9D79-AE7C5E91031B}"/>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2 2 2" xfId="3809" xr:uid="{08671A7A-2614-4FE3-815C-6DB86F62AA90}"/>
    <cellStyle name="Normal 13 2 2 2 3" xfId="3600" xr:uid="{6B027815-F29D-4528-9D00-591E6DAB225F}"/>
    <cellStyle name="Normal 13 2 2 3" xfId="771" xr:uid="{00000000-0005-0000-0000-00007C010000}"/>
    <cellStyle name="Normal 13 2 2 3 2" xfId="3704" xr:uid="{480900A6-6E11-42DA-8995-42D40AC80A6F}"/>
    <cellStyle name="Normal 13 2 2 4" xfId="2236" xr:uid="{EBBC7A27-84C2-4C2F-9425-435EFD7E8B81}"/>
    <cellStyle name="Normal 13 2 2 5" xfId="3490" xr:uid="{054363DD-9AEE-4A48-B458-EE27B1AA6F9E}"/>
    <cellStyle name="Normal 13 2 3" xfId="614" xr:uid="{00000000-0005-0000-0000-00007D010000}"/>
    <cellStyle name="Normal 13 2 3 2" xfId="825" xr:uid="{00000000-0005-0000-0000-00007E010000}"/>
    <cellStyle name="Normal 13 2 3 2 2" xfId="3757" xr:uid="{212A62C1-91BC-4C8F-8CEF-B13677232AA8}"/>
    <cellStyle name="Normal 13 2 3 3" xfId="2209" xr:uid="{665B9D62-F24E-472E-A18C-0F64BA4CB6D0}"/>
    <cellStyle name="Normal 13 2 3 3 2" xfId="4699" xr:uid="{897C62F0-1C6D-4C62-A9B3-13F24DDCC9AC}"/>
    <cellStyle name="Normal 13 2 3 4" xfId="3548" xr:uid="{08998FEF-D1F1-4EFC-B200-EC43A4750FF9}"/>
    <cellStyle name="Normal 13 2 4" xfId="719" xr:uid="{00000000-0005-0000-0000-00007F010000}"/>
    <cellStyle name="Normal 13 2 4 2" xfId="3652" xr:uid="{DB90CBEF-23AE-44A5-80FC-B1AB38EF51CC}"/>
    <cellStyle name="Normal 13 2 5" xfId="1308" xr:uid="{A58B22DC-9888-4C88-9ECA-E0DD3B68AA00}"/>
    <cellStyle name="Normal 13 2 6" xfId="3433" xr:uid="{9DAC40AC-023F-4953-B347-53BFE505A5CA}"/>
    <cellStyle name="Normal 13 3" xfId="523" xr:uid="{00000000-0005-0000-0000-000080010000}"/>
    <cellStyle name="Normal 13 3 2" xfId="675" xr:uid="{00000000-0005-0000-0000-000081010000}"/>
    <cellStyle name="Normal 13 3 2 2" xfId="886" xr:uid="{00000000-0005-0000-0000-000082010000}"/>
    <cellStyle name="Normal 13 3 2 2 2" xfId="3818" xr:uid="{B2FBDCB7-5D37-49FC-9253-030316352042}"/>
    <cellStyle name="Normal 13 3 2 3" xfId="3609" xr:uid="{32FABA79-883D-48A7-B2DB-EADDCDFFF30C}"/>
    <cellStyle name="Normal 13 3 3" xfId="780" xr:uid="{00000000-0005-0000-0000-000083010000}"/>
    <cellStyle name="Normal 13 3 3 2" xfId="3713" xr:uid="{563BAFA8-E448-4988-9D77-6A27FBB054E0}"/>
    <cellStyle name="Normal 13 3 4" xfId="2235" xr:uid="{78B253D6-BC88-4CF8-AE7F-5ED6330192B5}"/>
    <cellStyle name="Normal 13 3 5" xfId="3499" xr:uid="{7076499B-C2F0-4E92-B55D-D00981F056EA}"/>
    <cellStyle name="Normal 13 4" xfId="484" xr:uid="{00000000-0005-0000-0000-000084010000}"/>
    <cellStyle name="Normal 13 4 2" xfId="640" xr:uid="{00000000-0005-0000-0000-000085010000}"/>
    <cellStyle name="Normal 13 4 2 2" xfId="851" xr:uid="{00000000-0005-0000-0000-000086010000}"/>
    <cellStyle name="Normal 13 4 2 2 2" xfId="3783" xr:uid="{3556B275-67DF-4571-815F-960EF9202EF7}"/>
    <cellStyle name="Normal 13 4 2 3" xfId="3574" xr:uid="{FAF93325-768C-4590-98BE-0D54BD48D814}"/>
    <cellStyle name="Normal 13 4 3" xfId="745" xr:uid="{00000000-0005-0000-0000-000087010000}"/>
    <cellStyle name="Normal 13 4 3 2" xfId="3678" xr:uid="{1FA6D115-9BE7-4B6D-B70C-18C91A04F987}"/>
    <cellStyle name="Normal 13 4 4" xfId="2200" xr:uid="{7C60ACB3-08A1-406A-AB5C-075E8198CC57}"/>
    <cellStyle name="Normal 13 4 4 2" xfId="4691" xr:uid="{C4DE25F9-CC0F-48A4-A56E-F1C0F7AE58ED}"/>
    <cellStyle name="Normal 13 4 5" xfId="3464" xr:uid="{5FA35FF7-8A6A-45AA-B59F-E5D0B0072134}"/>
    <cellStyle name="Normal 13 5" xfId="588" xr:uid="{00000000-0005-0000-0000-000088010000}"/>
    <cellStyle name="Normal 13 5 2" xfId="799" xr:uid="{00000000-0005-0000-0000-000089010000}"/>
    <cellStyle name="Normal 13 5 2 2" xfId="3731" xr:uid="{8644AD11-210A-42EF-9B5B-AF7F44B73F9C}"/>
    <cellStyle name="Normal 13 5 3" xfId="3522" xr:uid="{D0CC3A7A-A3AA-4FF0-8A96-71FEFD89F890}"/>
    <cellStyle name="Normal 13 6" xfId="693" xr:uid="{00000000-0005-0000-0000-00008A010000}"/>
    <cellStyle name="Normal 13 6 2" xfId="3626" xr:uid="{E61ABA0A-B330-4BFD-9C72-4155C0CEE475}"/>
    <cellStyle name="Normal 13 7" xfId="1307" xr:uid="{0823F6CE-9006-4667-A384-5A18B24F26C4}"/>
    <cellStyle name="Normal 13 8" xfId="3402" xr:uid="{B85AEF03-6F9D-48A1-8D81-D05BD24CDA0A}"/>
    <cellStyle name="Normal 14" xfId="350" xr:uid="{00000000-0005-0000-0000-00008B010000}"/>
    <cellStyle name="Normal 14 2" xfId="525" xr:uid="{00000000-0005-0000-0000-00008C010000}"/>
    <cellStyle name="Normal 14 2 2" xfId="2210" xr:uid="{0DD9191A-8CAB-49F9-B958-B41F80B9B104}"/>
    <cellStyle name="Normal 14 2 2 2" xfId="4700" xr:uid="{4E6C1D54-262F-4CAD-AD8B-BB6BA9031262}"/>
    <cellStyle name="Normal 14 3" xfId="2237" xr:uid="{872AA135-9884-44AC-9755-B1AFEC9A8283}"/>
    <cellStyle name="Normal 14 4" xfId="2201" xr:uid="{98C646ED-8A1A-46A3-89D7-0C10946966BA}"/>
    <cellStyle name="Normal 14 4 2" xfId="4692" xr:uid="{9EEBF99A-AE95-43FF-8905-F23CA47C230E}"/>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2 2 2" xfId="3817" xr:uid="{3C9A48A3-4420-4E39-8186-CE88FEB5476A}"/>
    <cellStyle name="Normal 15 2 2 2 3" xfId="2957" xr:uid="{E0387569-ACE5-4B09-B2B5-568300CC1555}"/>
    <cellStyle name="Normal 15 2 2 2 3 2" xfId="5392" xr:uid="{1949A3F0-89EF-4187-B028-D8F47F50D96D}"/>
    <cellStyle name="Normal 15 2 2 2 4" xfId="3608" xr:uid="{DA1CA481-F66F-4C2A-A293-5822BD6695E2}"/>
    <cellStyle name="Normal 15 2 2 3" xfId="779" xr:uid="{00000000-0005-0000-0000-000092010000}"/>
    <cellStyle name="Normal 15 2 2 3 2" xfId="3712" xr:uid="{BA996C26-CE78-4074-AF13-D7BEFDFA15B7}"/>
    <cellStyle name="Normal 15 2 2 4" xfId="2119" xr:uid="{FACAD500-77C1-497F-AA6B-1548A0E50F44}"/>
    <cellStyle name="Normal 15 2 2 4 2" xfId="4636" xr:uid="{D94930F4-9598-4046-9A56-7EE2FF8ECDB5}"/>
    <cellStyle name="Normal 15 2 2 5" xfId="3498" xr:uid="{E9594448-F445-4851-8753-3707764C88E2}"/>
    <cellStyle name="Normal 15 2 3" xfId="622" xr:uid="{00000000-0005-0000-0000-000093010000}"/>
    <cellStyle name="Normal 15 2 3 2" xfId="833" xr:uid="{00000000-0005-0000-0000-000094010000}"/>
    <cellStyle name="Normal 15 2 3 2 2" xfId="3765" xr:uid="{064CF673-2985-48A7-BC34-045482DD8BF3}"/>
    <cellStyle name="Normal 15 2 3 3" xfId="2376" xr:uid="{F6B08547-CBDB-4E30-84B3-15BCB12EF944}"/>
    <cellStyle name="Normal 15 2 3 3 2" xfId="4811" xr:uid="{F19067C9-4C98-4CD2-B02E-3A6B64ACFB1E}"/>
    <cellStyle name="Normal 15 2 3 4" xfId="3556" xr:uid="{1AC56A3A-ED37-4D3B-B0F7-94AE59ED0465}"/>
    <cellStyle name="Normal 15 2 4" xfId="727" xr:uid="{00000000-0005-0000-0000-000095010000}"/>
    <cellStyle name="Normal 15 2 4 2" xfId="3660" xr:uid="{E4423D4D-DDDC-4D47-A79E-D3834F25B2A8}"/>
    <cellStyle name="Normal 15 2 5" xfId="1310" xr:uid="{B1ACDB92-0B5B-4A74-B56B-82E695355E53}"/>
    <cellStyle name="Normal 15 2 5 2" xfId="3941" xr:uid="{E1A2D4D6-0D73-4B3A-8861-422CBF339342}"/>
    <cellStyle name="Normal 15 2 6" xfId="3441" xr:uid="{8A4A1F97-8D83-4507-B2E6-3E30FE36A56C}"/>
    <cellStyle name="Normal 15 3" xfId="492" xr:uid="{00000000-0005-0000-0000-000096010000}"/>
    <cellStyle name="Normal 15 3 2" xfId="648" xr:uid="{00000000-0005-0000-0000-000097010000}"/>
    <cellStyle name="Normal 15 3 2 2" xfId="859" xr:uid="{00000000-0005-0000-0000-000098010000}"/>
    <cellStyle name="Normal 15 3 2 2 2" xfId="3791" xr:uid="{88DBD3FF-D4F3-4F11-96C9-501CEF9F2ABA}"/>
    <cellStyle name="Normal 15 3 2 3" xfId="2787" xr:uid="{61851684-E9E0-43D1-AE13-D0AAF5A67777}"/>
    <cellStyle name="Normal 15 3 2 3 2" xfId="5222" xr:uid="{904C6574-44D4-4A08-B9E9-AD20F4CCABFF}"/>
    <cellStyle name="Normal 15 3 2 4" xfId="3582" xr:uid="{1124AB39-9A31-42EA-B2DF-C48B5A1499EB}"/>
    <cellStyle name="Normal 15 3 3" xfId="753" xr:uid="{00000000-0005-0000-0000-000099010000}"/>
    <cellStyle name="Normal 15 3 3 2" xfId="3686" xr:uid="{8D6737F4-5D31-45E5-B3B7-2CE4CC66F0DD}"/>
    <cellStyle name="Normal 15 3 4" xfId="1949" xr:uid="{E3E29C29-2977-4ADE-A2BC-351F8CE28D0D}"/>
    <cellStyle name="Normal 15 3 4 2" xfId="4466" xr:uid="{C8B32E0E-ECB0-474E-8417-86F7A927ABAE}"/>
    <cellStyle name="Normal 15 3 5" xfId="3472" xr:uid="{99CBEFD2-53AD-43E8-B61B-949E4A5210BA}"/>
    <cellStyle name="Normal 15 4" xfId="596" xr:uid="{00000000-0005-0000-0000-00009A010000}"/>
    <cellStyle name="Normal 15 4 2" xfId="807" xr:uid="{00000000-0005-0000-0000-00009B010000}"/>
    <cellStyle name="Normal 15 4 2 2" xfId="3739" xr:uid="{CB339ABD-9C13-4FE9-BAD9-FBE1222F67F5}"/>
    <cellStyle name="Normal 15 4 3" xfId="2250" xr:uid="{16D423AB-C584-47A5-8EB6-A13A83539A06}"/>
    <cellStyle name="Normal 15 4 3 2" xfId="4715" xr:uid="{1B418C50-4107-4630-8475-B15F5457E3C5}"/>
    <cellStyle name="Normal 15 4 4" xfId="3530" xr:uid="{FABDA8FA-703B-49F9-8957-3B3C759C2E43}"/>
    <cellStyle name="Normal 15 5" xfId="701" xr:uid="{00000000-0005-0000-0000-00009C010000}"/>
    <cellStyle name="Normal 15 5 2" xfId="2375" xr:uid="{D210574B-B941-466F-AE6F-1D16F5B7C128}"/>
    <cellStyle name="Normal 15 5 2 2" xfId="4810" xr:uid="{548AAD45-A45A-4530-8173-4CAB4B5447E2}"/>
    <cellStyle name="Normal 15 5 3" xfId="3634" xr:uid="{66D21796-EF58-4A27-BF1D-69A85A5F5723}"/>
    <cellStyle name="Normal 15 6" xfId="1309" xr:uid="{9269CDDA-494E-4B6C-B353-2DF34A2C7E51}"/>
    <cellStyle name="Normal 15 6 2" xfId="3940" xr:uid="{16C9D86E-4BE8-40D4-BD4D-EBB0D0399BC4}"/>
    <cellStyle name="Normal 15 7" xfId="3410" xr:uid="{F4616C54-6863-4789-A84D-A09A55AF2CCB}"/>
    <cellStyle name="Normal 16" xfId="353" xr:uid="{00000000-0005-0000-0000-00009D010000}"/>
    <cellStyle name="Normal 16 2" xfId="1312" xr:uid="{DFA8D8BF-5C62-4BD2-86D1-5A3AEBCF9724}"/>
    <cellStyle name="Normal 16 2 2" xfId="2120" xr:uid="{93CCDFDA-44FF-4039-B550-F612A566DAD0}"/>
    <cellStyle name="Normal 16 2 2 2" xfId="2958" xr:uid="{E3E4DBED-988B-4569-9AC9-430BECF5C2D2}"/>
    <cellStyle name="Normal 16 2 2 2 2" xfId="5393" xr:uid="{301BA111-A1FB-4C65-842A-4B19CE0CA061}"/>
    <cellStyle name="Normal 16 2 2 3" xfId="4637" xr:uid="{B83FEF0A-B120-4FD5-8437-59D9FDF443A3}"/>
    <cellStyle name="Normal 16 2 3" xfId="2378" xr:uid="{5F37D00A-41B4-4108-A70B-72EB3368C309}"/>
    <cellStyle name="Normal 16 2 3 2" xfId="4813" xr:uid="{52012FAC-52B7-4EB1-B70A-BD48BDD1D2E8}"/>
    <cellStyle name="Normal 16 2 4" xfId="3943" xr:uid="{1325E1E3-22BC-4586-B686-D0C8E748E1F6}"/>
    <cellStyle name="Normal 16 3" xfId="1950" xr:uid="{4C03A992-2D06-4BBB-83AB-E80333C81C71}"/>
    <cellStyle name="Normal 16 3 2" xfId="2788" xr:uid="{84112764-30AB-4764-A843-B48178873FFF}"/>
    <cellStyle name="Normal 16 3 2 2" xfId="5223" xr:uid="{48914835-A031-47B6-94E2-019989BED433}"/>
    <cellStyle name="Normal 16 3 3" xfId="4467" xr:uid="{92A9540D-7EF8-4281-B719-286311C352D8}"/>
    <cellStyle name="Normal 16 4" xfId="2377" xr:uid="{D44DFBB8-C2DF-4C80-95C7-AA091B75CCA1}"/>
    <cellStyle name="Normal 16 4 2" xfId="4812" xr:uid="{C387E5CA-6381-4973-9B99-2A597AD7F875}"/>
    <cellStyle name="Normal 16 5" xfId="1311" xr:uid="{D79D8932-4180-4FAF-BF13-F3546DA2C8DC}"/>
    <cellStyle name="Normal 16 5 2" xfId="3942" xr:uid="{5F2F03AC-5737-483F-A138-F44999ABEB8B}"/>
    <cellStyle name="Normal 165" xfId="2284" xr:uid="{B8C1ABD9-4EDC-4849-8C1E-1B841AA9516A}"/>
    <cellStyle name="Normal 165 2" xfId="4719" xr:uid="{2134C2C3-4CB6-423A-BFFB-02204DC26EA3}"/>
    <cellStyle name="Normal 168" xfId="2285" xr:uid="{9DB8BC59-033A-4D3A-9793-1A40E8FD21A2}"/>
    <cellStyle name="Normal 168 2" xfId="4720" xr:uid="{534BEE7F-B2C4-4497-A789-98A9EEF4EF2D}"/>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2 2 2" xfId="2959" xr:uid="{9F0A78E4-A6B7-41BC-B452-BBD502102970}"/>
    <cellStyle name="Normal 17 2 2 2 2 2" xfId="5394" xr:uid="{E89BF2BB-2BB7-4BE3-8741-B3545ABA1E75}"/>
    <cellStyle name="Normal 17 2 2 2 3" xfId="3792" xr:uid="{0B247C12-EEF4-40E2-9DA0-4E52B6C7D5D6}"/>
    <cellStyle name="Normal 17 2 2 3" xfId="2121" xr:uid="{33AA9152-B9EF-4F9C-9878-D7635051E323}"/>
    <cellStyle name="Normal 17 2 2 3 2" xfId="4638" xr:uid="{49E5FC20-3E4F-4D2C-BF07-7FBAEDC66B4B}"/>
    <cellStyle name="Normal 17 2 2 4" xfId="3583" xr:uid="{98F663D0-0EDB-4BF2-8992-4C3EE52F2D45}"/>
    <cellStyle name="Normal 17 2 3" xfId="754" xr:uid="{00000000-0005-0000-0000-0000A2010000}"/>
    <cellStyle name="Normal 17 2 3 2" xfId="2380" xr:uid="{69B432DD-A864-45EC-A6B7-D1DFA71D9ADF}"/>
    <cellStyle name="Normal 17 2 3 2 2" xfId="4815" xr:uid="{E92DFAAD-6FB1-4B25-BBD0-E565F09F740B}"/>
    <cellStyle name="Normal 17 2 3 3" xfId="3687" xr:uid="{65E19AF4-7EAD-4AFF-BD09-BCB5F2A84B7D}"/>
    <cellStyle name="Normal 17 2 4" xfId="1314" xr:uid="{D6A1770A-5520-4769-A95B-CF920564037F}"/>
    <cellStyle name="Normal 17 2 4 2" xfId="3945" xr:uid="{B30DF4DD-E61F-4F46-AD4A-701CF3197806}"/>
    <cellStyle name="Normal 17 2 5" xfId="3473" xr:uid="{E689616D-EB36-4967-9328-8C3D5BF58832}"/>
    <cellStyle name="Normal 17 3" xfId="597" xr:uid="{00000000-0005-0000-0000-0000A3010000}"/>
    <cellStyle name="Normal 17 3 2" xfId="808" xr:uid="{00000000-0005-0000-0000-0000A4010000}"/>
    <cellStyle name="Normal 17 3 2 2" xfId="2789" xr:uid="{9C97885F-EC3A-460F-B574-D10D4676B590}"/>
    <cellStyle name="Normal 17 3 2 2 2" xfId="5224" xr:uid="{9213338B-E9D8-402C-8394-91539927DAF2}"/>
    <cellStyle name="Normal 17 3 2 3" xfId="3740" xr:uid="{843409E5-BD94-43AB-94FD-FD70A9CB58BA}"/>
    <cellStyle name="Normal 17 3 3" xfId="1951" xr:uid="{0C529913-0AD0-4082-85CE-C6EC05C7D33D}"/>
    <cellStyle name="Normal 17 3 3 2" xfId="4468" xr:uid="{E5F50EF6-576F-490C-9E52-FCA892E80892}"/>
    <cellStyle name="Normal 17 3 4" xfId="3531" xr:uid="{A2561A19-115F-4A09-A21B-F409147989A5}"/>
    <cellStyle name="Normal 17 3 5" xfId="5687" xr:uid="{B1204995-5088-4FEE-A41B-4AD6B979273B}"/>
    <cellStyle name="Normal 17 4" xfId="702" xr:uid="{00000000-0005-0000-0000-0000A5010000}"/>
    <cellStyle name="Normal 17 4 2" xfId="2379" xr:uid="{9C27CD71-70FB-4874-BE7D-383D249388BC}"/>
    <cellStyle name="Normal 17 4 2 2" xfId="4814" xr:uid="{E2C23106-CB8B-47DE-9F42-BBE8EF6A81CF}"/>
    <cellStyle name="Normal 17 4 3" xfId="3635" xr:uid="{F6BB82E0-06CD-4AF4-B85F-24ABEC3DD4E4}"/>
    <cellStyle name="Normal 17 5" xfId="1313" xr:uid="{2A8E8EB0-E351-41B4-B3ED-A9DE8ED5AFA5}"/>
    <cellStyle name="Normal 17 5 2" xfId="3944" xr:uid="{4492F707-6149-495F-8FC5-1CC1B98899F0}"/>
    <cellStyle name="Normal 17 6" xfId="3411" xr:uid="{AE8665FB-3ECC-452F-99C0-925F19291047}"/>
    <cellStyle name="Normal 18" xfId="424" xr:uid="{00000000-0005-0000-0000-0000A6010000}"/>
    <cellStyle name="Normal 18 2" xfId="1316" xr:uid="{4E4E855A-839A-40B7-83B5-F79856333CF8}"/>
    <cellStyle name="Normal 18 2 2" xfId="2122" xr:uid="{2AB32E39-A36A-4158-BD78-8BEC7CC3BB52}"/>
    <cellStyle name="Normal 18 2 2 2" xfId="2960" xr:uid="{15FF26EA-A3EA-4A5E-A814-55B796E72485}"/>
    <cellStyle name="Normal 18 2 2 2 2" xfId="5395" xr:uid="{62EB448F-7669-43C7-B848-B14FF15C6D83}"/>
    <cellStyle name="Normal 18 2 2 3" xfId="4639" xr:uid="{DB8D48F2-F732-4A51-94C2-E4257405C49B}"/>
    <cellStyle name="Normal 18 2 3" xfId="2382" xr:uid="{D74C2703-BCB4-424E-BFD4-4FFEED7732C1}"/>
    <cellStyle name="Normal 18 2 3 2" xfId="4817" xr:uid="{8CDE6BB5-FAAA-4826-917C-A9FB6F2F484B}"/>
    <cellStyle name="Normal 18 2 4" xfId="3947" xr:uid="{3865105E-4B9F-442A-BFEA-CC768221EC36}"/>
    <cellStyle name="Normal 18 3" xfId="1952" xr:uid="{6DDD70DF-9106-4F18-A395-3CDB68AAFC87}"/>
    <cellStyle name="Normal 18 3 2" xfId="2790" xr:uid="{1E990523-948E-4826-A0B1-8C611AB2E1FA}"/>
    <cellStyle name="Normal 18 3 2 2" xfId="5225" xr:uid="{19F911FF-7B1E-4206-9923-501D2DC3D2BD}"/>
    <cellStyle name="Normal 18 3 3" xfId="4469" xr:uid="{71EE2AB4-D8B7-4AA9-8303-3C951411F098}"/>
    <cellStyle name="Normal 18 4" xfId="2381" xr:uid="{2968BD70-1B29-40B6-8420-4CEDE7353D2B}"/>
    <cellStyle name="Normal 18 4 2" xfId="4816" xr:uid="{90B915B3-376C-481E-9934-822AE79BB255}"/>
    <cellStyle name="Normal 18 5" xfId="1315" xr:uid="{D3D87B67-D586-4984-96D1-48DD869CFCA4}"/>
    <cellStyle name="Normal 18 5 2" xfId="3946" xr:uid="{60E91AA6-D683-499E-A395-9A733B36681F}"/>
    <cellStyle name="Normal 19" xfId="519" xr:uid="{00000000-0005-0000-0000-0000A7010000}"/>
    <cellStyle name="Normal 19 2" xfId="1318" xr:uid="{381D507A-19EF-4A23-B78E-9433E68C2593}"/>
    <cellStyle name="Normal 19 2 2" xfId="2123" xr:uid="{FFECB7BB-8345-4B40-A374-AB42B8027EC4}"/>
    <cellStyle name="Normal 19 2 2 2" xfId="2961" xr:uid="{9A23A2E2-EA8C-47F8-A588-BE9DA63B851B}"/>
    <cellStyle name="Normal 19 2 2 2 2" xfId="5396" xr:uid="{B91DC0D4-B0F5-4A71-8EE2-7375C2FE2063}"/>
    <cellStyle name="Normal 19 2 2 3" xfId="4640" xr:uid="{2EF54178-05F6-42D5-B318-B46E8CD9966C}"/>
    <cellStyle name="Normal 19 2 3" xfId="2384" xr:uid="{CD542455-9614-4416-9C89-CC59F53D741A}"/>
    <cellStyle name="Normal 19 2 3 2" xfId="4819" xr:uid="{6B4E1648-CC67-40FE-A7F6-6A0126F1B637}"/>
    <cellStyle name="Normal 19 2 4" xfId="3949" xr:uid="{54E37618-FFC8-4D3D-A672-C9ADA5244711}"/>
    <cellStyle name="Normal 19 3" xfId="1953" xr:uid="{BA1D3E27-1356-44FA-AC9F-02773BD89958}"/>
    <cellStyle name="Normal 19 3 2" xfId="2791" xr:uid="{31CC1185-EAB4-4382-BD43-BC7F204D14B4}"/>
    <cellStyle name="Normal 19 3 2 2" xfId="5226" xr:uid="{83F6BB47-C23D-4A89-9AE1-53AB9DAF5D41}"/>
    <cellStyle name="Normal 19 3 3" xfId="4470" xr:uid="{1D98A2D9-011B-4A14-968E-8C4BB40F2797}"/>
    <cellStyle name="Normal 19 4" xfId="2383" xr:uid="{6A27CE8B-B996-4E34-AFCC-FB006C92EFC9}"/>
    <cellStyle name="Normal 19 4 2" xfId="4818" xr:uid="{5963CBD8-A5E6-4F0A-9CF2-88D23B3A16BC}"/>
    <cellStyle name="Normal 19 5" xfId="1317" xr:uid="{227A798D-C2BB-45E1-A183-962A3DAA4356}"/>
    <cellStyle name="Normal 19 5 2" xfId="3948" xr:uid="{DFA1CC99-7CAF-48D8-A55A-9A33064157AF}"/>
    <cellStyle name="Normal 2" xfId="66" xr:uid="{00000000-0005-0000-0000-0000A8010000}"/>
    <cellStyle name="Normal 2 10" xfId="1319" xr:uid="{D7D68F55-FC51-430F-A580-C3BB851B020A}"/>
    <cellStyle name="Normal 2 10 10 2" xfId="1320" xr:uid="{CAA4247B-2796-4BC2-BEBD-71D4D484C625}"/>
    <cellStyle name="Normal 2 11" xfId="1321" xr:uid="{9B9B63FE-993B-46FD-A281-450E73FF9B22}"/>
    <cellStyle name="Normal 2 11 2" xfId="1322" xr:uid="{21A96976-0428-4133-BA8F-127400EC8AEB}"/>
    <cellStyle name="Normal 2 11 2 2" xfId="2014" xr:uid="{7DD836DA-F140-4191-8FD1-9187B091B746}"/>
    <cellStyle name="Normal 2 11 2 2 2" xfId="2852" xr:uid="{1914154A-C586-4879-AEC8-05438BD915D8}"/>
    <cellStyle name="Normal 2 11 2 2 2 2" xfId="5287" xr:uid="{43ED6F18-F275-4B46-BEC5-76715AB7894B}"/>
    <cellStyle name="Normal 2 11 2 2 3" xfId="4531" xr:uid="{40B6A095-6515-4E5F-8AED-5AD04080B85E}"/>
    <cellStyle name="Normal 2 11 2 3" xfId="2386" xr:uid="{66ACB7DF-CF30-4668-88BF-408516A9A742}"/>
    <cellStyle name="Normal 2 11 2 3 2" xfId="4821" xr:uid="{A99BD8FD-E760-416E-9CD7-A66F6E8F7FAA}"/>
    <cellStyle name="Normal 2 11 2 4" xfId="3951" xr:uid="{0E567452-956A-4904-AFF8-550956D8BA52}"/>
    <cellStyle name="Normal 2 11 3" xfId="1844" xr:uid="{783999FE-24AD-42C4-9760-46E8091D4CD2}"/>
    <cellStyle name="Normal 2 11 3 2" xfId="2682" xr:uid="{9E8F8C7D-DE58-4371-AB40-92ABC3D5F7E4}"/>
    <cellStyle name="Normal 2 11 3 2 2" xfId="5117" xr:uid="{C52970B8-6F52-4CD1-86F4-F0DC5B0A2ACA}"/>
    <cellStyle name="Normal 2 11 3 3" xfId="4361" xr:uid="{106F619A-3B1B-4CD8-A917-CEBA823ACC97}"/>
    <cellStyle name="Normal 2 11 4" xfId="2385" xr:uid="{A7EAE794-DD64-4738-BA0D-3AEA1FAA70F9}"/>
    <cellStyle name="Normal 2 11 4 2" xfId="4820" xr:uid="{EFC0544F-EA8E-45E9-B391-74BEBDD6948A}"/>
    <cellStyle name="Normal 2 11 5" xfId="3950" xr:uid="{8992F2A1-5AF2-4A44-AC30-A41621146585}"/>
    <cellStyle name="Normal 2 2" xfId="520" xr:uid="{00000000-0005-0000-0000-0000A9010000}"/>
    <cellStyle name="Normal 2 2 2" xfId="1324" xr:uid="{440E61A6-D114-4498-8A62-FE4743CBC8CC}"/>
    <cellStyle name="Normal 2 2 2 2" xfId="1325" xr:uid="{8E056E6E-D4E3-4CBC-9272-2E3638B23D98}"/>
    <cellStyle name="Normal 2 2 2 2 2" xfId="1326" xr:uid="{69770E35-0877-49B9-81D8-2A032C2E79F8}"/>
    <cellStyle name="Normal 2 2 2 3" xfId="1327" xr:uid="{E51CD154-6EA8-4068-BA14-9F71DF347268}"/>
    <cellStyle name="Normal 2 2 2 4" xfId="1328" xr:uid="{DD1D02F3-CE0E-4B20-B3AE-563F45FFE7BF}"/>
    <cellStyle name="Normal 2 2 3" xfId="1329" xr:uid="{FC0B84B6-4649-46FC-85E3-C5F88C587510}"/>
    <cellStyle name="Normal 2 2 3 2" xfId="1330" xr:uid="{82ADC68B-C7AC-41C0-B429-D13DD9B8F563}"/>
    <cellStyle name="Normal 2 2 4" xfId="1331" xr:uid="{328300A0-5858-4DC5-B96F-958B287F1411}"/>
    <cellStyle name="Normal 2 2 5" xfId="1332" xr:uid="{42817161-C1BC-4B90-8F30-FAE9A81E16B9}"/>
    <cellStyle name="Normal 2 2 6" xfId="1323" xr:uid="{854D27E5-8DF0-418E-A52C-84028AF27982}"/>
    <cellStyle name="Normal 2 2_Incentive Updates" xfId="1333" xr:uid="{D7F518FA-12C8-44A8-A0E3-95BDAB53B643}"/>
    <cellStyle name="Normal 2 3" xfId="1334" xr:uid="{7571AE75-88E3-45DC-9CB3-5D72C835B3FF}"/>
    <cellStyle name="Normal 2 3 2" xfId="1335" xr:uid="{460C43DB-14EB-4636-9CF7-B7CDD97613A2}"/>
    <cellStyle name="Normal 2 4" xfId="1336" xr:uid="{3FBC9465-6E81-437F-907C-C44600243516}"/>
    <cellStyle name="Normal 2 4 2" xfId="1337" xr:uid="{FC69AB2D-2BFC-426B-9C87-BE5D4C8EDE56}"/>
    <cellStyle name="Normal 2 4 2 2" xfId="1338" xr:uid="{0072D93B-8B64-401C-9042-1127612E5758}"/>
    <cellStyle name="Normal 2 4 2 3" xfId="1339" xr:uid="{6DA3253F-651A-4AEF-9F3A-B004103C0ADD}"/>
    <cellStyle name="Normal 2 4 3" xfId="1340" xr:uid="{AC6B05D2-7196-404C-B643-1D3842063C9F}"/>
    <cellStyle name="Normal 2 5" xfId="1341" xr:uid="{54483A6D-6E48-422A-82BA-DD43A805E484}"/>
    <cellStyle name="Normal 2 6" xfId="1342" xr:uid="{B75F88DA-7D73-40CB-931B-3F82F4A295C8}"/>
    <cellStyle name="Normal 2 6 2" xfId="1343" xr:uid="{F22FFACB-72AA-476A-A68C-1FBFCFA15FCE}"/>
    <cellStyle name="Normal 2 7" xfId="1344" xr:uid="{F601867D-D49F-4AF5-BBED-2FBFC122E281}"/>
    <cellStyle name="Normal 2 7 2" xfId="1345" xr:uid="{CDF51051-7ED9-4527-A22E-0218C78A7C2E}"/>
    <cellStyle name="Normal 2 8" xfId="1346" xr:uid="{44212F5D-36BF-4DBC-AC3D-6F9196A9064F}"/>
    <cellStyle name="Normal 2 8 2" xfId="1347" xr:uid="{73CE16AF-8A7E-48D9-96C7-8C8DDE94F756}"/>
    <cellStyle name="Normal 2 9" xfId="1348" xr:uid="{6187A4AB-9843-4B4D-9CF4-041BFEC6CC28}"/>
    <cellStyle name="Normal 2_Incentive Updates" xfId="1349" xr:uid="{DF0D565E-D57C-412A-9FC4-D85F77571D78}"/>
    <cellStyle name="Normal 20" xfId="423" xr:uid="{00000000-0005-0000-0000-0000AA010000}"/>
    <cellStyle name="Normal 20 2" xfId="623" xr:uid="{00000000-0005-0000-0000-0000AB010000}"/>
    <cellStyle name="Normal 20 2 2" xfId="834" xr:uid="{00000000-0005-0000-0000-0000AC010000}"/>
    <cellStyle name="Normal 20 2 2 2" xfId="2962" xr:uid="{028CA2B7-A0E8-470B-BCEC-462FEE0979BB}"/>
    <cellStyle name="Normal 20 2 2 2 2" xfId="5397" xr:uid="{3DC3652D-B002-4353-BA6D-A2399D8FDE87}"/>
    <cellStyle name="Normal 20 2 2 3" xfId="2124" xr:uid="{169EB7EC-60EA-4449-8AAA-2BBA501DFD3C}"/>
    <cellStyle name="Normal 20 2 2 3 2" xfId="4641" xr:uid="{24AD87CB-CA1C-4127-BF94-7EEE0EB31DB0}"/>
    <cellStyle name="Normal 20 2 2 4" xfId="3766" xr:uid="{66E25F9E-5BEE-4F15-9528-5C77E952B8CE}"/>
    <cellStyle name="Normal 20 2 3" xfId="2388" xr:uid="{BB414916-797E-4DA0-B6E5-C48AF6F117D0}"/>
    <cellStyle name="Normal 20 2 3 2" xfId="4823" xr:uid="{2C04255B-0D5D-468A-8E96-064841BBB988}"/>
    <cellStyle name="Normal 20 2 4" xfId="1351" xr:uid="{38BAB4FA-DBFB-4A24-AC7F-71CFFD4EB269}"/>
    <cellStyle name="Normal 20 2 4 2" xfId="3953" xr:uid="{A59EE2CE-B76B-4452-BF23-7BD22CDAE0DC}"/>
    <cellStyle name="Normal 20 2 5" xfId="3557" xr:uid="{C10EAF16-4439-4F1E-A07D-176A43248214}"/>
    <cellStyle name="Normal 20 3" xfId="728" xr:uid="{00000000-0005-0000-0000-0000AD010000}"/>
    <cellStyle name="Normal 20 3 2" xfId="2792" xr:uid="{2289E143-5F1A-4D0E-9750-2160A421F150}"/>
    <cellStyle name="Normal 20 3 2 2" xfId="5227" xr:uid="{622881A6-6084-47E5-ADAF-8E2A8A089ED7}"/>
    <cellStyle name="Normal 20 3 3" xfId="1954" xr:uid="{72E24B07-FEC6-44DF-B30C-C6B1BF7B9765}"/>
    <cellStyle name="Normal 20 3 3 2" xfId="4471" xr:uid="{AA833831-B161-4D11-9B3C-E4953D11C5C2}"/>
    <cellStyle name="Normal 20 3 4" xfId="3661" xr:uid="{57286AE5-4C27-4B56-AF7C-94FA56B78C12}"/>
    <cellStyle name="Normal 20 4" xfId="2387" xr:uid="{D696C344-F064-451F-854E-ADBEC68ED8D4}"/>
    <cellStyle name="Normal 20 4 2" xfId="4822" xr:uid="{6B67119D-22CA-456B-B4B0-00FE7F75F049}"/>
    <cellStyle name="Normal 20 5" xfId="1350" xr:uid="{80F78A6F-7B63-4875-ABA9-ABF5ABAFA689}"/>
    <cellStyle name="Normal 20 5 2" xfId="3952" xr:uid="{065DBBD5-52F9-47E2-9CF3-956D7D0B107A}"/>
    <cellStyle name="Normal 20 6" xfId="3442" xr:uid="{4D0618BF-5EFA-4225-89B1-BD0372D48FDF}"/>
    <cellStyle name="Normal 206" xfId="3042" xr:uid="{53B73A54-29E0-42DD-9F71-0FA14AE14D91}"/>
    <cellStyle name="Normal 21" xfId="528" xr:uid="{00000000-0005-0000-0000-0000AE010000}"/>
    <cellStyle name="Normal 21 2" xfId="782" xr:uid="{00000000-0005-0000-0000-0000AF010000}"/>
    <cellStyle name="Normal 21 2 2" xfId="2125" xr:uid="{9DEEC1D2-5936-4006-AF1F-686B5651DD4F}"/>
    <cellStyle name="Normal 21 2 2 2" xfId="2963" xr:uid="{358C2762-F0D1-45DF-B49E-717DCEEFAEEC}"/>
    <cellStyle name="Normal 21 2 2 2 2" xfId="5398" xr:uid="{C2D4B118-C01F-4CEC-B9D7-26C04167F36D}"/>
    <cellStyle name="Normal 21 2 2 3" xfId="4642" xr:uid="{432C66DD-4C07-4DA9-8622-B122701246FE}"/>
    <cellStyle name="Normal 21 2 3" xfId="2390" xr:uid="{91CE1401-BE1F-45BF-A152-56FA5AFA48C7}"/>
    <cellStyle name="Normal 21 2 3 2" xfId="4825" xr:uid="{D413519D-DFA1-49B1-889C-8524820492A3}"/>
    <cellStyle name="Normal 21 2 4" xfId="1353" xr:uid="{7DD5D63B-E42A-45A2-8B1F-BFD010A2AFCD}"/>
    <cellStyle name="Normal 21 2 4 2" xfId="3955" xr:uid="{85AA1B57-890C-45CA-9278-CFA9236E8CED}"/>
    <cellStyle name="Normal 21 3" xfId="1955" xr:uid="{600D905C-D79A-48BF-97C0-7952719E8ECF}"/>
    <cellStyle name="Normal 21 3 2" xfId="2793" xr:uid="{64CB2E86-D41C-4B35-93AE-3ABD982EEEFE}"/>
    <cellStyle name="Normal 21 3 2 2" xfId="5228" xr:uid="{F2845472-DEAD-4F30-9D7D-5BD71B1A8D65}"/>
    <cellStyle name="Normal 21 3 3" xfId="4472" xr:uid="{9DBFDA4B-667A-4D05-9B5A-7850B69D7BC7}"/>
    <cellStyle name="Normal 21 4" xfId="2389" xr:uid="{1A457300-7421-4804-8D1C-D2C75AD26C19}"/>
    <cellStyle name="Normal 21 4 2" xfId="4824" xr:uid="{DF6C1792-2487-4802-AC84-020612F0C991}"/>
    <cellStyle name="Normal 21 5" xfId="1352" xr:uid="{C4E9EFBD-D3E7-4156-986A-830FD7DEB25D}"/>
    <cellStyle name="Normal 21 5 2" xfId="3954" xr:uid="{929CDAFB-7288-4D86-8E48-C31D084C434A}"/>
    <cellStyle name="Normal 22" xfId="676" xr:uid="{00000000-0005-0000-0000-0000B0010000}"/>
    <cellStyle name="Normal 22 2" xfId="887" xr:uid="{00000000-0005-0000-0000-0000B1010000}"/>
    <cellStyle name="Normal 22 2 2" xfId="2126" xr:uid="{94C050F5-A7B2-4C5E-86F8-E082A86A7FF2}"/>
    <cellStyle name="Normal 22 2 2 2" xfId="2964" xr:uid="{366B61FB-10FC-4B99-A0A9-E268DEB3DFD9}"/>
    <cellStyle name="Normal 22 2 2 2 2" xfId="5399" xr:uid="{E7A329D6-691C-4343-A9B2-286D6787B43C}"/>
    <cellStyle name="Normal 22 2 2 3" xfId="4643" xr:uid="{251CA35B-8CF2-4023-A071-601F50829A79}"/>
    <cellStyle name="Normal 22 2 3" xfId="2392" xr:uid="{E83A219D-4400-493C-8A05-E344A27580D9}"/>
    <cellStyle name="Normal 22 2 3 2" xfId="4827" xr:uid="{9D8743E9-12F0-4087-9382-923E72E329F8}"/>
    <cellStyle name="Normal 22 2 4" xfId="1355" xr:uid="{CAE9DF9A-0F53-4FD4-87E4-9FEBF4FCC933}"/>
    <cellStyle name="Normal 22 2 4 2" xfId="3957" xr:uid="{015B48EE-0DD1-4E4E-9D2F-B54BB0C62D82}"/>
    <cellStyle name="Normal 22 3" xfId="1956" xr:uid="{0A17F3A3-886B-42F6-A667-28C933F3176F}"/>
    <cellStyle name="Normal 22 3 2" xfId="2794" xr:uid="{A042C05D-6080-40D8-8BDB-AA3C083E144C}"/>
    <cellStyle name="Normal 22 3 2 2" xfId="5229" xr:uid="{9A48BDCC-470D-4B03-8493-3E58673D38BC}"/>
    <cellStyle name="Normal 22 3 3" xfId="4473" xr:uid="{B54FC859-A40E-47E7-BBED-5379690DB0DF}"/>
    <cellStyle name="Normal 22 4" xfId="2391" xr:uid="{8172BACF-4EBF-49DD-96A1-E3EF1FCD0A27}"/>
    <cellStyle name="Normal 22 4 2" xfId="4826" xr:uid="{298D82FD-E34C-4399-875C-086DB8786173}"/>
    <cellStyle name="Normal 22 5" xfId="1354" xr:uid="{7A2D3203-3B34-4E82-B9B3-C79CBECC613C}"/>
    <cellStyle name="Normal 22 5 2" xfId="3956" xr:uid="{524D7972-82A3-4DA5-96A6-5376C9C58D5C}"/>
    <cellStyle name="Normal 23" xfId="527" xr:uid="{00000000-0005-0000-0000-0000B2010000}"/>
    <cellStyle name="Normal 23 2" xfId="781" xr:uid="{00000000-0005-0000-0000-0000B3010000}"/>
    <cellStyle name="Normal 23 2 2" xfId="2127" xr:uid="{CE90156C-2C95-473B-A346-CEA87CF8F849}"/>
    <cellStyle name="Normal 23 2 2 2" xfId="2965" xr:uid="{BD159E88-6725-4195-B34A-8689FF04DB23}"/>
    <cellStyle name="Normal 23 2 2 2 2" xfId="5400" xr:uid="{AB5EF205-8DA9-45E1-8163-7F04988F3972}"/>
    <cellStyle name="Normal 23 2 2 3" xfId="4644" xr:uid="{43EFF616-7460-4FB4-9DD9-D5325474BE3E}"/>
    <cellStyle name="Normal 23 2 3" xfId="2394" xr:uid="{05B91AC1-61A5-4480-8FF3-DA4F87F269A4}"/>
    <cellStyle name="Normal 23 2 3 2" xfId="4829" xr:uid="{126CD790-CCA4-4B31-9D5C-CFBE05800D10}"/>
    <cellStyle name="Normal 23 2 4" xfId="1357" xr:uid="{9C686519-B3CD-43C4-9470-B4BE992CA98E}"/>
    <cellStyle name="Normal 23 2 4 2" xfId="3959" xr:uid="{E6647A56-A34A-4376-8141-73DBCA9B1101}"/>
    <cellStyle name="Normal 23 2 5" xfId="3714" xr:uid="{F3F96F2E-758B-4C79-B5F0-3081F1A8115E}"/>
    <cellStyle name="Normal 23 3" xfId="1957" xr:uid="{3EAB5E34-AC6D-4489-9CC0-584BBC157D23}"/>
    <cellStyle name="Normal 23 3 2" xfId="2795" xr:uid="{25292699-2F30-4E41-9A4B-AF7181E133EF}"/>
    <cellStyle name="Normal 23 3 2 2" xfId="5230" xr:uid="{ADE08D11-4937-4733-92A3-2A7760221EB7}"/>
    <cellStyle name="Normal 23 3 3" xfId="4474" xr:uid="{93A61AAC-24B5-4832-9F53-A9ED99038B0D}"/>
    <cellStyle name="Normal 23 4" xfId="2393" xr:uid="{CE0FBA6F-460C-4DA9-8588-806D4FDDF239}"/>
    <cellStyle name="Normal 23 4 2" xfId="4828" xr:uid="{FC892AF1-CB9F-43E2-A1A6-CC475625E231}"/>
    <cellStyle name="Normal 23 5" xfId="1356" xr:uid="{F9F1A23E-B674-4C89-A948-C50929D25E12}"/>
    <cellStyle name="Normal 23 5 2" xfId="3958" xr:uid="{839AD1A7-AE2F-42AD-9309-CAD1D673DF00}"/>
    <cellStyle name="Normal 23 6" xfId="3500" xr:uid="{8BBC8004-E123-43CA-BC29-BA8E9666221C}"/>
    <cellStyle name="Normal 24" xfId="888" xr:uid="{9C89C772-0D88-4EE7-B0FE-2578499CD212}"/>
    <cellStyle name="Normal 24 2" xfId="1359" xr:uid="{B0B9420A-D2BC-45A7-B9BB-5B3C47B1B2EC}"/>
    <cellStyle name="Normal 24 2 2" xfId="2128" xr:uid="{8786A9EC-945B-497F-9077-096EC9C8B23F}"/>
    <cellStyle name="Normal 24 2 2 2" xfId="2966" xr:uid="{18AD1764-F88B-4C64-BBFA-68DF585504C4}"/>
    <cellStyle name="Normal 24 2 2 2 2" xfId="5401" xr:uid="{C1EF9FE8-AF48-4956-9962-0B6F066F1BBC}"/>
    <cellStyle name="Normal 24 2 2 3" xfId="4645" xr:uid="{7B0F988D-EFBF-43F7-94CA-CD8A9BBDF8B8}"/>
    <cellStyle name="Normal 24 2 3" xfId="2396" xr:uid="{06B09A4F-BE22-49C8-9E00-950EAD5A6EB3}"/>
    <cellStyle name="Normal 24 2 3 2" xfId="4831" xr:uid="{FD97315B-DEB8-41FF-A8A9-9BAC74C7B44D}"/>
    <cellStyle name="Normal 24 2 4" xfId="3961" xr:uid="{83E4D351-34FD-4B93-BBB9-65D051438488}"/>
    <cellStyle name="Normal 24 3" xfId="1958" xr:uid="{5A078C6E-8CBC-420B-A4D5-B1BC2731A8C7}"/>
    <cellStyle name="Normal 24 3 2" xfId="2796" xr:uid="{29B42199-9B35-475C-826C-37C07583E2ED}"/>
    <cellStyle name="Normal 24 3 2 2" xfId="5231" xr:uid="{B205D298-8ACD-4CC1-BB6D-8EBFC9264B82}"/>
    <cellStyle name="Normal 24 3 3" xfId="4475" xr:uid="{86670CF5-BDF9-470A-9821-2D14E08F0CFE}"/>
    <cellStyle name="Normal 24 4" xfId="2395" xr:uid="{C1F5721B-0063-4118-8D42-FFDE4016C75E}"/>
    <cellStyle name="Normal 24 4 2" xfId="4830" xr:uid="{339AC804-8004-40B0-8D61-1671570175BF}"/>
    <cellStyle name="Normal 24 5" xfId="1358" xr:uid="{6610B6C5-9C18-4469-8A25-748B600F0E4A}"/>
    <cellStyle name="Normal 24 5 2" xfId="3960" xr:uid="{5E7D1F7C-9D4C-464B-B980-B4D4AA8142D3}"/>
    <cellStyle name="Normal 24 6" xfId="3819" xr:uid="{5964A967-47C5-4B65-B6F4-C23999056BC9}"/>
    <cellStyle name="Normal 25" xfId="892" xr:uid="{68006706-7F3A-4028-8E01-529886742ED7}"/>
    <cellStyle name="Normal 25 2" xfId="2967" xr:uid="{F82BFECA-AD3A-472B-925A-977DFB79C09B}"/>
    <cellStyle name="Normal 25 2 2" xfId="5402" xr:uid="{C9F53040-DB38-496B-BC14-DBDF5E0F4967}"/>
    <cellStyle name="Normal 25 3" xfId="3823" xr:uid="{2AB35E4E-E4B9-48A6-8AE7-B47E144414BB}"/>
    <cellStyle name="Normal 26" xfId="2129" xr:uid="{1C43A721-B051-4254-9E3D-D6AF18C32F81}"/>
    <cellStyle name="Normal 26 2" xfId="4646" xr:uid="{433911DF-0B34-46F9-8F71-7D92F0D55C3A}"/>
    <cellStyle name="Normal 27" xfId="2172" xr:uid="{36520028-2908-4756-BB66-0C08F2B9715E}"/>
    <cellStyle name="Normal 27 2" xfId="4673" xr:uid="{75A589F4-23B6-4A97-AAB9-BC542D03198B}"/>
    <cellStyle name="Normal 28" xfId="2143" xr:uid="{0966DCF3-83EC-4692-9616-FECEED1FC19D}"/>
    <cellStyle name="Normal 28 2" xfId="2269" xr:uid="{85436D53-DF83-4D9D-9232-9F47D4D8C51E}"/>
    <cellStyle name="Normal 28 2 2" xfId="4717" xr:uid="{968DF470-00E3-4225-A6BD-F3DCF717A1D6}"/>
    <cellStyle name="Normal 28 3" xfId="2981" xr:uid="{EB3B4E19-3EDC-4A54-9C43-3A726FCD7092}"/>
    <cellStyle name="Normal 29" xfId="2152" xr:uid="{A012791C-C781-4D42-9A1D-7431DF51D819}"/>
    <cellStyle name="Normal 29 2" xfId="2990" xr:uid="{5BF2F6E7-272B-4FBB-A748-5A7414CCE214}"/>
    <cellStyle name="Normal 3" xfId="146" xr:uid="{00000000-0005-0000-0000-0000B4010000}"/>
    <cellStyle name="Normal 3 2" xfId="192" xr:uid="{00000000-0005-0000-0000-0000B5010000}"/>
    <cellStyle name="Normal 3 2 2" xfId="1362" xr:uid="{E95BF138-EC8B-4126-BAA7-BAE315DE79F1}"/>
    <cellStyle name="Normal 3 2 3" xfId="1361" xr:uid="{E450A9F4-BF8A-471E-9C0C-2A21DA9EB966}"/>
    <cellStyle name="Normal 3 3" xfId="1363" xr:uid="{DE21BD80-D77D-4A5D-9E1B-FF501AD6D10D}"/>
    <cellStyle name="Normal 3 3 10" xfId="2398" xr:uid="{EE8A4F57-DAFC-4A5B-B2AB-B8BFA324BC1D}"/>
    <cellStyle name="Normal 3 3 10 2" xfId="4833" xr:uid="{E9E743AF-101E-4BD4-BC77-185743C15636}"/>
    <cellStyle name="Normal 3 3 11" xfId="3963" xr:uid="{A2A470E7-028B-4F73-9E65-BE53B6C355FC}"/>
    <cellStyle name="Normal 3 3 2" xfId="1364" xr:uid="{0F83188D-59F6-4F7A-AE49-7DC3F10550E6}"/>
    <cellStyle name="Normal 3 3 2 2" xfId="1365" xr:uid="{759834E5-12CC-47CE-A1C3-132783DEFB71}"/>
    <cellStyle name="Normal 3 3 2 2 2" xfId="1366" xr:uid="{F99A84C1-C501-4189-A6A3-A81994771517}"/>
    <cellStyle name="Normal 3 3 2 2 2 2" xfId="1367" xr:uid="{371D3141-20FA-4006-A815-1E1D435254BB}"/>
    <cellStyle name="Normal 3 3 2 2 2 2 2" xfId="1368" xr:uid="{A716884D-5D18-41E8-BD3B-948CE8769A36}"/>
    <cellStyle name="Normal 3 3 2 2 2 2 2 2" xfId="2019" xr:uid="{CC681084-04D9-4625-B9D0-6D28BA7DD76C}"/>
    <cellStyle name="Normal 3 3 2 2 2 2 2 2 2" xfId="2857" xr:uid="{F33313BF-A1C2-45DE-968A-10C828A47155}"/>
    <cellStyle name="Normal 3 3 2 2 2 2 2 2 2 2" xfId="5292" xr:uid="{CFA9E721-B1E2-457B-A137-430861CA0A2E}"/>
    <cellStyle name="Normal 3 3 2 2 2 2 2 2 3" xfId="4536" xr:uid="{12D5B55F-26D8-421E-B12D-48CF3F0F9BA0}"/>
    <cellStyle name="Normal 3 3 2 2 2 2 2 3" xfId="2403" xr:uid="{40FB1E3D-79C0-4741-90A1-776097BFC2BF}"/>
    <cellStyle name="Normal 3 3 2 2 2 2 2 3 2" xfId="4838" xr:uid="{954D6A02-AB05-41EA-940E-B5B22FFF3D97}"/>
    <cellStyle name="Normal 3 3 2 2 2 2 2 4" xfId="3968" xr:uid="{0FF2E7DB-0AE7-44C5-B21A-E3E4A33A8708}"/>
    <cellStyle name="Normal 3 3 2 2 2 2 3" xfId="1849" xr:uid="{D30F4E70-3860-463F-8105-71D29D781F0C}"/>
    <cellStyle name="Normal 3 3 2 2 2 2 3 2" xfId="2687" xr:uid="{C7CCC6EA-161F-4F25-AC1F-F1F82C3FB49D}"/>
    <cellStyle name="Normal 3 3 2 2 2 2 3 2 2" xfId="5122" xr:uid="{02450BBA-59F1-4FA5-ADC6-6BF4E67FDD45}"/>
    <cellStyle name="Normal 3 3 2 2 2 2 3 3" xfId="4366" xr:uid="{B0AB3D4B-F8E4-4784-8889-A7D3315AC492}"/>
    <cellStyle name="Normal 3 3 2 2 2 2 4" xfId="2402" xr:uid="{F74A138B-AB39-4613-8474-46BAEE1290CA}"/>
    <cellStyle name="Normal 3 3 2 2 2 2 4 2" xfId="4837" xr:uid="{D5B1A4DE-B468-4D85-B40E-7AABAF31CB2A}"/>
    <cellStyle name="Normal 3 3 2 2 2 2 5" xfId="3967" xr:uid="{DAF40205-9F53-4285-BD1E-5BCFF5DB6B1A}"/>
    <cellStyle name="Normal 3 3 2 2 2 3" xfId="1369" xr:uid="{D91A1FA0-A59F-4F1B-8CFD-9832E7F4E2FB}"/>
    <cellStyle name="Normal 3 3 2 2 2 3 2" xfId="1370" xr:uid="{804BBE95-326C-4AF0-A23E-F7A73099862D}"/>
    <cellStyle name="Normal 3 3 2 2 2 3 2 2" xfId="2020" xr:uid="{0439F8B8-494F-4333-83E6-2220EECF78ED}"/>
    <cellStyle name="Normal 3 3 2 2 2 3 2 2 2" xfId="2858" xr:uid="{17BD0197-01C1-4BC5-A33F-2E4CEF9DFF5D}"/>
    <cellStyle name="Normal 3 3 2 2 2 3 2 2 2 2" xfId="5293" xr:uid="{18BC12D3-3BA7-42C9-8040-D59DF97B2B9F}"/>
    <cellStyle name="Normal 3 3 2 2 2 3 2 2 3" xfId="4537" xr:uid="{40A24C32-DD81-44CC-A4B2-89555DBAFF27}"/>
    <cellStyle name="Normal 3 3 2 2 2 3 2 3" xfId="2405" xr:uid="{4559754D-F333-4590-A20D-56169282588D}"/>
    <cellStyle name="Normal 3 3 2 2 2 3 2 3 2" xfId="4840" xr:uid="{82E385C4-CB86-402C-93DD-18527BFB15FD}"/>
    <cellStyle name="Normal 3 3 2 2 2 3 2 4" xfId="3970" xr:uid="{608CFF42-4626-4B59-B2FA-6308A1A90D4B}"/>
    <cellStyle name="Normal 3 3 2 2 2 3 3" xfId="1850" xr:uid="{292991B7-DAE1-4619-8C3C-D5656DA5BD4D}"/>
    <cellStyle name="Normal 3 3 2 2 2 3 3 2" xfId="2688" xr:uid="{1A2507BD-0F97-4C8D-A19B-20D0D1BC7FE1}"/>
    <cellStyle name="Normal 3 3 2 2 2 3 3 2 2" xfId="5123" xr:uid="{1ED7135E-7376-485D-B265-E2A337F25770}"/>
    <cellStyle name="Normal 3 3 2 2 2 3 3 3" xfId="4367" xr:uid="{DF06B914-10D3-400A-AAFD-77140C8EF5F6}"/>
    <cellStyle name="Normal 3 3 2 2 2 3 4" xfId="2404" xr:uid="{B959B3A4-0E50-46BC-820E-F2B82706E62B}"/>
    <cellStyle name="Normal 3 3 2 2 2 3 4 2" xfId="4839" xr:uid="{305CF1F4-FC55-44E3-B57E-E250EC135791}"/>
    <cellStyle name="Normal 3 3 2 2 2 3 5" xfId="3969" xr:uid="{FA1B0713-2FE0-46F7-97F6-E7C8F6A38E74}"/>
    <cellStyle name="Normal 3 3 2 2 2 4" xfId="1371" xr:uid="{9798BBFF-3C80-40DE-B5A4-0C235F7E6AB3}"/>
    <cellStyle name="Normal 3 3 2 2 2 4 2" xfId="2018" xr:uid="{6B9627F1-F829-4665-A0A1-0020F9FF01FA}"/>
    <cellStyle name="Normal 3 3 2 2 2 4 2 2" xfId="2856" xr:uid="{EC658A6D-EE36-44D2-A719-293B0A8C7578}"/>
    <cellStyle name="Normal 3 3 2 2 2 4 2 2 2" xfId="5291" xr:uid="{82455E6E-E87E-467A-AFE5-1EA81F5654BD}"/>
    <cellStyle name="Normal 3 3 2 2 2 4 2 3" xfId="4535" xr:uid="{554B9AD2-11FF-4681-AE1B-C2FC957597C5}"/>
    <cellStyle name="Normal 3 3 2 2 2 4 3" xfId="2406" xr:uid="{9E5AC42B-93D4-476F-8ACC-76D522E6E32A}"/>
    <cellStyle name="Normal 3 3 2 2 2 4 3 2" xfId="4841" xr:uid="{B74B76D0-C944-4DFE-9815-958AFA602C7A}"/>
    <cellStyle name="Normal 3 3 2 2 2 4 4" xfId="3971" xr:uid="{668BF051-2D4C-4261-AFF0-32F5F80913E4}"/>
    <cellStyle name="Normal 3 3 2 2 2 5" xfId="1848" xr:uid="{74098714-4C35-41FA-93B3-AE0A5BB7F900}"/>
    <cellStyle name="Normal 3 3 2 2 2 5 2" xfId="2686" xr:uid="{1A0F5E51-98B6-4D35-AC28-8F667A72F635}"/>
    <cellStyle name="Normal 3 3 2 2 2 5 2 2" xfId="5121" xr:uid="{ADF72E62-6813-45FB-92CE-EF827B9E906D}"/>
    <cellStyle name="Normal 3 3 2 2 2 5 3" xfId="4365" xr:uid="{C9DECD88-B81C-446E-8232-50A83F5CDAF5}"/>
    <cellStyle name="Normal 3 3 2 2 2 6" xfId="2401" xr:uid="{9D6052A4-D843-4ECC-9177-706255903C7F}"/>
    <cellStyle name="Normal 3 3 2 2 2 6 2" xfId="4836" xr:uid="{6FB5D8F9-67FD-4C06-B17C-D6070F46D88F}"/>
    <cellStyle name="Normal 3 3 2 2 2 7" xfId="3966" xr:uid="{A53C0133-AC39-44C5-B2B3-ED2D28E2C105}"/>
    <cellStyle name="Normal 3 3 2 2 3" xfId="1372" xr:uid="{A234CFF2-1C2D-455C-B337-B8C750DFE4F6}"/>
    <cellStyle name="Normal 3 3 2 2 3 2" xfId="1373" xr:uid="{460CD82E-016B-4F11-9D12-547AC6328CB0}"/>
    <cellStyle name="Normal 3 3 2 2 3 2 2" xfId="2021" xr:uid="{F890D85A-D80D-459B-AC59-6DAA10193A57}"/>
    <cellStyle name="Normal 3 3 2 2 3 2 2 2" xfId="2859" xr:uid="{6131104A-87B9-4FF1-90C7-3B44282CE61F}"/>
    <cellStyle name="Normal 3 3 2 2 3 2 2 2 2" xfId="5294" xr:uid="{3F8B6A50-7956-4C01-9E22-1CB4857E688A}"/>
    <cellStyle name="Normal 3 3 2 2 3 2 2 3" xfId="4538" xr:uid="{C45F519F-553E-4229-8AAA-57D5BEB9372A}"/>
    <cellStyle name="Normal 3 3 2 2 3 2 3" xfId="2408" xr:uid="{6C1DC172-272F-49CE-ADFA-7E95F2EC58A4}"/>
    <cellStyle name="Normal 3 3 2 2 3 2 3 2" xfId="4843" xr:uid="{C2621FB6-C352-4DAD-893B-ABD309A979F6}"/>
    <cellStyle name="Normal 3 3 2 2 3 2 4" xfId="3973" xr:uid="{9506EA24-00CD-409B-8CD5-8AADA57E74A0}"/>
    <cellStyle name="Normal 3 3 2 2 3 3" xfId="1851" xr:uid="{B3750FF9-4B38-471A-B9D4-CA5F2D1DD922}"/>
    <cellStyle name="Normal 3 3 2 2 3 3 2" xfId="2689" xr:uid="{B82228E5-520A-4196-85D9-FC4EECF36A2C}"/>
    <cellStyle name="Normal 3 3 2 2 3 3 2 2" xfId="5124" xr:uid="{02CB4759-1A1F-447E-817E-A363013528A1}"/>
    <cellStyle name="Normal 3 3 2 2 3 3 3" xfId="4368" xr:uid="{6C80C46B-6C32-41A3-8964-001618F3A09F}"/>
    <cellStyle name="Normal 3 3 2 2 3 4" xfId="2407" xr:uid="{2AEE3396-13CD-4EE5-9772-8235453B8FBA}"/>
    <cellStyle name="Normal 3 3 2 2 3 4 2" xfId="4842" xr:uid="{42FA7CD7-297A-402A-B9D9-3E3821B25607}"/>
    <cellStyle name="Normal 3 3 2 2 3 5" xfId="3972" xr:uid="{26E5F368-C3AF-4A88-9ABA-F4E3F58BB82B}"/>
    <cellStyle name="Normal 3 3 2 2 4" xfId="1374" xr:uid="{558838AD-B891-49C0-A44B-54549CF34381}"/>
    <cellStyle name="Normal 3 3 2 2 4 2" xfId="1375" xr:uid="{5254FD7B-D465-46CE-B9A6-41ED4C2DA124}"/>
    <cellStyle name="Normal 3 3 2 2 4 2 2" xfId="2022" xr:uid="{78AF0C9B-DE1B-438A-8C88-36B13A71A532}"/>
    <cellStyle name="Normal 3 3 2 2 4 2 2 2" xfId="2860" xr:uid="{0992A183-4699-4881-AAB2-9F190CA9920F}"/>
    <cellStyle name="Normal 3 3 2 2 4 2 2 2 2" xfId="5295" xr:uid="{0A5726D0-E966-475E-B34D-715D01ED8405}"/>
    <cellStyle name="Normal 3 3 2 2 4 2 2 3" xfId="4539" xr:uid="{45C6BA72-DD46-4E64-A49F-DB90E8AE3492}"/>
    <cellStyle name="Normal 3 3 2 2 4 2 3" xfId="2410" xr:uid="{34A32F75-92FE-44F2-8106-8BDD3FF5E011}"/>
    <cellStyle name="Normal 3 3 2 2 4 2 3 2" xfId="4845" xr:uid="{B4823CA4-8841-4D81-80B9-4809FDDB6A11}"/>
    <cellStyle name="Normal 3 3 2 2 4 2 4" xfId="3975" xr:uid="{8FE0A741-16E9-4806-BCC4-08F6C4F00B60}"/>
    <cellStyle name="Normal 3 3 2 2 4 3" xfId="1852" xr:uid="{030906E1-6E0C-4E19-ACFF-939F40039A85}"/>
    <cellStyle name="Normal 3 3 2 2 4 3 2" xfId="2690" xr:uid="{6D7C394A-5C3F-49D1-8F47-53DD08AABC81}"/>
    <cellStyle name="Normal 3 3 2 2 4 3 2 2" xfId="5125" xr:uid="{5762E750-55A9-428B-BD8E-8C9F76AAB245}"/>
    <cellStyle name="Normal 3 3 2 2 4 3 3" xfId="4369" xr:uid="{78446DD8-0480-45AF-B5AF-6F2E573A5F12}"/>
    <cellStyle name="Normal 3 3 2 2 4 4" xfId="2409" xr:uid="{84FE2ADC-35B4-43CD-8801-3C1D49226BAD}"/>
    <cellStyle name="Normal 3 3 2 2 4 4 2" xfId="4844" xr:uid="{84CB5046-A96F-42A3-B303-752E9D276EDE}"/>
    <cellStyle name="Normal 3 3 2 2 4 5" xfId="3974" xr:uid="{04BCA264-9A83-477D-A22A-82238AB8A0AC}"/>
    <cellStyle name="Normal 3 3 2 2 5" xfId="1376" xr:uid="{694FFB08-A071-4D2C-B896-E6BFB2D9FDF2}"/>
    <cellStyle name="Normal 3 3 2 2 5 2" xfId="2017" xr:uid="{4B3319FF-960C-4C40-84D1-97CD0224EF26}"/>
    <cellStyle name="Normal 3 3 2 2 5 2 2" xfId="2855" xr:uid="{EDDECF2E-9D1B-442F-BA2A-E7CB97B041A6}"/>
    <cellStyle name="Normal 3 3 2 2 5 2 2 2" xfId="5290" xr:uid="{D88130DF-A6A0-4DE0-8881-735460D0E180}"/>
    <cellStyle name="Normal 3 3 2 2 5 2 3" xfId="4534" xr:uid="{C57FE845-C66D-4CF8-B183-DE31D31642AD}"/>
    <cellStyle name="Normal 3 3 2 2 5 3" xfId="2411" xr:uid="{F650DBB1-F924-47EC-8D81-C8A3D306BEA9}"/>
    <cellStyle name="Normal 3 3 2 2 5 3 2" xfId="4846" xr:uid="{6B4DAFEC-0F62-4CC5-8E16-815DF639F8EA}"/>
    <cellStyle name="Normal 3 3 2 2 5 4" xfId="3976" xr:uid="{941AB9E0-EF01-4B38-9CA9-91BEED1DD542}"/>
    <cellStyle name="Normal 3 3 2 2 6" xfId="1847" xr:uid="{22F26185-5F0B-4C2E-8B2A-8B3E209E212B}"/>
    <cellStyle name="Normal 3 3 2 2 6 2" xfId="2685" xr:uid="{6778674C-94B4-4062-9B1E-D8114BECF793}"/>
    <cellStyle name="Normal 3 3 2 2 6 2 2" xfId="5120" xr:uid="{5E63F638-1FB6-4CA7-858F-03B7F029F2D5}"/>
    <cellStyle name="Normal 3 3 2 2 6 3" xfId="4364" xr:uid="{3FB38D1E-DF73-4E22-AD76-311250C77A5C}"/>
    <cellStyle name="Normal 3 3 2 2 7" xfId="2400" xr:uid="{B8874235-9249-4B55-B278-615063BFD6A3}"/>
    <cellStyle name="Normal 3 3 2 2 7 2" xfId="4835" xr:uid="{7C26CE80-7CF3-4937-86F2-522C6C79800A}"/>
    <cellStyle name="Normal 3 3 2 2 8" xfId="3965" xr:uid="{4C837BF1-CB45-41C8-8883-8FEB38888E04}"/>
    <cellStyle name="Normal 3 3 2 3" xfId="1377" xr:uid="{9E646299-9071-47CE-875C-CB9F718A87E3}"/>
    <cellStyle name="Normal 3 3 2 3 2" xfId="1378" xr:uid="{5971A4E9-CE60-4BAF-848E-A2C0C974ABC8}"/>
    <cellStyle name="Normal 3 3 2 3 2 2" xfId="1379" xr:uid="{0C4EF543-A86D-49F0-9D60-37D86F9AC571}"/>
    <cellStyle name="Normal 3 3 2 3 2 2 2" xfId="2024" xr:uid="{622EBD24-C6BF-40A3-919C-C345CD80652F}"/>
    <cellStyle name="Normal 3 3 2 3 2 2 2 2" xfId="2862" xr:uid="{4DE4427F-4AD1-40D0-85BE-B1B7B66F1823}"/>
    <cellStyle name="Normal 3 3 2 3 2 2 2 2 2" xfId="5297" xr:uid="{BD07D6F2-3268-4BDA-AECB-A2E82C7FE5C6}"/>
    <cellStyle name="Normal 3 3 2 3 2 2 2 3" xfId="4541" xr:uid="{95522FD4-E085-4567-95D7-1C67AD99E6CD}"/>
    <cellStyle name="Normal 3 3 2 3 2 2 3" xfId="2414" xr:uid="{40D807B2-00B1-4DD6-9298-7633C57B9C3F}"/>
    <cellStyle name="Normal 3 3 2 3 2 2 3 2" xfId="4849" xr:uid="{ED3A7770-F8D8-4E8B-AB1C-0109A02A247A}"/>
    <cellStyle name="Normal 3 3 2 3 2 2 4" xfId="3979" xr:uid="{91E182AE-3ADA-4F89-8723-41125B523EF2}"/>
    <cellStyle name="Normal 3 3 2 3 2 3" xfId="1854" xr:uid="{CB6F9962-FE52-46B5-AC4B-0BF8780077E3}"/>
    <cellStyle name="Normal 3 3 2 3 2 3 2" xfId="2692" xr:uid="{30A03748-AF51-4C46-9815-FDB5E1BF8369}"/>
    <cellStyle name="Normal 3 3 2 3 2 3 2 2" xfId="5127" xr:uid="{FE573459-FFA6-456F-977E-1BE10A34A450}"/>
    <cellStyle name="Normal 3 3 2 3 2 3 3" xfId="4371" xr:uid="{90F8BBDC-4913-42AD-8954-D0D42B3BD625}"/>
    <cellStyle name="Normal 3 3 2 3 2 4" xfId="2413" xr:uid="{7A6D1666-9648-42A7-AC88-77972A58FBF3}"/>
    <cellStyle name="Normal 3 3 2 3 2 4 2" xfId="4848" xr:uid="{AC157069-8C19-4E77-A127-839C6252BD02}"/>
    <cellStyle name="Normal 3 3 2 3 2 5" xfId="3978" xr:uid="{6C583C14-8B6D-4159-BD95-E143BEA2F79A}"/>
    <cellStyle name="Normal 3 3 2 3 3" xfId="1380" xr:uid="{F6C2FBA6-EAF3-4873-AB26-5A40827081E1}"/>
    <cellStyle name="Normal 3 3 2 3 3 2" xfId="1381" xr:uid="{81E4CBD5-D859-45ED-92E5-0D4C865BEE2C}"/>
    <cellStyle name="Normal 3 3 2 3 3 2 2" xfId="2025" xr:uid="{05D37E65-D135-4D09-B980-81C8158AFF78}"/>
    <cellStyle name="Normal 3 3 2 3 3 2 2 2" xfId="2863" xr:uid="{7CED1F02-CB70-436E-B661-E06EDB06714E}"/>
    <cellStyle name="Normal 3 3 2 3 3 2 2 2 2" xfId="5298" xr:uid="{0BF82CD9-3991-4A34-828D-DC8F230ACB00}"/>
    <cellStyle name="Normal 3 3 2 3 3 2 2 3" xfId="4542" xr:uid="{EE5FFFED-74C5-4D69-842C-5E9FACE0DD85}"/>
    <cellStyle name="Normal 3 3 2 3 3 2 3" xfId="2416" xr:uid="{FCC0642B-1893-450F-B0D0-12F23CD024E9}"/>
    <cellStyle name="Normal 3 3 2 3 3 2 3 2" xfId="4851" xr:uid="{746E3F40-D99D-4BE1-8C2F-CA1CCC1E1FBF}"/>
    <cellStyle name="Normal 3 3 2 3 3 2 4" xfId="3981" xr:uid="{C222E611-3BD3-47CD-9503-1830EAF9FBE8}"/>
    <cellStyle name="Normal 3 3 2 3 3 3" xfId="1855" xr:uid="{FC30AD62-46E4-4415-9080-14FA74A8FD3B}"/>
    <cellStyle name="Normal 3 3 2 3 3 3 2" xfId="2693" xr:uid="{AD6C90D9-AC05-4EF0-AFF1-0640321E6AA6}"/>
    <cellStyle name="Normal 3 3 2 3 3 3 2 2" xfId="5128" xr:uid="{26CA5FB4-0B2F-4F99-A331-6408EC92D6CE}"/>
    <cellStyle name="Normal 3 3 2 3 3 3 3" xfId="4372" xr:uid="{A40F1059-4810-455E-8254-9575C5D9145C}"/>
    <cellStyle name="Normal 3 3 2 3 3 4" xfId="2415" xr:uid="{C64228C9-551A-4644-80FF-CFB09AA9E5AD}"/>
    <cellStyle name="Normal 3 3 2 3 3 4 2" xfId="4850" xr:uid="{639C9D9F-90CA-4320-AA94-2D36B6B2C69A}"/>
    <cellStyle name="Normal 3 3 2 3 3 5" xfId="3980" xr:uid="{4DDCCD19-BDF2-4397-A60C-6A316C892286}"/>
    <cellStyle name="Normal 3 3 2 3 4" xfId="1382" xr:uid="{9A8FAC42-F61A-4F8A-B54C-5F576BC2168C}"/>
    <cellStyle name="Normal 3 3 2 3 4 2" xfId="2023" xr:uid="{9FBB4BC7-0355-43DC-9F93-0171F73DB762}"/>
    <cellStyle name="Normal 3 3 2 3 4 2 2" xfId="2861" xr:uid="{9BA7ABA5-3356-4BB9-940C-39D82CAC4D5E}"/>
    <cellStyle name="Normal 3 3 2 3 4 2 2 2" xfId="5296" xr:uid="{BB7D5683-C5E9-436F-8674-CF94D727990F}"/>
    <cellStyle name="Normal 3 3 2 3 4 2 3" xfId="4540" xr:uid="{06C2B971-72A2-4AC5-9677-6E8C4DBDF261}"/>
    <cellStyle name="Normal 3 3 2 3 4 3" xfId="2417" xr:uid="{1B08934E-3BC1-4031-B3F4-1475FC4A1A33}"/>
    <cellStyle name="Normal 3 3 2 3 4 3 2" xfId="4852" xr:uid="{67DD652C-0998-4BE8-8514-9DB40450567D}"/>
    <cellStyle name="Normal 3 3 2 3 4 4" xfId="3982" xr:uid="{152B70FB-BF31-427F-B33B-0BF7371CA649}"/>
    <cellStyle name="Normal 3 3 2 3 5" xfId="1853" xr:uid="{9C65F635-5E9D-499D-9153-18F3A47E9B6E}"/>
    <cellStyle name="Normal 3 3 2 3 5 2" xfId="2691" xr:uid="{7727E666-B809-476D-B1C8-FABF24DFADB1}"/>
    <cellStyle name="Normal 3 3 2 3 5 2 2" xfId="5126" xr:uid="{90DDC1CC-7FBE-403B-9959-DB451923D97D}"/>
    <cellStyle name="Normal 3 3 2 3 5 3" xfId="4370" xr:uid="{BF331C17-CD4B-4A6C-8021-05C21D9FE6D4}"/>
    <cellStyle name="Normal 3 3 2 3 6" xfId="2412" xr:uid="{B9C594A7-0C53-4361-9AD9-65C2E7B033BB}"/>
    <cellStyle name="Normal 3 3 2 3 6 2" xfId="4847" xr:uid="{187750B3-692C-42E1-A49A-B4BDF222E179}"/>
    <cellStyle name="Normal 3 3 2 3 7" xfId="3977" xr:uid="{444555AC-528B-4049-895A-0E439ED8B1A9}"/>
    <cellStyle name="Normal 3 3 2 4" xfId="1383" xr:uid="{0F19C2C0-6E4D-4772-8918-8CA18A7B3711}"/>
    <cellStyle name="Normal 3 3 2 4 2" xfId="1384" xr:uid="{19D776C1-8855-4909-868A-0F9451498F46}"/>
    <cellStyle name="Normal 3 3 2 4 2 2" xfId="2026" xr:uid="{76412578-90D6-4D5E-8697-53219052C296}"/>
    <cellStyle name="Normal 3 3 2 4 2 2 2" xfId="2864" xr:uid="{5B52B92D-31BB-44EA-8328-7F035AF28FE1}"/>
    <cellStyle name="Normal 3 3 2 4 2 2 2 2" xfId="5299" xr:uid="{A33683F7-DA3F-414B-B231-97014C1DE06B}"/>
    <cellStyle name="Normal 3 3 2 4 2 2 3" xfId="4543" xr:uid="{CB0C3EAF-E883-4CEA-99FE-B34B65A7201F}"/>
    <cellStyle name="Normal 3 3 2 4 2 3" xfId="2419" xr:uid="{E1A1F1D1-F1F2-4C72-932B-4C6E7AE35F3F}"/>
    <cellStyle name="Normal 3 3 2 4 2 3 2" xfId="4854" xr:uid="{D2C03B6D-3EFD-4350-9497-C2C8329DF70A}"/>
    <cellStyle name="Normal 3 3 2 4 2 4" xfId="3984" xr:uid="{527D145A-A673-458C-87B1-0EE393FE69F8}"/>
    <cellStyle name="Normal 3 3 2 4 3" xfId="1856" xr:uid="{D1FEC553-A1B0-4DC3-A991-D91157B3F9DA}"/>
    <cellStyle name="Normal 3 3 2 4 3 2" xfId="2694" xr:uid="{7E416316-F6F2-495C-B81D-C65859CC9E40}"/>
    <cellStyle name="Normal 3 3 2 4 3 2 2" xfId="5129" xr:uid="{3D9EFB13-80E3-46A9-9C38-AF06AE376D21}"/>
    <cellStyle name="Normal 3 3 2 4 3 3" xfId="4373" xr:uid="{702ACB96-24C4-4B31-A47B-36F12C43A89A}"/>
    <cellStyle name="Normal 3 3 2 4 4" xfId="2418" xr:uid="{D5ECD61F-6467-4E80-95C9-5D4CB13401A4}"/>
    <cellStyle name="Normal 3 3 2 4 4 2" xfId="4853" xr:uid="{773EDEB5-FB7F-46D9-A806-090FB40BE244}"/>
    <cellStyle name="Normal 3 3 2 4 5" xfId="3983" xr:uid="{3DD5E243-70CF-46B5-9A75-87BBE6AF5F86}"/>
    <cellStyle name="Normal 3 3 2 5" xfId="1385" xr:uid="{12532105-58D3-49AF-9BC8-CDDDDDF81BC6}"/>
    <cellStyle name="Normal 3 3 2 5 2" xfId="1386" xr:uid="{49AB1983-DBDF-4870-ADA5-6D8EDF254443}"/>
    <cellStyle name="Normal 3 3 2 5 2 2" xfId="2027" xr:uid="{0BD12298-816D-4957-B9AB-7EB556C17262}"/>
    <cellStyle name="Normal 3 3 2 5 2 2 2" xfId="2865" xr:uid="{A430D704-F896-497A-88F4-A7A46619E113}"/>
    <cellStyle name="Normal 3 3 2 5 2 2 2 2" xfId="5300" xr:uid="{461B4B0F-7818-4C73-865A-D4F6AE0AA993}"/>
    <cellStyle name="Normal 3 3 2 5 2 2 3" xfId="4544" xr:uid="{1A2E0D5C-76CD-4E3D-BC1F-0B5D4E5D6AB4}"/>
    <cellStyle name="Normal 3 3 2 5 2 3" xfId="2421" xr:uid="{A238F1B8-F5A1-4B61-BE01-130FAB7EB180}"/>
    <cellStyle name="Normal 3 3 2 5 2 3 2" xfId="4856" xr:uid="{A5F1524A-77A2-40E2-93F4-6397AE469D64}"/>
    <cellStyle name="Normal 3 3 2 5 2 4" xfId="3986" xr:uid="{AAF868EB-BFC6-406E-BC83-CD0BB8017834}"/>
    <cellStyle name="Normal 3 3 2 5 3" xfId="1857" xr:uid="{E922040E-B319-4E1D-AB1A-3385045323B1}"/>
    <cellStyle name="Normal 3 3 2 5 3 2" xfId="2695" xr:uid="{4A7AA488-8438-4AB7-ACD2-7FFF3E3E804D}"/>
    <cellStyle name="Normal 3 3 2 5 3 2 2" xfId="5130" xr:uid="{D35B69BC-E0AA-464F-8220-C89AF0071AAD}"/>
    <cellStyle name="Normal 3 3 2 5 3 3" xfId="4374" xr:uid="{0F590E2F-0B8F-4BBD-BE32-3D157832F4C4}"/>
    <cellStyle name="Normal 3 3 2 5 4" xfId="2420" xr:uid="{BF628853-D550-4E12-A984-3F6B70FB361B}"/>
    <cellStyle name="Normal 3 3 2 5 4 2" xfId="4855" xr:uid="{9E117595-B52B-4FE7-8188-766E0F464C09}"/>
    <cellStyle name="Normal 3 3 2 5 5" xfId="3985" xr:uid="{E806296A-FA13-4174-A934-FAC45E240AD8}"/>
    <cellStyle name="Normal 3 3 2 6" xfId="1387" xr:uid="{5BB219D4-D48F-4498-B91C-A7F16D48247B}"/>
    <cellStyle name="Normal 3 3 2 6 2" xfId="2016" xr:uid="{9905FAB7-2B27-4EA8-AD42-55ED7182DC33}"/>
    <cellStyle name="Normal 3 3 2 6 2 2" xfId="2854" xr:uid="{7CEA0144-721C-45AB-9D0C-85E0D6F55EAA}"/>
    <cellStyle name="Normal 3 3 2 6 2 2 2" xfId="5289" xr:uid="{2C5FE015-E818-40B1-AA79-34CF34F52633}"/>
    <cellStyle name="Normal 3 3 2 6 2 3" xfId="4533" xr:uid="{E5CF073B-BA18-45A4-97A4-AB272141F422}"/>
    <cellStyle name="Normal 3 3 2 6 3" xfId="2422" xr:uid="{DF796354-4C57-412C-B9F4-627198409566}"/>
    <cellStyle name="Normal 3 3 2 6 3 2" xfId="4857" xr:uid="{A542B101-D715-436B-BE9F-DEDDC4581CB4}"/>
    <cellStyle name="Normal 3 3 2 6 4" xfId="3987" xr:uid="{DBFF707F-2829-4743-B7EC-716B2DAE501A}"/>
    <cellStyle name="Normal 3 3 2 7" xfId="1846" xr:uid="{6BDD0BF2-E45F-4E0A-BD10-A1E9C3B40713}"/>
    <cellStyle name="Normal 3 3 2 7 2" xfId="2684" xr:uid="{7B7DBCF5-5107-4509-8D53-EE9EA18B6B10}"/>
    <cellStyle name="Normal 3 3 2 7 2 2" xfId="5119" xr:uid="{FF0FB19D-FDF5-4BEC-92C8-B4447A380F25}"/>
    <cellStyle name="Normal 3 3 2 7 3" xfId="4363" xr:uid="{188DD831-92FC-4DAB-BB77-46DD82D11423}"/>
    <cellStyle name="Normal 3 3 2 8" xfId="2399" xr:uid="{E5E68E8B-5AB2-480E-8AA3-9EBFF56075C8}"/>
    <cellStyle name="Normal 3 3 2 8 2" xfId="4834" xr:uid="{03A5807C-CA3B-4371-A8D0-A71BE955F933}"/>
    <cellStyle name="Normal 3 3 2 9" xfId="3964" xr:uid="{EE98FE74-D3E2-4BEE-BA29-98104272FA1D}"/>
    <cellStyle name="Normal 3 3 3" xfId="1388" xr:uid="{0CC65822-6018-4AD3-BEED-50B108768825}"/>
    <cellStyle name="Normal 3 3 3 2" xfId="1389" xr:uid="{B345805B-BE29-4320-B23D-2CF59B80C1D1}"/>
    <cellStyle name="Normal 3 3 3 2 2" xfId="1390" xr:uid="{2E1CECD1-05D0-4658-AC67-93CF9F2E7544}"/>
    <cellStyle name="Normal 3 3 3 2 2 2" xfId="1391" xr:uid="{EF5E57FD-207F-4D76-9618-4DB94125D63F}"/>
    <cellStyle name="Normal 3 3 3 2 2 2 2" xfId="2030" xr:uid="{550C94AB-C523-4C67-9316-705C9A62EBEA}"/>
    <cellStyle name="Normal 3 3 3 2 2 2 2 2" xfId="2868" xr:uid="{E6A62025-7119-4CE5-B580-C5195A05AAF3}"/>
    <cellStyle name="Normal 3 3 3 2 2 2 2 2 2" xfId="5303" xr:uid="{C6A2EE3B-9F8C-491A-99E0-EDC66D68CF64}"/>
    <cellStyle name="Normal 3 3 3 2 2 2 2 3" xfId="4547" xr:uid="{389BC446-A80B-4FDA-B624-DFE5237BF46C}"/>
    <cellStyle name="Normal 3 3 3 2 2 2 3" xfId="2426" xr:uid="{395D0B2B-CC10-44EF-87F1-B6016282C20A}"/>
    <cellStyle name="Normal 3 3 3 2 2 2 3 2" xfId="4861" xr:uid="{9440481D-FF4F-4FEC-B6BD-931ACC6130E9}"/>
    <cellStyle name="Normal 3 3 3 2 2 2 4" xfId="3991" xr:uid="{31E09830-7B40-4E49-8601-ACC6AEF03538}"/>
    <cellStyle name="Normal 3 3 3 2 2 3" xfId="1860" xr:uid="{66A1C5AF-BE81-4661-ACEF-FA20ED04C7B2}"/>
    <cellStyle name="Normal 3 3 3 2 2 3 2" xfId="2698" xr:uid="{F798B1E1-E16A-41C9-9006-D8FA9D43D97E}"/>
    <cellStyle name="Normal 3 3 3 2 2 3 2 2" xfId="5133" xr:uid="{6A3E46B3-B3F8-4026-BBC1-A9AFD67D6351}"/>
    <cellStyle name="Normal 3 3 3 2 2 3 3" xfId="4377" xr:uid="{8F31EAF1-6906-45F9-B7B9-DA948DAE433B}"/>
    <cellStyle name="Normal 3 3 3 2 2 4" xfId="2425" xr:uid="{454470E2-1D82-43E9-876C-A18D007F2B3B}"/>
    <cellStyle name="Normal 3 3 3 2 2 4 2" xfId="4860" xr:uid="{A697C5EA-E1AA-4E1C-8195-6331829C6DAA}"/>
    <cellStyle name="Normal 3 3 3 2 2 5" xfId="3990" xr:uid="{9411DCE0-B1C2-41C6-BBF8-3CBF7B05EE26}"/>
    <cellStyle name="Normal 3 3 3 2 3" xfId="1392" xr:uid="{C0AEAA8D-ACF9-42AD-9D74-60113D77D974}"/>
    <cellStyle name="Normal 3 3 3 2 3 2" xfId="1393" xr:uid="{86B77B54-7DA7-4C48-ADF5-E9627230FD7C}"/>
    <cellStyle name="Normal 3 3 3 2 3 2 2" xfId="2031" xr:uid="{3BC38A8C-B6D4-49B4-850A-8D0277C90846}"/>
    <cellStyle name="Normal 3 3 3 2 3 2 2 2" xfId="2869" xr:uid="{4A4CF0BD-3E23-45FE-ACCA-8A46082EFB2F}"/>
    <cellStyle name="Normal 3 3 3 2 3 2 2 2 2" xfId="5304" xr:uid="{AE6AE019-4EB6-49EF-B952-BC3CBB9D3B4A}"/>
    <cellStyle name="Normal 3 3 3 2 3 2 2 3" xfId="4548" xr:uid="{8E2F33A5-68F4-4052-8353-0C32862DB887}"/>
    <cellStyle name="Normal 3 3 3 2 3 2 3" xfId="2428" xr:uid="{AD9E1390-C0F9-439D-942B-6C0CC94BAD72}"/>
    <cellStyle name="Normal 3 3 3 2 3 2 3 2" xfId="4863" xr:uid="{758CB285-FC5D-4C1B-B125-5B18D329966F}"/>
    <cellStyle name="Normal 3 3 3 2 3 2 4" xfId="3993" xr:uid="{A9830622-29F3-4DB5-A7A8-7985C50B9EED}"/>
    <cellStyle name="Normal 3 3 3 2 3 3" xfId="1861" xr:uid="{20541832-2B18-4F4B-A48D-B402CC58A4C1}"/>
    <cellStyle name="Normal 3 3 3 2 3 3 2" xfId="2699" xr:uid="{A8D329B8-30CE-4E9A-B2DA-179CAF57AFE0}"/>
    <cellStyle name="Normal 3 3 3 2 3 3 2 2" xfId="5134" xr:uid="{5AA61746-7643-44FD-B299-32233CFBB64D}"/>
    <cellStyle name="Normal 3 3 3 2 3 3 3" xfId="4378" xr:uid="{F334818A-E174-43A8-B1F0-5187E80F2A16}"/>
    <cellStyle name="Normal 3 3 3 2 3 4" xfId="2427" xr:uid="{ECA72615-EB3A-47CF-A092-0D2D656471F0}"/>
    <cellStyle name="Normal 3 3 3 2 3 4 2" xfId="4862" xr:uid="{F25C970F-8AF2-4BF9-A2BB-0A10116F2BF3}"/>
    <cellStyle name="Normal 3 3 3 2 3 5" xfId="3992" xr:uid="{E26E5103-39B2-4121-AB66-B669225264FD}"/>
    <cellStyle name="Normal 3 3 3 2 4" xfId="1394" xr:uid="{C2B78745-F30F-4956-B81F-AC5714F8853A}"/>
    <cellStyle name="Normal 3 3 3 2 4 2" xfId="2029" xr:uid="{6B1AA520-7702-4AE5-BD72-5CC570389C94}"/>
    <cellStyle name="Normal 3 3 3 2 4 2 2" xfId="2867" xr:uid="{943266A9-52E9-431F-B60B-257E8A8E28E7}"/>
    <cellStyle name="Normal 3 3 3 2 4 2 2 2" xfId="5302" xr:uid="{B5ECC629-A1B5-4359-93DE-AB7D11E95826}"/>
    <cellStyle name="Normal 3 3 3 2 4 2 3" xfId="4546" xr:uid="{F149AA8B-887F-45DB-84CC-06FD7CCBD622}"/>
    <cellStyle name="Normal 3 3 3 2 4 3" xfId="2429" xr:uid="{C935C4C2-0808-4228-B207-F70C348BF360}"/>
    <cellStyle name="Normal 3 3 3 2 4 3 2" xfId="4864" xr:uid="{812521F2-50B5-4EC0-AF06-3DB30EA31028}"/>
    <cellStyle name="Normal 3 3 3 2 4 4" xfId="3994" xr:uid="{F5C8DF2C-E506-4110-BA77-DC00197F2F2E}"/>
    <cellStyle name="Normal 3 3 3 2 5" xfId="1859" xr:uid="{FAA60FC3-FCDB-44F1-A024-494A1A71947A}"/>
    <cellStyle name="Normal 3 3 3 2 5 2" xfId="2697" xr:uid="{B2E6B3E8-4FFB-4B58-8340-BE41D06C4338}"/>
    <cellStyle name="Normal 3 3 3 2 5 2 2" xfId="5132" xr:uid="{F490E469-4BCF-4FCF-A470-13AD3FB14597}"/>
    <cellStyle name="Normal 3 3 3 2 5 3" xfId="4376" xr:uid="{9455BE75-D352-452B-936A-1C25D32E5FD2}"/>
    <cellStyle name="Normal 3 3 3 2 6" xfId="2424" xr:uid="{BD724376-33AB-46C7-8556-2ACBACC54D87}"/>
    <cellStyle name="Normal 3 3 3 2 6 2" xfId="4859" xr:uid="{57D990F2-9B13-44B1-971F-84A3B1FB7509}"/>
    <cellStyle name="Normal 3 3 3 2 7" xfId="3989" xr:uid="{BEB287E9-63E6-40B5-BD04-BB3775E59C72}"/>
    <cellStyle name="Normal 3 3 3 3" xfId="1395" xr:uid="{ABF5A777-E298-4F3F-81BF-6D81D22425DB}"/>
    <cellStyle name="Normal 3 3 3 3 2" xfId="1396" xr:uid="{023CBD84-C0DC-48AB-81D7-5DACAF5EA25A}"/>
    <cellStyle name="Normal 3 3 3 3 2 2" xfId="2032" xr:uid="{9C113D9A-1ADB-4654-B1D4-309365077908}"/>
    <cellStyle name="Normal 3 3 3 3 2 2 2" xfId="2870" xr:uid="{9FDB09DE-C31E-4202-B469-DF10A5E3A6A6}"/>
    <cellStyle name="Normal 3 3 3 3 2 2 2 2" xfId="5305" xr:uid="{991D45FB-314F-4AA5-9CB2-D4B871C2099E}"/>
    <cellStyle name="Normal 3 3 3 3 2 2 3" xfId="4549" xr:uid="{6AED4C29-00EF-4DAE-B391-D84A8633F9D6}"/>
    <cellStyle name="Normal 3 3 3 3 2 3" xfId="2431" xr:uid="{6736E1B7-5F31-40AE-B49A-6CE381573624}"/>
    <cellStyle name="Normal 3 3 3 3 2 3 2" xfId="4866" xr:uid="{356B823C-B1D9-4791-A219-5EA9D60B7650}"/>
    <cellStyle name="Normal 3 3 3 3 2 4" xfId="3996" xr:uid="{0FA178D6-BA45-4F8D-8010-A4D65657EC70}"/>
    <cellStyle name="Normal 3 3 3 3 3" xfId="1862" xr:uid="{BD96C497-2099-4EED-AB7E-A7F04C07BC08}"/>
    <cellStyle name="Normal 3 3 3 3 3 2" xfId="2700" xr:uid="{451C3D7B-96D5-4131-8F7E-A85808D0292A}"/>
    <cellStyle name="Normal 3 3 3 3 3 2 2" xfId="5135" xr:uid="{10DB7200-3D1A-49DF-AB27-566013AA5770}"/>
    <cellStyle name="Normal 3 3 3 3 3 3" xfId="4379" xr:uid="{E29B75B2-393B-452E-A9A2-16962696D0F7}"/>
    <cellStyle name="Normal 3 3 3 3 4" xfId="2430" xr:uid="{A5BCB04E-D70E-4BB0-B10A-BB65972E7B29}"/>
    <cellStyle name="Normal 3 3 3 3 4 2" xfId="4865" xr:uid="{819E1D14-1074-44DC-A92F-B776C73C8F2C}"/>
    <cellStyle name="Normal 3 3 3 3 5" xfId="3995" xr:uid="{52DB22B3-B095-49EC-B9EB-03C5FA58C378}"/>
    <cellStyle name="Normal 3 3 3 4" xfId="1397" xr:uid="{40BD5AE2-3EBE-4349-BF30-979A77A63EE8}"/>
    <cellStyle name="Normal 3 3 3 4 2" xfId="1398" xr:uid="{10EEEA97-B10D-4341-BCEB-067984293A34}"/>
    <cellStyle name="Normal 3 3 3 4 2 2" xfId="2033" xr:uid="{9CA62220-2C57-44C3-B214-04D21803E4E0}"/>
    <cellStyle name="Normal 3 3 3 4 2 2 2" xfId="2871" xr:uid="{01F7842F-B05F-4314-BC6B-1652097BA9A1}"/>
    <cellStyle name="Normal 3 3 3 4 2 2 2 2" xfId="5306" xr:uid="{1E9F2FA6-6BD3-4E18-948E-1761DCAA92CB}"/>
    <cellStyle name="Normal 3 3 3 4 2 2 3" xfId="4550" xr:uid="{D28CBA88-1C0B-425D-94B3-9195BD68AB92}"/>
    <cellStyle name="Normal 3 3 3 4 2 3" xfId="2433" xr:uid="{1BE9D149-0876-4D3B-9302-153A8DE0EE07}"/>
    <cellStyle name="Normal 3 3 3 4 2 3 2" xfId="4868" xr:uid="{2E7BFFD2-BFD8-40A9-9255-3C0DB530CBE9}"/>
    <cellStyle name="Normal 3 3 3 4 2 4" xfId="3998" xr:uid="{3D3EBB32-7C9C-4C1D-8C7E-14725521C0FE}"/>
    <cellStyle name="Normal 3 3 3 4 3" xfId="1863" xr:uid="{C570D1D8-2225-457A-96CB-A21D9BEE642B}"/>
    <cellStyle name="Normal 3 3 3 4 3 2" xfId="2701" xr:uid="{8014204A-1F6B-4B38-AC9F-BE6AD705BFF2}"/>
    <cellStyle name="Normal 3 3 3 4 3 2 2" xfId="5136" xr:uid="{38D29A9B-8BFC-4DA7-ADC8-8F4261F5CFF2}"/>
    <cellStyle name="Normal 3 3 3 4 3 3" xfId="4380" xr:uid="{AA2C09F5-9844-48CE-96F5-2822CEE9D204}"/>
    <cellStyle name="Normal 3 3 3 4 4" xfId="2432" xr:uid="{56DA3CAC-4A9A-4776-9A77-0D1CA609C84F}"/>
    <cellStyle name="Normal 3 3 3 4 4 2" xfId="4867" xr:uid="{AA037899-3F5C-4712-AB18-94844E8F98FC}"/>
    <cellStyle name="Normal 3 3 3 4 5" xfId="3997" xr:uid="{0886BDAB-C692-4970-BA48-A05E027F1F96}"/>
    <cellStyle name="Normal 3 3 3 5" xfId="1399" xr:uid="{2FD49DC2-8403-458F-9495-3E73A964CD30}"/>
    <cellStyle name="Normal 3 3 3 5 2" xfId="2028" xr:uid="{9D20D726-B842-45A3-B257-0F3C38CD7791}"/>
    <cellStyle name="Normal 3 3 3 5 2 2" xfId="2866" xr:uid="{6BE51D6A-5597-4B91-8E1A-C55BA69BC2B9}"/>
    <cellStyle name="Normal 3 3 3 5 2 2 2" xfId="5301" xr:uid="{BE8354C1-27F7-4B10-8577-30F4AA6EF530}"/>
    <cellStyle name="Normal 3 3 3 5 2 3" xfId="4545" xr:uid="{0E3F18AA-BD8A-49EA-8BAD-748C40E2B485}"/>
    <cellStyle name="Normal 3 3 3 5 3" xfId="2434" xr:uid="{CD7AC8E3-BFE9-4917-8755-91CA8F57B55C}"/>
    <cellStyle name="Normal 3 3 3 5 3 2" xfId="4869" xr:uid="{CD6941E3-08C3-4FAC-AC36-4F103519694A}"/>
    <cellStyle name="Normal 3 3 3 5 4" xfId="3999" xr:uid="{05415FA5-A476-470D-800A-49C8E2BBB891}"/>
    <cellStyle name="Normal 3 3 3 6" xfId="1858" xr:uid="{1F3B2A2B-BEE2-41A8-9892-7ADF7D2AC059}"/>
    <cellStyle name="Normal 3 3 3 6 2" xfId="2696" xr:uid="{EF5F2BC7-5C81-494B-A88A-8DFFC1203ACE}"/>
    <cellStyle name="Normal 3 3 3 6 2 2" xfId="5131" xr:uid="{2652E7DD-6D9C-43B2-8435-BA2F4A7D0934}"/>
    <cellStyle name="Normal 3 3 3 6 3" xfId="4375" xr:uid="{A03ADE6C-ECEB-4C9D-8597-F77A02A1796C}"/>
    <cellStyle name="Normal 3 3 3 7" xfId="2423" xr:uid="{56A04BB6-FB35-4914-91C2-D54F894C9F87}"/>
    <cellStyle name="Normal 3 3 3 7 2" xfId="4858" xr:uid="{BE0109C5-8080-498A-A191-4EDB1F10C686}"/>
    <cellStyle name="Normal 3 3 3 8" xfId="3988" xr:uid="{6025AE90-5BD1-4BF2-B1EA-3C9E9783F915}"/>
    <cellStyle name="Normal 3 3 4" xfId="1400" xr:uid="{29872488-CEAF-4C2C-93A6-44F222264F6A}"/>
    <cellStyle name="Normal 3 3 4 2" xfId="1401" xr:uid="{841D2281-2D89-4917-A61E-78EEE297ACD8}"/>
    <cellStyle name="Normal 3 3 4 2 2" xfId="1402" xr:uid="{78ABC845-D82D-4A48-AA17-B76E92CBFD5D}"/>
    <cellStyle name="Normal 3 3 4 2 2 2" xfId="2035" xr:uid="{FF942B22-9338-42F5-A179-4E56B1628873}"/>
    <cellStyle name="Normal 3 3 4 2 2 2 2" xfId="2873" xr:uid="{075A1E6F-0CC4-4401-9044-B22B7C274A5E}"/>
    <cellStyle name="Normal 3 3 4 2 2 2 2 2" xfId="5308" xr:uid="{CDA9CACB-A5A7-4BD9-BB5E-C3A3E3752C40}"/>
    <cellStyle name="Normal 3 3 4 2 2 2 3" xfId="4552" xr:uid="{1CE1B4F0-B1E5-4C6D-8368-291DE7ADF0ED}"/>
    <cellStyle name="Normal 3 3 4 2 2 3" xfId="2437" xr:uid="{0742E5C0-69C4-424A-8120-54366EAF181D}"/>
    <cellStyle name="Normal 3 3 4 2 2 3 2" xfId="4872" xr:uid="{2E8D8213-75AC-4C63-B6FF-87DD058CFDBB}"/>
    <cellStyle name="Normal 3 3 4 2 2 4" xfId="4002" xr:uid="{96695B27-E661-4EAE-A0BC-E7057E8662FD}"/>
    <cellStyle name="Normal 3 3 4 2 3" xfId="1865" xr:uid="{0E495B2C-90D0-4009-94EF-EC301167B00F}"/>
    <cellStyle name="Normal 3 3 4 2 3 2" xfId="2703" xr:uid="{7D48FB6B-431E-42FD-BAED-E41DA294F96D}"/>
    <cellStyle name="Normal 3 3 4 2 3 2 2" xfId="5138" xr:uid="{7EA30154-FAE9-43D5-8BBB-DCE6516F8D16}"/>
    <cellStyle name="Normal 3 3 4 2 3 3" xfId="4382" xr:uid="{106F64E7-0999-4E64-B966-133B967B2000}"/>
    <cellStyle name="Normal 3 3 4 2 4" xfId="2436" xr:uid="{B3C652F5-1485-4E28-B60E-A7C42A3E1AA0}"/>
    <cellStyle name="Normal 3 3 4 2 4 2" xfId="4871" xr:uid="{BBA05002-8547-45E6-92A3-7DA3C3E1BD91}"/>
    <cellStyle name="Normal 3 3 4 2 5" xfId="4001" xr:uid="{E6DBAC2A-CBD9-4C38-B5BA-B53E15E4804A}"/>
    <cellStyle name="Normal 3 3 4 3" xfId="1403" xr:uid="{A5592C36-CB1F-44FB-8C6A-FC65247DA472}"/>
    <cellStyle name="Normal 3 3 4 3 2" xfId="1404" xr:uid="{A0772FB0-1E0D-4BF8-B349-9B855F668DAA}"/>
    <cellStyle name="Normal 3 3 4 3 2 2" xfId="2036" xr:uid="{3062394D-17C7-4FF2-8E7E-D375DBF096C4}"/>
    <cellStyle name="Normal 3 3 4 3 2 2 2" xfId="2874" xr:uid="{ED0D24A5-8DA6-4355-A708-27020363E5F3}"/>
    <cellStyle name="Normal 3 3 4 3 2 2 2 2" xfId="5309" xr:uid="{64A8DD5D-61CD-4134-B53F-9D66EC9E8265}"/>
    <cellStyle name="Normal 3 3 4 3 2 2 3" xfId="4553" xr:uid="{1F80C74C-EEF9-4B28-991E-4A011753EF6E}"/>
    <cellStyle name="Normal 3 3 4 3 2 3" xfId="2439" xr:uid="{C1F648FC-3491-4D78-9A89-0ECCADFA62E1}"/>
    <cellStyle name="Normal 3 3 4 3 2 3 2" xfId="4874" xr:uid="{2D46E281-0A7B-4277-B615-D769A0AABBBB}"/>
    <cellStyle name="Normal 3 3 4 3 2 4" xfId="4004" xr:uid="{FA78B8FD-0E93-4D2F-AD29-C9AFB555B93D}"/>
    <cellStyle name="Normal 3 3 4 3 3" xfId="1866" xr:uid="{9F15135D-A294-49DC-8E42-0AE9EA58360F}"/>
    <cellStyle name="Normal 3 3 4 3 3 2" xfId="2704" xr:uid="{5027414D-5065-4A3F-8B0C-84A7DA1A1E80}"/>
    <cellStyle name="Normal 3 3 4 3 3 2 2" xfId="5139" xr:uid="{4B3A4620-B19C-4500-91BC-D4D78AC89A5F}"/>
    <cellStyle name="Normal 3 3 4 3 3 3" xfId="4383" xr:uid="{42EA3D69-2AF8-4984-8445-FE7682362371}"/>
    <cellStyle name="Normal 3 3 4 3 4" xfId="2438" xr:uid="{E9C082EB-1113-4281-A477-9A8EB0A9C642}"/>
    <cellStyle name="Normal 3 3 4 3 4 2" xfId="4873" xr:uid="{D1B224F0-C220-408E-A9CC-951D8A0F9039}"/>
    <cellStyle name="Normal 3 3 4 3 5" xfId="4003" xr:uid="{BAEAE8A4-92CA-4D39-917C-0712B538FEE1}"/>
    <cellStyle name="Normal 3 3 4 4" xfId="1405" xr:uid="{665917CD-2E1F-4E26-B8FF-F7C883159E4C}"/>
    <cellStyle name="Normal 3 3 4 4 2" xfId="2034" xr:uid="{79D50425-2DD0-4864-A2E2-1C7AB1809674}"/>
    <cellStyle name="Normal 3 3 4 4 2 2" xfId="2872" xr:uid="{094525CE-C14F-488B-A871-9C3B16D6254A}"/>
    <cellStyle name="Normal 3 3 4 4 2 2 2" xfId="5307" xr:uid="{67E188FD-A467-41F9-A404-8708BC9BD2C8}"/>
    <cellStyle name="Normal 3 3 4 4 2 3" xfId="4551" xr:uid="{5FD7498E-45C3-469C-B481-3800972CD594}"/>
    <cellStyle name="Normal 3 3 4 4 3" xfId="2440" xr:uid="{62050D8D-BE12-41D5-828E-0359566B4F78}"/>
    <cellStyle name="Normal 3 3 4 4 3 2" xfId="4875" xr:uid="{FE8020A5-E1CB-42DB-B143-987C1FA799F5}"/>
    <cellStyle name="Normal 3 3 4 4 4" xfId="4005" xr:uid="{9EE4D275-7ACF-4027-9F44-6EC4030A2CFE}"/>
    <cellStyle name="Normal 3 3 4 5" xfId="1864" xr:uid="{2BA38CFC-E470-433E-89DB-19B166968F03}"/>
    <cellStyle name="Normal 3 3 4 5 2" xfId="2702" xr:uid="{D2EC385D-B0D6-4FC8-8141-96DAF805DFCE}"/>
    <cellStyle name="Normal 3 3 4 5 2 2" xfId="5137" xr:uid="{7F725ECD-6F11-48ED-8F44-0A568D00CD6F}"/>
    <cellStyle name="Normal 3 3 4 5 3" xfId="4381" xr:uid="{0F80D9B4-F7FC-4A2B-9C6B-2EE56E1D1917}"/>
    <cellStyle name="Normal 3 3 4 6" xfId="2435" xr:uid="{A8FFF776-9E46-423C-9D14-26A7E5F83A0D}"/>
    <cellStyle name="Normal 3 3 4 6 2" xfId="4870" xr:uid="{61A98453-D359-4660-90F8-D8AAC76A79A1}"/>
    <cellStyle name="Normal 3 3 4 7" xfId="4000" xr:uid="{9778C4BF-EAED-40DA-93A1-3BFA90CBCD5F}"/>
    <cellStyle name="Normal 3 3 5" xfId="1406" xr:uid="{64513D89-4C41-427E-80C6-2EFE86A03ECA}"/>
    <cellStyle name="Normal 3 3 5 2" xfId="1407" xr:uid="{A31384D3-45D7-4925-8E49-5F2347F08324}"/>
    <cellStyle name="Normal 3 3 5 2 2" xfId="2037" xr:uid="{C3B00606-65B8-407F-9E6C-CCB43FB6F67F}"/>
    <cellStyle name="Normal 3 3 5 2 2 2" xfId="2875" xr:uid="{4167371A-27A7-4570-A701-9D0A70377591}"/>
    <cellStyle name="Normal 3 3 5 2 2 2 2" xfId="5310" xr:uid="{5D001594-6455-46D7-AC75-0E1D7DBCC1EE}"/>
    <cellStyle name="Normal 3 3 5 2 2 3" xfId="4554" xr:uid="{A4A71CCD-357D-418E-9843-234203213E44}"/>
    <cellStyle name="Normal 3 3 5 2 3" xfId="2442" xr:uid="{E66ADC8B-3B10-4BB5-8FD0-A017042AFC0E}"/>
    <cellStyle name="Normal 3 3 5 2 3 2" xfId="4877" xr:uid="{263465DB-33FD-4B57-8E1A-0F003ACF9737}"/>
    <cellStyle name="Normal 3 3 5 2 4" xfId="4007" xr:uid="{82618909-4CE7-466C-ABDE-081D7DF8A914}"/>
    <cellStyle name="Normal 3 3 5 3" xfId="1867" xr:uid="{81E0B588-9032-4944-91A5-3CA4A913426A}"/>
    <cellStyle name="Normal 3 3 5 3 2" xfId="2705" xr:uid="{E8FCBC92-FD4E-4BFF-9C7E-B3D16879693F}"/>
    <cellStyle name="Normal 3 3 5 3 2 2" xfId="5140" xr:uid="{E6EA6B0E-F7FE-4F6E-AF32-F33C59B72194}"/>
    <cellStyle name="Normal 3 3 5 3 3" xfId="4384" xr:uid="{8A5FA0B7-37E6-4F1F-A6B9-3EF7DABAA0F3}"/>
    <cellStyle name="Normal 3 3 5 4" xfId="2441" xr:uid="{B52838F8-FAEC-4C00-9B0E-CE2CB7FE4336}"/>
    <cellStyle name="Normal 3 3 5 4 2" xfId="4876" xr:uid="{BF11BA40-B360-4951-8CB0-83E7F7D06BAF}"/>
    <cellStyle name="Normal 3 3 5 5" xfId="4006" xr:uid="{09C50C48-2449-40E1-880E-6AA976330DDF}"/>
    <cellStyle name="Normal 3 3 6" xfId="1408" xr:uid="{FD3D6FCF-34A8-411A-8BE3-AFE7EC5716BB}"/>
    <cellStyle name="Normal 3 3 6 2" xfId="1409" xr:uid="{33737B73-3DE7-4A4C-BF5E-DCBA06100E7C}"/>
    <cellStyle name="Normal 3 3 6 2 2" xfId="2038" xr:uid="{9B8E0CC8-EC71-4EC1-87CB-A41937DC0C15}"/>
    <cellStyle name="Normal 3 3 6 2 2 2" xfId="2876" xr:uid="{38ACBA66-E1B2-4311-B31C-A6D19EFCEBAA}"/>
    <cellStyle name="Normal 3 3 6 2 2 2 2" xfId="5311" xr:uid="{AACC7517-FC02-47F9-BE82-2079831E27FD}"/>
    <cellStyle name="Normal 3 3 6 2 2 3" xfId="4555" xr:uid="{E268A843-69D5-415B-BC80-1992184E3619}"/>
    <cellStyle name="Normal 3 3 6 2 3" xfId="2444" xr:uid="{0B02FB7B-0676-4846-917E-9A93708FC029}"/>
    <cellStyle name="Normal 3 3 6 2 3 2" xfId="4879" xr:uid="{F909157F-98B5-41A7-AEF1-24D10C3A2915}"/>
    <cellStyle name="Normal 3 3 6 2 4" xfId="4009" xr:uid="{89DBD383-7F8F-4681-A986-AC3098BE95FB}"/>
    <cellStyle name="Normal 3 3 6 3" xfId="1868" xr:uid="{C5F39B25-5D2C-413F-8414-B90A7BC79881}"/>
    <cellStyle name="Normal 3 3 6 3 2" xfId="2706" xr:uid="{9771CDAC-AFD3-44AE-8B19-809F349A09BF}"/>
    <cellStyle name="Normal 3 3 6 3 2 2" xfId="5141" xr:uid="{A0939E39-24EC-4CD7-AF14-7442033417A6}"/>
    <cellStyle name="Normal 3 3 6 3 3" xfId="4385" xr:uid="{E16CEC21-4528-4F45-AAC5-EEC6E0AA0EB2}"/>
    <cellStyle name="Normal 3 3 6 4" xfId="2443" xr:uid="{4F9DFD65-C4EE-4042-A278-F91E2C27438C}"/>
    <cellStyle name="Normal 3 3 6 4 2" xfId="4878" xr:uid="{AF717E19-4357-417E-BC06-7133B057DBEF}"/>
    <cellStyle name="Normal 3 3 6 5" xfId="4008" xr:uid="{1BF2D357-7D01-49B5-A21A-B46E4A3FB8DB}"/>
    <cellStyle name="Normal 3 3 7" xfId="1410" xr:uid="{177FE0B9-15D3-4FD6-914A-15C5437B15A0}"/>
    <cellStyle name="Normal 3 3 7 2" xfId="2015" xr:uid="{F656B6F6-85C5-42B1-ADE5-D49436BB353F}"/>
    <cellStyle name="Normal 3 3 7 2 2" xfId="2853" xr:uid="{6DEEBB2A-9D42-4E8B-8833-01F69C7B1044}"/>
    <cellStyle name="Normal 3 3 7 2 2 2" xfId="5288" xr:uid="{284E1A21-61D9-4317-A2D4-CC9B946B549B}"/>
    <cellStyle name="Normal 3 3 7 2 3" xfId="4532" xr:uid="{EF9CDBA5-1E6D-417D-AB8B-D40CE9EB2CD7}"/>
    <cellStyle name="Normal 3 3 7 3" xfId="2445" xr:uid="{156F23E1-9503-4B67-88E7-A811E1B5605D}"/>
    <cellStyle name="Normal 3 3 7 3 2" xfId="4880" xr:uid="{F9AFEA38-455E-43B7-B076-2528CA9DCBB8}"/>
    <cellStyle name="Normal 3 3 7 4" xfId="4010" xr:uid="{AB765D11-6BEE-4E2C-B2C4-5D287FE75B99}"/>
    <cellStyle name="Normal 3 3 8" xfId="1845" xr:uid="{DA1D3347-50FA-4D55-ABF4-28F5780F8EA0}"/>
    <cellStyle name="Normal 3 3 8 2" xfId="2683" xr:uid="{5E2BB102-164E-41E0-88EC-8331CAEA81A9}"/>
    <cellStyle name="Normal 3 3 8 2 2" xfId="5118" xr:uid="{4C62DD1D-F18A-44A6-A0E1-16C25C044664}"/>
    <cellStyle name="Normal 3 3 8 3" xfId="4362" xr:uid="{D1D6D89F-1C97-455D-8E52-A8FD8AE11F22}"/>
    <cellStyle name="Normal 3 3 9" xfId="2238" xr:uid="{67223093-6D55-4D10-866E-FB3A7E3C7A67}"/>
    <cellStyle name="Normal 3 3 9 2" xfId="4707" xr:uid="{8338E768-8237-4084-804A-EC5363B9F671}"/>
    <cellStyle name="Normal 3 4" xfId="1411" xr:uid="{E07EF025-6392-49B2-9524-0A7ADE9084F0}"/>
    <cellStyle name="Normal 3 5" xfId="1412" xr:uid="{8026D960-26CA-4BC8-A610-A5D73AB6F664}"/>
    <cellStyle name="Normal 3 5 2" xfId="1971" xr:uid="{3154FD98-1B66-4C88-98CB-F4B1522EAB50}"/>
    <cellStyle name="Normal 3 5 2 2" xfId="2809" xr:uid="{2E0D4192-9ACF-48EF-9FD3-862E0A94A21D}"/>
    <cellStyle name="Normal 3 5 2 2 2" xfId="5244" xr:uid="{AED631CC-97DF-4FC6-9B56-7F9FB3B2EC55}"/>
    <cellStyle name="Normal 3 5 2 3" xfId="4488" xr:uid="{535FBF8D-F77F-45ED-8136-F7DE7C828532}"/>
    <cellStyle name="Normal 3 5 3" xfId="2446" xr:uid="{D38533AA-7E60-4E2D-AE8F-5A21B02C7634}"/>
    <cellStyle name="Normal 3 5 3 2" xfId="4881" xr:uid="{FC9D4409-FFFD-45D3-AF45-89AB52CD2AF7}"/>
    <cellStyle name="Normal 3 5 4" xfId="4011" xr:uid="{4737EB5C-F06E-426A-808C-83B347CDE900}"/>
    <cellStyle name="Normal 3 6" xfId="1801" xr:uid="{AE5E5130-66D7-4456-96BB-04C887517A71}"/>
    <cellStyle name="Normal 3 6 2" xfId="2639" xr:uid="{9213465F-866C-46DC-9C94-DB086527884F}"/>
    <cellStyle name="Normal 3 6 2 2" xfId="5074" xr:uid="{F39775D5-5720-4F7B-9220-21181BECE1AD}"/>
    <cellStyle name="Normal 3 6 3" xfId="4318" xr:uid="{7638B34C-35F9-4624-A7D3-72AE3FCA2DBE}"/>
    <cellStyle name="Normal 3 7" xfId="2211" xr:uid="{01937FA9-C02D-43C7-B759-5DDCE3B77C71}"/>
    <cellStyle name="Normal 3 7 2" xfId="4701" xr:uid="{475CDF7F-1A87-423E-A876-DBABB37692DF}"/>
    <cellStyle name="Normal 3 8" xfId="2397" xr:uid="{4338B9C6-E7A0-455D-ADC3-4BFC1BC16ACF}"/>
    <cellStyle name="Normal 3 8 2" xfId="4832" xr:uid="{B0FC8700-B769-4F37-973C-18327EA4414A}"/>
    <cellStyle name="Normal 3 9" xfId="1360" xr:uid="{5339F9A2-E26C-4C7D-90CA-10A5E8068A28}"/>
    <cellStyle name="Normal 3 9 2" xfId="3962" xr:uid="{E47513EC-51EE-43F5-BFED-1706AF1ADD5E}"/>
    <cellStyle name="Normal 3_Incentive Updates" xfId="1413" xr:uid="{D3969A28-EB85-48D9-A55B-CC6D1D915F03}"/>
    <cellStyle name="Normal 30" xfId="2147" xr:uid="{EB1984AC-E7FA-4B85-9234-FEE0C0E6AA76}"/>
    <cellStyle name="Normal 30 2" xfId="2985" xr:uid="{A4A65E60-3D86-4347-B063-CB420775C93C}"/>
    <cellStyle name="Normal 31" xfId="2145" xr:uid="{9E1FD06A-92B1-4BC3-AE96-68F7FDAD8592}"/>
    <cellStyle name="Normal 31 2" xfId="2983" xr:uid="{3D273932-F43B-47FA-8F1D-7F9613B06AD4}"/>
    <cellStyle name="Normal 32" xfId="2150" xr:uid="{03C2B7E3-C312-434F-8F76-F1FFC81F706A}"/>
    <cellStyle name="Normal 32 2" xfId="2988" xr:uid="{B1DFB432-A4CC-489B-B342-98994B5D2767}"/>
    <cellStyle name="Normal 33" xfId="2154" xr:uid="{042BD4E1-9248-479D-8C5D-89ED33091B80}"/>
    <cellStyle name="Normal 33 2" xfId="2992" xr:uid="{B19EE2B7-0C89-419B-995F-01171C156584}"/>
    <cellStyle name="Normal 34" xfId="2153" xr:uid="{CF125725-C3AF-4B34-8F89-0C467B16FB7D}"/>
    <cellStyle name="Normal 34 2" xfId="2991" xr:uid="{0B467CEE-6FD7-45CD-A12E-650A0734F8F4}"/>
    <cellStyle name="Normal 35" xfId="2146" xr:uid="{F5D06E54-BA2A-400B-A84A-5CD98C31B4F9}"/>
    <cellStyle name="Normal 35 2" xfId="2984" xr:uid="{388D8C0C-E63F-4709-A903-47F6ABD4CDB7}"/>
    <cellStyle name="Normal 36" xfId="2151" xr:uid="{03659B4D-6997-4EFB-9244-36F68ABC88B3}"/>
    <cellStyle name="Normal 36 2" xfId="2989" xr:uid="{0E83AC94-A1A9-4F48-AAB2-87BA2B73223D}"/>
    <cellStyle name="Normal 37" xfId="2148" xr:uid="{6A183786-AA4E-45EC-BAD5-CFB09C0F7207}"/>
    <cellStyle name="Normal 37 2" xfId="2986" xr:uid="{32482FB2-AA1D-497B-AF4F-DE1EADC35E2B}"/>
    <cellStyle name="Normal 38" xfId="2158" xr:uid="{A433DD2E-9D42-4B32-8AAC-F4B99489AF18}"/>
    <cellStyle name="Normal 38 2" xfId="2996" xr:uid="{2452C8FB-CE97-480B-A0DF-2F0F7BFE5BDA}"/>
    <cellStyle name="Normal 39" xfId="2157" xr:uid="{2AC46E4D-5C15-4AA9-B9B6-262370DE1DC3}"/>
    <cellStyle name="Normal 39 2" xfId="2995" xr:uid="{80B78F04-9D59-4146-A533-50BE7AC792A5}"/>
    <cellStyle name="Normal 4" xfId="148" xr:uid="{00000000-0005-0000-0000-0000B6010000}"/>
    <cellStyle name="Normal 4 10" xfId="1415" xr:uid="{1BE2DF3A-E8D6-4A04-BB77-CA534FA64D29}"/>
    <cellStyle name="Normal 4 10 2" xfId="1416" xr:uid="{D87BE5EF-8098-4794-8A61-9C6EFFE50B0F}"/>
    <cellStyle name="Normal 4 10 2 2" xfId="2040" xr:uid="{474797E6-3EC6-4C7B-9A42-765732C8F2D7}"/>
    <cellStyle name="Normal 4 10 2 2 2" xfId="2878" xr:uid="{25C34643-D2EF-4B7B-811D-D68C0902B9FF}"/>
    <cellStyle name="Normal 4 10 2 2 2 2" xfId="5313" xr:uid="{719114A0-9D91-44B3-AD74-E2C285DE08EE}"/>
    <cellStyle name="Normal 4 10 2 2 3" xfId="4557" xr:uid="{12851DEE-FADA-40DE-8B79-808EB7352A45}"/>
    <cellStyle name="Normal 4 10 2 3" xfId="2449" xr:uid="{4B095C41-63D4-4635-BDCD-4D41C3409B55}"/>
    <cellStyle name="Normal 4 10 2 3 2" xfId="4884" xr:uid="{E14372BF-44DF-4C73-AF99-7C09E42D0EEF}"/>
    <cellStyle name="Normal 4 10 2 4" xfId="4014" xr:uid="{6068F74A-2D0E-475A-BCB3-560F97E6D2D0}"/>
    <cellStyle name="Normal 4 10 3" xfId="1870" xr:uid="{3503F00A-77CF-4E5D-A299-366FE81EB8FB}"/>
    <cellStyle name="Normal 4 10 3 2" xfId="2708" xr:uid="{EFE79BC0-E857-4949-A78F-ACA9D043128F}"/>
    <cellStyle name="Normal 4 10 3 2 2" xfId="5143" xr:uid="{269A4F99-D996-4F43-88F5-9FB8676534C0}"/>
    <cellStyle name="Normal 4 10 3 3" xfId="4387" xr:uid="{5E7753AC-7974-4960-8764-F3525C36CEFF}"/>
    <cellStyle name="Normal 4 10 4" xfId="2448" xr:uid="{801B24CB-8456-444F-90B3-2A48340AB901}"/>
    <cellStyle name="Normal 4 10 4 2" xfId="4883" xr:uid="{0547582D-CA10-403F-9653-1FE316E9C24E}"/>
    <cellStyle name="Normal 4 10 5" xfId="4013" xr:uid="{47B423A3-6C87-4724-AE3E-3C2A03A72B30}"/>
    <cellStyle name="Normal 4 11" xfId="1417" xr:uid="{E31DF5AA-71E0-403C-AB87-D036CC23DCCA}"/>
    <cellStyle name="Normal 4 11 2" xfId="1418" xr:uid="{BE232B32-7EE7-4C04-9611-CF485921CEEE}"/>
    <cellStyle name="Normal 4 11 2 2" xfId="2039" xr:uid="{8B88AE50-0BB1-4921-A78D-9059D8DC5341}"/>
    <cellStyle name="Normal 4 11 2 2 2" xfId="2877" xr:uid="{CDB89B80-33AF-4B7E-BF50-E20696542D13}"/>
    <cellStyle name="Normal 4 11 2 2 2 2" xfId="5312" xr:uid="{B19CD8B0-6D81-4757-9F9E-E2CEB4A0A8AE}"/>
    <cellStyle name="Normal 4 11 2 2 3" xfId="4556" xr:uid="{BAC5408D-A7D0-49EA-959E-55955D4FAA83}"/>
    <cellStyle name="Normal 4 11 2 3" xfId="2451" xr:uid="{F991B8BE-CBF8-4CD0-918B-1071E4D70F19}"/>
    <cellStyle name="Normal 4 11 2 3 2" xfId="4886" xr:uid="{A4BCA45A-EB0B-4052-AEBC-BA2BC685EFCC}"/>
    <cellStyle name="Normal 4 11 2 4" xfId="4016" xr:uid="{1D66AEBF-BA8D-4A5C-A041-FC1B861FA249}"/>
    <cellStyle name="Normal 4 11 3" xfId="1869" xr:uid="{9D21628D-F37E-4D0D-891C-BFFFEB29BE14}"/>
    <cellStyle name="Normal 4 11 3 2" xfId="2707" xr:uid="{981A7E47-6ACB-4EE8-8461-AA96CF9A6637}"/>
    <cellStyle name="Normal 4 11 3 2 2" xfId="5142" xr:uid="{696D8BC5-2493-4591-80EA-6D5909F79210}"/>
    <cellStyle name="Normal 4 11 3 3" xfId="4386" xr:uid="{993F8755-F726-4AD6-A33F-4FFBBEDD9189}"/>
    <cellStyle name="Normal 4 11 4" xfId="2450" xr:uid="{4E7992CB-C4B0-4510-8EA8-EA0FDCAD0976}"/>
    <cellStyle name="Normal 4 11 4 2" xfId="4885" xr:uid="{942B3467-EA58-4755-AD80-7E3B3AB1E734}"/>
    <cellStyle name="Normal 4 11 5" xfId="4015" xr:uid="{3E83B5D5-700B-45AF-AE2E-6A98ADC66D48}"/>
    <cellStyle name="Normal 4 12" xfId="1419" xr:uid="{C2675D15-315A-4588-A442-F1834919F03C}"/>
    <cellStyle name="Normal 4 12 2" xfId="1972" xr:uid="{458578E6-801C-4E86-805E-3BDF025052D2}"/>
    <cellStyle name="Normal 4 12 2 2" xfId="2810" xr:uid="{915344BF-27CF-4D64-909E-A52F371A4AB0}"/>
    <cellStyle name="Normal 4 12 2 2 2" xfId="5245" xr:uid="{018E0805-E0F1-4BA3-BFA2-7FA2F2366DC6}"/>
    <cellStyle name="Normal 4 12 2 3" xfId="4489" xr:uid="{841F1D21-B2B1-413D-A7E2-EE2CB24A3E02}"/>
    <cellStyle name="Normal 4 12 3" xfId="2452" xr:uid="{1F5BB8FA-3E8D-4099-8305-C1C385E1F88C}"/>
    <cellStyle name="Normal 4 12 3 2" xfId="4887" xr:uid="{56B84EFB-A44B-44B7-A25D-CF15D4DC0416}"/>
    <cellStyle name="Normal 4 12 4" xfId="4017" xr:uid="{EA11F2E1-539D-4391-AF74-3309F43F2F3D}"/>
    <cellStyle name="Normal 4 13" xfId="1802" xr:uid="{57F4B076-F719-4377-A171-ED751CA88326}"/>
    <cellStyle name="Normal 4 13 2" xfId="2640" xr:uid="{212FB2C4-E530-4B5D-AB8C-984984C0182B}"/>
    <cellStyle name="Normal 4 13 2 2" xfId="5075" xr:uid="{1CE43B8A-0EF4-44B0-883D-F0232764FB97}"/>
    <cellStyle name="Normal 4 13 3" xfId="4319" xr:uid="{40790331-AE13-462F-BC88-BCDB1B9F1B87}"/>
    <cellStyle name="Normal 4 14" xfId="2212" xr:uid="{C6763DA5-5318-4333-A471-9CCB44A4CC81}"/>
    <cellStyle name="Normal 4 14 2" xfId="4702" xr:uid="{6E104FC1-3AC7-4501-8C2C-346CAB50C0B7}"/>
    <cellStyle name="Normal 4 15" xfId="2447" xr:uid="{C0BECD78-7F86-4D73-9846-7A445EFEAD39}"/>
    <cellStyle name="Normal 4 15 2" xfId="4882" xr:uid="{7C18B373-1066-4032-8D72-C879597BBB08}"/>
    <cellStyle name="Normal 4 16" xfId="1414" xr:uid="{B496AEFD-17AA-4AEA-9CBA-0888E904FC39}"/>
    <cellStyle name="Normal 4 16 2" xfId="4012" xr:uid="{896D612F-9991-46A7-9400-F5434A3278D1}"/>
    <cellStyle name="Normal 4 2" xfId="526" xr:uid="{00000000-0005-0000-0000-0000B7010000}"/>
    <cellStyle name="Normal 4 2 2" xfId="1421" xr:uid="{3E8B6682-E608-4994-9D5F-DA6519C99EC7}"/>
    <cellStyle name="Normal 4 2 3" xfId="1422" xr:uid="{F2F23754-5CA1-4989-ACC3-228BFED9D049}"/>
    <cellStyle name="Normal 4 2 3 2" xfId="2041" xr:uid="{5FC90356-4814-4BCE-ABA7-C126D29F3832}"/>
    <cellStyle name="Normal 4 2 3 2 2" xfId="2879" xr:uid="{5337AD9B-8649-4117-BCF7-0C0FBB4F1DED}"/>
    <cellStyle name="Normal 4 2 3 2 2 2" xfId="5314" xr:uid="{F5B3A855-4774-43CB-9A7C-5BE3826906BF}"/>
    <cellStyle name="Normal 4 2 3 2 3" xfId="4558" xr:uid="{144A87C3-9719-4754-A902-C2F8B72A9FF5}"/>
    <cellStyle name="Normal 4 2 3 3" xfId="2454" xr:uid="{86B853D3-0648-425E-9A2D-D413211D119B}"/>
    <cellStyle name="Normal 4 2 3 3 2" xfId="4889" xr:uid="{B0F713C0-B098-4BD7-91A2-B576D63D1231}"/>
    <cellStyle name="Normal 4 2 3 4" xfId="4019" xr:uid="{469A8274-1778-44DC-AC1A-B3F5D027D04D}"/>
    <cellStyle name="Normal 4 2 4" xfId="1871" xr:uid="{D5863288-E899-4115-9C51-94A6218A7911}"/>
    <cellStyle name="Normal 4 2 4 2" xfId="2709" xr:uid="{9B31484D-2940-4239-BF0A-50C171192BDD}"/>
    <cellStyle name="Normal 4 2 4 2 2" xfId="5144" xr:uid="{2FCF1EAE-DFE2-40C3-B1DC-4D5412BBAE5E}"/>
    <cellStyle name="Normal 4 2 4 3" xfId="4388" xr:uid="{E9718130-ADD9-4B9E-9381-F97D99741792}"/>
    <cellStyle name="Normal 4 2 5" xfId="2239" xr:uid="{8BFA4B12-02EB-4D46-A543-A51021E5129A}"/>
    <cellStyle name="Normal 4 2 5 2" xfId="4708" xr:uid="{0E69F372-B876-4F2D-86B6-FC24C7CDD8E6}"/>
    <cellStyle name="Normal 4 2 6" xfId="2453" xr:uid="{C333BE56-60BC-4572-80D4-B630E3BD9236}"/>
    <cellStyle name="Normal 4 2 6 2" xfId="4888" xr:uid="{39A7FF67-6B2E-47B2-ACF5-6072066B76C0}"/>
    <cellStyle name="Normal 4 2 7" xfId="1420" xr:uid="{E22DB21D-3CCA-4A75-A6DB-1CEA16C08A21}"/>
    <cellStyle name="Normal 4 2 7 2" xfId="4018" xr:uid="{62A93309-6712-461C-B190-68DCD848436B}"/>
    <cellStyle name="Normal 4 3" xfId="1423" xr:uid="{90783ECF-349C-42B6-AAA5-43F8608AB97B}"/>
    <cellStyle name="Normal 4 3 2" xfId="1424" xr:uid="{C27E44D1-6BE5-48B5-A78E-0D78C4CF7F7D}"/>
    <cellStyle name="Normal 4 3 2 2" xfId="1425" xr:uid="{0895EE86-050C-4FFF-9535-C26B32CD2FD1}"/>
    <cellStyle name="Normal 4 3 2 2 2" xfId="2042" xr:uid="{FDB59BB0-6168-4614-A64F-7A3CCA0F015C}"/>
    <cellStyle name="Normal 4 3 2 2 2 2" xfId="2880" xr:uid="{D63EE033-C852-42C7-AEAB-DC476DD0DB4D}"/>
    <cellStyle name="Normal 4 3 2 2 2 2 2" xfId="5315" xr:uid="{BE7CFFCD-B926-4BE2-ACF4-B2676A970AA9}"/>
    <cellStyle name="Normal 4 3 2 2 2 3" xfId="4559" xr:uid="{A8DCB4D2-BCE3-488F-8ADD-B3333623B1D3}"/>
    <cellStyle name="Normal 4 3 2 2 3" xfId="2456" xr:uid="{5742E25E-E816-49DC-9F0C-ACEAFBB57BAB}"/>
    <cellStyle name="Normal 4 3 2 2 3 2" xfId="4891" xr:uid="{1710859E-04CB-41FB-8B95-67189F57FF30}"/>
    <cellStyle name="Normal 4 3 2 2 4" xfId="4021" xr:uid="{B58CD651-67D6-4202-9812-7005862BF350}"/>
    <cellStyle name="Normal 4 3 2 3" xfId="1872" xr:uid="{B4856B71-0879-4DFB-889D-D0845C997D55}"/>
    <cellStyle name="Normal 4 3 2 3 2" xfId="2710" xr:uid="{0CB65072-B25B-46A3-AF23-36DCA7580F4E}"/>
    <cellStyle name="Normal 4 3 2 3 2 2" xfId="5145" xr:uid="{D5C3B2A6-AA33-4DCC-BCCC-C3667356F220}"/>
    <cellStyle name="Normal 4 3 2 3 3" xfId="4389" xr:uid="{0A6F1E10-624E-4C5B-A27C-08CD3D23923B}"/>
    <cellStyle name="Normal 4 3 2 4" xfId="2455" xr:uid="{0362333F-8C70-45AF-AA44-FD0EA3CAB068}"/>
    <cellStyle name="Normal 4 3 2 4 2" xfId="4890" xr:uid="{DB2D5FDF-BD53-48A6-956F-9ECE89CCF3E0}"/>
    <cellStyle name="Normal 4 3 2 5" xfId="4020" xr:uid="{54E6F5FD-EADB-4157-A16F-2675B686B8A7}"/>
    <cellStyle name="Normal 4 4" xfId="1426" xr:uid="{10F48314-4B1F-4599-910F-536433DC0892}"/>
    <cellStyle name="Normal 4 4 2" xfId="1427" xr:uid="{26EC271B-8E79-4315-B147-A60AC4AAC0A4}"/>
    <cellStyle name="Normal 4 5" xfId="1428" xr:uid="{B575BC4C-51F0-477C-A197-6F2E726F71F5}"/>
    <cellStyle name="Normal 4 6" xfId="1429" xr:uid="{466E2276-04EB-494A-AE89-748BACB6583D}"/>
    <cellStyle name="Normal 4 6 2" xfId="1430" xr:uid="{50D3746E-3BD7-432E-8FC2-D9AC50EC4458}"/>
    <cellStyle name="Normal 4 6 2 2" xfId="1431" xr:uid="{62E76B8F-C830-4A60-B406-940C85D31F3D}"/>
    <cellStyle name="Normal 4 6 2 2 2" xfId="1432" xr:uid="{9813F9E8-7FF1-417C-9A54-9BC5858777AA}"/>
    <cellStyle name="Normal 4 6 2 2 2 2" xfId="2045" xr:uid="{56EBC6B3-0CB4-4206-AE23-2656F6850B15}"/>
    <cellStyle name="Normal 4 6 2 2 2 2 2" xfId="2883" xr:uid="{20B62EEB-78F3-4681-8434-1906138694AD}"/>
    <cellStyle name="Normal 4 6 2 2 2 2 2 2" xfId="5318" xr:uid="{CD74940A-1210-4902-830F-1FDF8EAD5CCE}"/>
    <cellStyle name="Normal 4 6 2 2 2 2 3" xfId="4562" xr:uid="{93927BC9-A06E-4636-B70B-127807266E1D}"/>
    <cellStyle name="Normal 4 6 2 2 2 3" xfId="2460" xr:uid="{4131F70C-5FD2-4D6C-BDA2-041357C18EFF}"/>
    <cellStyle name="Normal 4 6 2 2 2 3 2" xfId="4895" xr:uid="{8BB2F9B5-B27D-4ED7-9B43-CD71B629FB50}"/>
    <cellStyle name="Normal 4 6 2 2 2 4" xfId="4025" xr:uid="{5BD34746-D110-46C0-A3B3-8224C6607C53}"/>
    <cellStyle name="Normal 4 6 2 2 3" xfId="1875" xr:uid="{54234563-2460-401B-9890-2B1A84C8A454}"/>
    <cellStyle name="Normal 4 6 2 2 3 2" xfId="2713" xr:uid="{1D6EC568-6CE7-4772-A4CC-8DEA4D51AADC}"/>
    <cellStyle name="Normal 4 6 2 2 3 2 2" xfId="5148" xr:uid="{BCE00C4E-FB55-4966-BE5D-16F505410B5D}"/>
    <cellStyle name="Normal 4 6 2 2 3 3" xfId="4392" xr:uid="{FAB2241A-8873-4766-ABB8-30ABF093999A}"/>
    <cellStyle name="Normal 4 6 2 2 4" xfId="2459" xr:uid="{973FEA00-9FB0-4775-AAC5-C2E643486BBB}"/>
    <cellStyle name="Normal 4 6 2 2 4 2" xfId="4894" xr:uid="{04240FB5-C27A-42B4-83C9-2298CA7EF1D5}"/>
    <cellStyle name="Normal 4 6 2 2 5" xfId="4024" xr:uid="{F096323C-5FF2-4AC9-BDEF-E95E14FF6A5C}"/>
    <cellStyle name="Normal 4 6 2 3" xfId="1433" xr:uid="{3083BE82-C028-4BEA-A637-B71F770E252F}"/>
    <cellStyle name="Normal 4 6 2 3 2" xfId="1434" xr:uid="{C7D544F5-8882-4C01-8F25-0DBFEFD4C1F8}"/>
    <cellStyle name="Normal 4 6 2 3 2 2" xfId="2046" xr:uid="{C0735A62-52FF-4678-A2A6-EBB18CE58F08}"/>
    <cellStyle name="Normal 4 6 2 3 2 2 2" xfId="2884" xr:uid="{4FE45C9F-FEBA-4DAF-9DDC-F192B407A60A}"/>
    <cellStyle name="Normal 4 6 2 3 2 2 2 2" xfId="5319" xr:uid="{C208CA13-3114-4D8E-B28F-4CF04462D9B5}"/>
    <cellStyle name="Normal 4 6 2 3 2 2 3" xfId="4563" xr:uid="{3D15BEB3-7053-4817-93F8-121707D4CA10}"/>
    <cellStyle name="Normal 4 6 2 3 2 3" xfId="2462" xr:uid="{1E3B1081-89B0-4822-AAE3-103D4D835651}"/>
    <cellStyle name="Normal 4 6 2 3 2 3 2" xfId="4897" xr:uid="{122146DC-964E-4CA6-8AB5-0E637BBCAB78}"/>
    <cellStyle name="Normal 4 6 2 3 2 4" xfId="4027" xr:uid="{21E68CBC-D217-43A4-B700-56094F58849A}"/>
    <cellStyle name="Normal 4 6 2 3 3" xfId="1876" xr:uid="{DE07F520-FA4C-4D4B-96F4-795A6B558887}"/>
    <cellStyle name="Normal 4 6 2 3 3 2" xfId="2714" xr:uid="{70C31B90-BBB6-4817-949C-DA2E3A0ED760}"/>
    <cellStyle name="Normal 4 6 2 3 3 2 2" xfId="5149" xr:uid="{B51F2859-ED5D-4806-841E-F8E485598FBD}"/>
    <cellStyle name="Normal 4 6 2 3 3 3" xfId="4393" xr:uid="{8D6825B3-0965-47DD-8C90-D8A6EFA5F9B5}"/>
    <cellStyle name="Normal 4 6 2 3 4" xfId="2461" xr:uid="{BE2315A9-A79D-4D58-AF9E-B002EF2EDB3E}"/>
    <cellStyle name="Normal 4 6 2 3 4 2" xfId="4896" xr:uid="{C63BCD25-DBDC-49AC-BA11-D9820809E420}"/>
    <cellStyle name="Normal 4 6 2 3 5" xfId="4026" xr:uid="{1A9362D9-7AA9-43DE-941F-F8E5E149EBE9}"/>
    <cellStyle name="Normal 4 6 2 4" xfId="1435" xr:uid="{7685870A-C047-4C99-A0BF-1701062D3354}"/>
    <cellStyle name="Normal 4 6 2 4 2" xfId="2044" xr:uid="{798DA74D-08DF-4DED-8B9C-1C1506BC42ED}"/>
    <cellStyle name="Normal 4 6 2 4 2 2" xfId="2882" xr:uid="{9BC80D4D-FA01-4E59-B917-70D765CA0989}"/>
    <cellStyle name="Normal 4 6 2 4 2 2 2" xfId="5317" xr:uid="{C47E416D-7055-4168-AC8F-75A3BF239000}"/>
    <cellStyle name="Normal 4 6 2 4 2 3" xfId="4561" xr:uid="{B7C2E245-5453-418B-9BF5-185A7EAF3D10}"/>
    <cellStyle name="Normal 4 6 2 4 3" xfId="2463" xr:uid="{63FE4BDB-C9BD-4503-9D20-D208D220B406}"/>
    <cellStyle name="Normal 4 6 2 4 3 2" xfId="4898" xr:uid="{A5077B30-1F46-4E2F-B166-7FAC0844CF60}"/>
    <cellStyle name="Normal 4 6 2 4 4" xfId="4028" xr:uid="{0CFCDC1E-5BE4-461A-86D0-07D4964EF215}"/>
    <cellStyle name="Normal 4 6 2 5" xfId="1874" xr:uid="{973D753B-4B02-424F-B827-B46D26EA69ED}"/>
    <cellStyle name="Normal 4 6 2 5 2" xfId="2712" xr:uid="{CB97BAA2-3859-4EA1-9439-8586C8258A66}"/>
    <cellStyle name="Normal 4 6 2 5 2 2" xfId="5147" xr:uid="{EF09B441-62DE-41AD-9513-FD62418A4BBD}"/>
    <cellStyle name="Normal 4 6 2 5 3" xfId="4391" xr:uid="{61D018AD-7B81-465A-8629-0C7FF7BED436}"/>
    <cellStyle name="Normal 4 6 2 6" xfId="2458" xr:uid="{AA81057F-D192-404A-A8E8-9071E5A4ADE6}"/>
    <cellStyle name="Normal 4 6 2 6 2" xfId="4893" xr:uid="{10558653-832F-420D-9D5B-B9EC151A291A}"/>
    <cellStyle name="Normal 4 6 2 7" xfId="4023" xr:uid="{BF1FD5BF-6D48-44AE-A296-D0215D5C3682}"/>
    <cellStyle name="Normal 4 6 3" xfId="1436" xr:uid="{A88E3927-5C89-483F-843D-84143B845777}"/>
    <cellStyle name="Normal 4 6 3 2" xfId="1437" xr:uid="{C587A701-EC3B-4F1D-ADED-CB54A56D5151}"/>
    <cellStyle name="Normal 4 6 3 2 2" xfId="2047" xr:uid="{BDC8E6A6-F802-440A-93AB-FE2AC2FAF50B}"/>
    <cellStyle name="Normal 4 6 3 2 2 2" xfId="2885" xr:uid="{75ABF46E-A8C1-4135-B512-D0117323D769}"/>
    <cellStyle name="Normal 4 6 3 2 2 2 2" xfId="5320" xr:uid="{C32D534B-5787-484A-817C-F3F2A6A40055}"/>
    <cellStyle name="Normal 4 6 3 2 2 3" xfId="4564" xr:uid="{F706264E-E4C1-4F91-95EA-BFA6D65A96C1}"/>
    <cellStyle name="Normal 4 6 3 2 3" xfId="2465" xr:uid="{5A2DBE64-45DA-4212-A44A-54DB40C37055}"/>
    <cellStyle name="Normal 4 6 3 2 3 2" xfId="4900" xr:uid="{61F742CB-04DB-4464-9F85-AFAB39FC0BBA}"/>
    <cellStyle name="Normal 4 6 3 2 4" xfId="4030" xr:uid="{8256C4AD-F679-4712-84B0-670DD9908C17}"/>
    <cellStyle name="Normal 4 6 3 3" xfId="1877" xr:uid="{5BBE7A73-9613-4479-9A5B-E8417AD7049E}"/>
    <cellStyle name="Normal 4 6 3 3 2" xfId="2715" xr:uid="{AD255259-EF28-4D48-98CF-3BC0804EAC48}"/>
    <cellStyle name="Normal 4 6 3 3 2 2" xfId="5150" xr:uid="{1D99E74D-766E-40E5-A771-3A52F40F7134}"/>
    <cellStyle name="Normal 4 6 3 3 3" xfId="4394" xr:uid="{D3F18292-5A86-4AB1-A5A6-3F9E481A7C3B}"/>
    <cellStyle name="Normal 4 6 3 4" xfId="2464" xr:uid="{03FBC877-9BFA-4D45-BAA9-8CE6AC874AA9}"/>
    <cellStyle name="Normal 4 6 3 4 2" xfId="4899" xr:uid="{53409D70-B45A-4775-8E73-0E2922E18E91}"/>
    <cellStyle name="Normal 4 6 3 5" xfId="4029" xr:uid="{8C1E8B8B-7492-41E0-8F16-63AB36D2E01A}"/>
    <cellStyle name="Normal 4 6 4" xfId="1438" xr:uid="{3ADE5F29-6162-4CC6-9939-5A7759483DF6}"/>
    <cellStyle name="Normal 4 6 4 2" xfId="1439" xr:uid="{9C956B0A-D923-4F46-A4EE-8CF25CA52E25}"/>
    <cellStyle name="Normal 4 6 4 2 2" xfId="2048" xr:uid="{FCDD54C5-DBD0-4047-B921-955540F9F95A}"/>
    <cellStyle name="Normal 4 6 4 2 2 2" xfId="2886" xr:uid="{00422412-2BBA-470E-83E7-05F8FBF0AEEF}"/>
    <cellStyle name="Normal 4 6 4 2 2 2 2" xfId="5321" xr:uid="{439FC446-7D45-44ED-82C8-A5FB559245BE}"/>
    <cellStyle name="Normal 4 6 4 2 2 3" xfId="4565" xr:uid="{824FA100-1D34-4969-801F-47E22C067E5B}"/>
    <cellStyle name="Normal 4 6 4 2 3" xfId="2467" xr:uid="{A55FA090-2633-4C7E-8203-1CA3C44A89A3}"/>
    <cellStyle name="Normal 4 6 4 2 3 2" xfId="4902" xr:uid="{71E46671-27D0-4B74-BBF4-AF96CA15768F}"/>
    <cellStyle name="Normal 4 6 4 2 4" xfId="4032" xr:uid="{B6073619-C6AA-4E33-8A91-826F68341C65}"/>
    <cellStyle name="Normal 4 6 4 3" xfId="1878" xr:uid="{B10AD301-133D-48CF-938B-C8FD426F1AD5}"/>
    <cellStyle name="Normal 4 6 4 3 2" xfId="2716" xr:uid="{4EA15C64-6731-4FE6-BC33-93FE40CCD1A8}"/>
    <cellStyle name="Normal 4 6 4 3 2 2" xfId="5151" xr:uid="{C2561033-5E89-494D-B6BB-622822F57F7D}"/>
    <cellStyle name="Normal 4 6 4 3 3" xfId="4395" xr:uid="{13B87717-E6D9-4596-A098-65F59874B98D}"/>
    <cellStyle name="Normal 4 6 4 4" xfId="2466" xr:uid="{B4F27700-57BA-437C-8C0B-C5D0300DDAA7}"/>
    <cellStyle name="Normal 4 6 4 4 2" xfId="4901" xr:uid="{E6B6E6E8-E0B3-4DF0-84AD-FA16A6856107}"/>
    <cellStyle name="Normal 4 6 4 5" xfId="4031" xr:uid="{5757C5BE-6F3D-4FE1-9F3B-364BD56BEA42}"/>
    <cellStyle name="Normal 4 6 5" xfId="1440" xr:uid="{5529D59E-F711-47D2-9E2F-294B7FD0334F}"/>
    <cellStyle name="Normal 4 6 5 2" xfId="2043" xr:uid="{681AB269-9F92-4940-9D75-996C5C906CD5}"/>
    <cellStyle name="Normal 4 6 5 2 2" xfId="2881" xr:uid="{0EFB0F9E-DEF2-45D7-BA4F-62EAD558C49A}"/>
    <cellStyle name="Normal 4 6 5 2 2 2" xfId="5316" xr:uid="{5FABCF2F-9763-475D-BA93-03D031AA71C1}"/>
    <cellStyle name="Normal 4 6 5 2 3" xfId="4560" xr:uid="{036422C0-13C9-4323-B554-2F32109732F3}"/>
    <cellStyle name="Normal 4 6 5 3" xfId="2468" xr:uid="{B9DD7042-CEBF-4012-AE3D-17A97F0A0875}"/>
    <cellStyle name="Normal 4 6 5 3 2" xfId="4903" xr:uid="{04669035-AA24-471E-A8EA-5B35B9ECE7AF}"/>
    <cellStyle name="Normal 4 6 5 4" xfId="4033" xr:uid="{3268616B-37C1-41E1-8A8A-25A9CA7F45AF}"/>
    <cellStyle name="Normal 4 6 6" xfId="1873" xr:uid="{838CBE68-CE96-46A0-A151-4D4BDB6F83D1}"/>
    <cellStyle name="Normal 4 6 6 2" xfId="2711" xr:uid="{93232B3B-1A78-44A2-B8C2-634FCE164D55}"/>
    <cellStyle name="Normal 4 6 6 2 2" xfId="5146" xr:uid="{0E288EB3-0F0E-448E-A2DE-E67DE7427D0E}"/>
    <cellStyle name="Normal 4 6 6 3" xfId="4390" xr:uid="{1C2D5689-F1A9-4788-B8B0-5798895A6DC9}"/>
    <cellStyle name="Normal 4 6 7" xfId="2457" xr:uid="{334A6610-4525-4AC8-9493-8278EF16AB75}"/>
    <cellStyle name="Normal 4 6 7 2" xfId="4892" xr:uid="{3213FACD-F68B-4182-B01C-1E25F711EEFD}"/>
    <cellStyle name="Normal 4 6 8" xfId="4022" xr:uid="{3F0EE19F-820F-49E8-B779-A9EE03DFFBB4}"/>
    <cellStyle name="Normal 4 7" xfId="1441" xr:uid="{6D19813C-0D74-4697-A469-8F01DF008D81}"/>
    <cellStyle name="Normal 4 7 2" xfId="1442" xr:uid="{274E7570-A075-4788-8F6A-8FB84F3AB1D0}"/>
    <cellStyle name="Normal 4 7 2 2" xfId="1443" xr:uid="{49075640-5CC0-4858-A839-DAD3AE47394C}"/>
    <cellStyle name="Normal 4 7 2 2 2" xfId="2050" xr:uid="{F67F6F0A-C25E-444C-9183-61A059FA4560}"/>
    <cellStyle name="Normal 4 7 2 2 2 2" xfId="2888" xr:uid="{F88DE09E-C882-44D1-A310-2879C3E48B40}"/>
    <cellStyle name="Normal 4 7 2 2 2 2 2" xfId="5323" xr:uid="{22115814-EC69-4094-8338-EB18F43B0C25}"/>
    <cellStyle name="Normal 4 7 2 2 2 3" xfId="4567" xr:uid="{484C0353-77B2-4652-B691-6231BCE8845F}"/>
    <cellStyle name="Normal 4 7 2 2 3" xfId="2471" xr:uid="{2D85F0FD-ADEF-4301-9452-92D8FE5FA373}"/>
    <cellStyle name="Normal 4 7 2 2 3 2" xfId="4906" xr:uid="{E0E1DBE1-132B-4375-9B6C-FE13D9F3BCE1}"/>
    <cellStyle name="Normal 4 7 2 2 4" xfId="4036" xr:uid="{2944148E-CAAB-44CF-8F88-295C8FCC4386}"/>
    <cellStyle name="Normal 4 7 2 3" xfId="1880" xr:uid="{6FEFBFD5-CC97-466A-B966-7B4E1850B3D1}"/>
    <cellStyle name="Normal 4 7 2 3 2" xfId="2718" xr:uid="{F6B2717C-439A-4755-A364-40BF2D0B1407}"/>
    <cellStyle name="Normal 4 7 2 3 2 2" xfId="5153" xr:uid="{64793ACA-938C-416B-B491-FA0636FB035E}"/>
    <cellStyle name="Normal 4 7 2 3 3" xfId="4397" xr:uid="{E95CF95F-F2E3-400C-823B-D19673E5F257}"/>
    <cellStyle name="Normal 4 7 2 4" xfId="2470" xr:uid="{50920F58-4314-4D57-9B6B-CB597468B788}"/>
    <cellStyle name="Normal 4 7 2 4 2" xfId="4905" xr:uid="{E76C06AA-8864-4268-AE42-98DE847F0C23}"/>
    <cellStyle name="Normal 4 7 2 5" xfId="4035" xr:uid="{73884499-37A9-49B7-AFCB-2301AAEEE436}"/>
    <cellStyle name="Normal 4 7 3" xfId="1444" xr:uid="{2AE194A7-D00B-488E-B731-0FE33B4FD571}"/>
    <cellStyle name="Normal 4 7 3 2" xfId="1445" xr:uid="{618288DF-54D5-4610-B0CF-C29A5805B2F9}"/>
    <cellStyle name="Normal 4 7 3 2 2" xfId="2051" xr:uid="{8165C4DD-70B1-4FAB-AE0C-B582DC57CAE4}"/>
    <cellStyle name="Normal 4 7 3 2 2 2" xfId="2889" xr:uid="{2DD9CC5E-DB69-4339-A930-53B05FE5308C}"/>
    <cellStyle name="Normal 4 7 3 2 2 2 2" xfId="5324" xr:uid="{7AAFE9E8-80EE-4FB9-A5F5-189E97A86C3F}"/>
    <cellStyle name="Normal 4 7 3 2 2 3" xfId="4568" xr:uid="{A7A4E4F7-9323-4283-8B32-315CEFED7FD9}"/>
    <cellStyle name="Normal 4 7 3 2 3" xfId="2473" xr:uid="{56CB45A4-C19F-4A14-B173-32A3FE35A135}"/>
    <cellStyle name="Normal 4 7 3 2 3 2" xfId="4908" xr:uid="{DB6AE911-78F0-4524-B149-A2465A84B277}"/>
    <cellStyle name="Normal 4 7 3 2 4" xfId="4038" xr:uid="{77E27D78-D974-4D30-8F21-9DE45E76A12A}"/>
    <cellStyle name="Normal 4 7 3 3" xfId="1881" xr:uid="{887B1CAF-DD4A-4EFF-A2FE-74C301FD3862}"/>
    <cellStyle name="Normal 4 7 3 3 2" xfId="2719" xr:uid="{B9855D14-C8A6-4D54-BF05-6E25B47E7C26}"/>
    <cellStyle name="Normal 4 7 3 3 2 2" xfId="5154" xr:uid="{B134FB12-1BF8-41C2-82CC-CAEFEE7AB882}"/>
    <cellStyle name="Normal 4 7 3 3 3" xfId="4398" xr:uid="{D9506790-4B3D-49A8-A91B-4CFD436DF499}"/>
    <cellStyle name="Normal 4 7 3 4" xfId="2472" xr:uid="{B3822C67-3739-47E2-85A7-B8AABAD7E22B}"/>
    <cellStyle name="Normal 4 7 3 4 2" xfId="4907" xr:uid="{56086B24-366F-4BF1-B7B5-968AEFF8DE53}"/>
    <cellStyle name="Normal 4 7 3 5" xfId="4037" xr:uid="{9C0A4BC8-090B-4E23-A2E6-200122297B5C}"/>
    <cellStyle name="Normal 4 7 4" xfId="1446" xr:uid="{7DFE28CB-EE08-478B-911A-69CF0808316E}"/>
    <cellStyle name="Normal 4 7 4 2" xfId="2049" xr:uid="{80DB77B7-EE3A-4E07-83BB-841CEBC0F2AA}"/>
    <cellStyle name="Normal 4 7 4 2 2" xfId="2887" xr:uid="{75A459BA-04D7-4A05-91BF-AC7A86F972AB}"/>
    <cellStyle name="Normal 4 7 4 2 2 2" xfId="5322" xr:uid="{3F06D13A-C637-4DE1-A4B7-D7CD0E9B7E61}"/>
    <cellStyle name="Normal 4 7 4 2 3" xfId="4566" xr:uid="{C85C73B2-2BF8-4775-864C-E828EEC068D7}"/>
    <cellStyle name="Normal 4 7 4 3" xfId="2474" xr:uid="{ADB7D63D-4593-483F-B1DF-7A81208DE749}"/>
    <cellStyle name="Normal 4 7 4 3 2" xfId="4909" xr:uid="{D36E8B7C-B32C-4EED-B83F-8BD46143B92D}"/>
    <cellStyle name="Normal 4 7 4 4" xfId="4039" xr:uid="{09CED49F-6017-4FCE-BA6A-347D10F711E5}"/>
    <cellStyle name="Normal 4 7 5" xfId="1879" xr:uid="{09DACF4E-CEC4-4F23-BD12-C72385493460}"/>
    <cellStyle name="Normal 4 7 5 2" xfId="2717" xr:uid="{AE198D66-DCE2-4C5F-A8C7-6DFC4CC274CE}"/>
    <cellStyle name="Normal 4 7 5 2 2" xfId="5152" xr:uid="{78DFE5B4-8B4E-43FA-9A8F-DD59DE241DD8}"/>
    <cellStyle name="Normal 4 7 5 3" xfId="4396" xr:uid="{0E971057-20BE-4C20-9505-51D690ECD0F1}"/>
    <cellStyle name="Normal 4 7 6" xfId="2469" xr:uid="{0DA17CEE-83E9-4663-A93D-B87A3F0DE97A}"/>
    <cellStyle name="Normal 4 7 6 2" xfId="4904" xr:uid="{9E977966-1D76-40A8-9B53-16023BB46549}"/>
    <cellStyle name="Normal 4 7 7" xfId="4034" xr:uid="{E0955BE2-1421-4414-A10E-F0D2828501DC}"/>
    <cellStyle name="Normal 4 8" xfId="1447" xr:uid="{2ED07110-A5A3-4EB3-B373-0E0DDC685D3D}"/>
    <cellStyle name="Normal 4 8 2" xfId="1448" xr:uid="{67B9D659-7A5E-41E7-9A39-1098728ACBE9}"/>
    <cellStyle name="Normal 4 8 2 2" xfId="2052" xr:uid="{2C003BAB-7666-432E-B707-7E461A18D46B}"/>
    <cellStyle name="Normal 4 8 2 2 2" xfId="2890" xr:uid="{D7A26C00-C765-4CFE-B6CF-9FB452E4CE61}"/>
    <cellStyle name="Normal 4 8 2 2 2 2" xfId="5325" xr:uid="{D07A1274-CD1D-4A74-A2DC-0C7F017BCC23}"/>
    <cellStyle name="Normal 4 8 2 2 3" xfId="4569" xr:uid="{36500285-0CB5-4F34-AE22-C7741BA56B8C}"/>
    <cellStyle name="Normal 4 8 2 3" xfId="2476" xr:uid="{F0D04844-AD76-43F4-A23E-5F6D3DFE9EFC}"/>
    <cellStyle name="Normal 4 8 2 3 2" xfId="4911" xr:uid="{073F8336-0CFB-46C3-8AB1-EBC1E64C2063}"/>
    <cellStyle name="Normal 4 8 2 4" xfId="4041" xr:uid="{18ADB92A-2848-4131-A249-3FE0087D6A5A}"/>
    <cellStyle name="Normal 4 8 3" xfId="1882" xr:uid="{B704E103-0C78-4F51-A269-B219C8C5EACD}"/>
    <cellStyle name="Normal 4 8 3 2" xfId="2720" xr:uid="{358CE768-6715-4304-9F6D-E28762CF3F7B}"/>
    <cellStyle name="Normal 4 8 3 2 2" xfId="5155" xr:uid="{632DE23F-B9AF-4C58-B600-68F8D6492C69}"/>
    <cellStyle name="Normal 4 8 3 3" xfId="4399" xr:uid="{7421A8A0-ADEE-4900-9B3D-4D9D5B0F9919}"/>
    <cellStyle name="Normal 4 8 4" xfId="2475" xr:uid="{C0E8D20C-B9AE-41A3-BC22-9F97F8E30C41}"/>
    <cellStyle name="Normal 4 8 4 2" xfId="4910" xr:uid="{5494FE82-818B-467A-B573-E19A61E348A1}"/>
    <cellStyle name="Normal 4 8 5" xfId="4040" xr:uid="{4E87491C-58D8-490A-AF30-19FA716F5950}"/>
    <cellStyle name="Normal 4 9" xfId="1449" xr:uid="{F50D522F-3BBC-4F7F-AC36-B4D258D52C94}"/>
    <cellStyle name="Normal 4 9 2" xfId="1450" xr:uid="{E50B2F15-0EE9-4132-B483-E875A267060C}"/>
    <cellStyle name="Normal 4 9 2 2" xfId="2053" xr:uid="{4D38DCA1-DAA3-43D8-A950-00420BB0580C}"/>
    <cellStyle name="Normal 4 9 2 2 2" xfId="2891" xr:uid="{4B07E216-A787-4B6A-B437-9901F2F1CD21}"/>
    <cellStyle name="Normal 4 9 2 2 2 2" xfId="5326" xr:uid="{48541D40-2B62-4B17-A6B5-BD4BEC8822A3}"/>
    <cellStyle name="Normal 4 9 2 2 3" xfId="4570" xr:uid="{707D115E-EAC7-4AE8-9A41-0A92B9E3A208}"/>
    <cellStyle name="Normal 4 9 2 3" xfId="2478" xr:uid="{F4C734D3-5096-482B-8689-A913EE72ECB8}"/>
    <cellStyle name="Normal 4 9 2 3 2" xfId="4913" xr:uid="{07BDD20E-C372-4725-BE77-0345DBEB0CB7}"/>
    <cellStyle name="Normal 4 9 2 4" xfId="4043" xr:uid="{19A0311B-301A-4885-BC1D-9287F77F327F}"/>
    <cellStyle name="Normal 4 9 3" xfId="1883" xr:uid="{3A33CAD0-CC6D-4D5D-B42C-78BF7D0C51F5}"/>
    <cellStyle name="Normal 4 9 3 2" xfId="2721" xr:uid="{4A5C4AF6-2976-4AF4-9B65-7342A5EA4388}"/>
    <cellStyle name="Normal 4 9 3 2 2" xfId="5156" xr:uid="{BA534A4A-4FBB-47BA-A51E-76B3178910CE}"/>
    <cellStyle name="Normal 4 9 3 3" xfId="4400" xr:uid="{CB6CE08E-C652-4998-8786-1061855C9F8C}"/>
    <cellStyle name="Normal 4 9 4" xfId="2477" xr:uid="{35FF2734-CDF3-4E47-8BFE-33CDDDC85BF2}"/>
    <cellStyle name="Normal 4 9 4 2" xfId="4912" xr:uid="{0A1E9949-DDC5-40EF-89BD-50A959B2A503}"/>
    <cellStyle name="Normal 4 9 5" xfId="4042" xr:uid="{A110DD3B-0993-4C66-A139-7FA743BCE779}"/>
    <cellStyle name="Normal 40" xfId="2156" xr:uid="{833ACCC3-0708-4F38-B5E0-0B9F66D5EBA7}"/>
    <cellStyle name="Normal 40 2" xfId="2994" xr:uid="{69A37F8E-DE01-4AE6-B7C3-1DF7B3E3EE64}"/>
    <cellStyle name="Normal 41" xfId="2149" xr:uid="{2B9A42E2-903D-48DD-BF60-2A19576B5168}"/>
    <cellStyle name="Normal 41 2" xfId="2987" xr:uid="{0B71EFD9-3953-49C0-971B-19D4EB98154E}"/>
    <cellStyle name="Normal 42" xfId="2144" xr:uid="{DF71B3CC-026C-44F0-A8F4-948A502706E2}"/>
    <cellStyle name="Normal 42 2" xfId="2982" xr:uid="{E3C4B33F-96FF-4BC0-A976-2966B9C60F20}"/>
    <cellStyle name="Normal 43" xfId="2155" xr:uid="{E1578A36-AA72-4DC6-8C0B-4E02C3D0531C}"/>
    <cellStyle name="Normal 43 2" xfId="2993" xr:uid="{AFE3399E-1251-4877-8772-AB791F792E7A}"/>
    <cellStyle name="Normal 44" xfId="2186" xr:uid="{1F8C26B9-A588-4817-A695-426AA1A34679}"/>
    <cellStyle name="Normal 44 2" xfId="2997" xr:uid="{BEF0AA77-3B1E-46CC-9DC2-37E39241F1ED}"/>
    <cellStyle name="Normal 45" xfId="2191" xr:uid="{9E042CA5-78F0-4346-B081-248E2D156C3E}"/>
    <cellStyle name="Normal 45 2" xfId="3002" xr:uid="{F3F3DBD2-0344-46C9-ADF8-44F87F78915C}"/>
    <cellStyle name="Normal 46" xfId="2189" xr:uid="{C84B86F2-5536-4D55-B6BF-08A2C79C1A1C}"/>
    <cellStyle name="Normal 46 2" xfId="3000" xr:uid="{2A04F1D6-9172-4205-A554-828D6ECD54D8}"/>
    <cellStyle name="Normal 47" xfId="2192" xr:uid="{A37F5F94-2903-4268-8BA8-F6476126BEB2}"/>
    <cellStyle name="Normal 47 2" xfId="3003" xr:uid="{C85E3F99-4FB6-472C-A65F-5E012A96BFC9}"/>
    <cellStyle name="Normal 48" xfId="2188" xr:uid="{AEDFD02D-CF88-4B59-BB2E-817D36BAFFD0}"/>
    <cellStyle name="Normal 48 2" xfId="2999" xr:uid="{D6FE34E5-0A59-460C-8409-EA9AFBF09CD5}"/>
    <cellStyle name="Normal 49" xfId="2190" xr:uid="{4255AAE2-EE31-4421-BA56-F2082C8EB45E}"/>
    <cellStyle name="Normal 49 2" xfId="3001" xr:uid="{66ABD6D1-F2F8-4CA8-B245-A21BB1356B62}"/>
    <cellStyle name="Normal 5" xfId="147" xr:uid="{00000000-0005-0000-0000-0000B8010000}"/>
    <cellStyle name="Normal 5 10" xfId="2214" xr:uid="{FC419888-3464-43B7-BD60-05DDA4C02CDF}"/>
    <cellStyle name="Normal 5 10 2" xfId="4704" xr:uid="{2EAA99BF-9730-407C-9B8B-50096216FFC8}"/>
    <cellStyle name="Normal 5 11" xfId="2479" xr:uid="{C26C9D8F-F8AF-4EBB-9229-6D8E12FDC96C}"/>
    <cellStyle name="Normal 5 11 2" xfId="4914" xr:uid="{BA6C05E7-FFBD-4071-AD66-088D41B77BEA}"/>
    <cellStyle name="Normal 5 12" xfId="1451" xr:uid="{37A0B83C-AF6A-4FA9-9082-8F525E6BF3AC}"/>
    <cellStyle name="Normal 5 12 2" xfId="4044" xr:uid="{98135312-A6EB-4396-A499-881BD8E6AB71}"/>
    <cellStyle name="Normal 5 13" xfId="3366" xr:uid="{68083BC7-707A-4431-BB6B-10C35827BF9C}"/>
    <cellStyle name="Normal 5 2" xfId="238" xr:uid="{00000000-0005-0000-0000-0000B9010000}"/>
    <cellStyle name="Normal 5 2 10" xfId="1452" xr:uid="{B345E12F-17F1-4A0B-8BC7-874CE4D3D51B}"/>
    <cellStyle name="Normal 5 2 10 2" xfId="4045" xr:uid="{824C530E-9339-4872-8529-1FCAA262ACBD}"/>
    <cellStyle name="Normal 5 2 11" xfId="3378" xr:uid="{7A2874FF-E016-4BE9-9FBE-500CC83121D5}"/>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2 2 2" xfId="2895" xr:uid="{C22E4965-62E4-4B55-8EE5-7F6547E6DEE8}"/>
    <cellStyle name="Normal 5 2 2 2 2 2 2 2 2 2" xfId="5330" xr:uid="{B882B195-3C14-46E9-B04D-2B6B8FD07629}"/>
    <cellStyle name="Normal 5 2 2 2 2 2 2 2 3" xfId="3807" xr:uid="{2B6BFB72-2E83-4937-8C40-C0F7F7FA529B}"/>
    <cellStyle name="Normal 5 2 2 2 2 2 2 3" xfId="2057" xr:uid="{204ACA08-09E5-46E2-AEBA-105B0418E9C9}"/>
    <cellStyle name="Normal 5 2 2 2 2 2 2 3 2" xfId="4574" xr:uid="{E58B8DC7-654D-4594-AC9E-76ABC305E332}"/>
    <cellStyle name="Normal 5 2 2 2 2 2 2 4" xfId="3598" xr:uid="{AE6306E9-711D-418B-837E-F1A8AD7686C1}"/>
    <cellStyle name="Normal 5 2 2 2 2 2 3" xfId="769" xr:uid="{00000000-0005-0000-0000-0000C0010000}"/>
    <cellStyle name="Normal 5 2 2 2 2 2 3 2" xfId="2484" xr:uid="{6C79D472-4AB0-4D02-851E-40CE9EFCE663}"/>
    <cellStyle name="Normal 5 2 2 2 2 2 3 2 2" xfId="4919" xr:uid="{D4B2ED2E-0976-479F-B33F-19DB5B4F19CA}"/>
    <cellStyle name="Normal 5 2 2 2 2 2 3 3" xfId="3702" xr:uid="{7BABD59C-A01D-4F69-8A3E-E9AF17DC463F}"/>
    <cellStyle name="Normal 5 2 2 2 2 2 4" xfId="1456" xr:uid="{C9665ABD-B1B5-4347-A3E7-DD7E5A7C7A5D}"/>
    <cellStyle name="Normal 5 2 2 2 2 2 4 2" xfId="4049" xr:uid="{E3F9C28E-59AD-4BAD-9CDA-1B5328FBD9A6}"/>
    <cellStyle name="Normal 5 2 2 2 2 2 5" xfId="3488" xr:uid="{8B8CB446-55E6-47B3-B869-F11141FFA538}"/>
    <cellStyle name="Normal 5 2 2 2 2 3" xfId="612" xr:uid="{00000000-0005-0000-0000-0000C1010000}"/>
    <cellStyle name="Normal 5 2 2 2 2 3 2" xfId="823" xr:uid="{00000000-0005-0000-0000-0000C2010000}"/>
    <cellStyle name="Normal 5 2 2 2 2 3 2 2" xfId="2725" xr:uid="{5DFEC5AC-B65F-4415-ACD7-2F6FCA3936ED}"/>
    <cellStyle name="Normal 5 2 2 2 2 3 2 2 2" xfId="5160" xr:uid="{259C6B6B-9DD8-4A7D-B0C5-9BD8E74695AA}"/>
    <cellStyle name="Normal 5 2 2 2 2 3 2 3" xfId="3755" xr:uid="{2AAE0E7D-64EC-4EF1-997E-3635065BD232}"/>
    <cellStyle name="Normal 5 2 2 2 2 3 3" xfId="1887" xr:uid="{26117F46-18A8-4F58-BEE2-F6FDB9AE8D26}"/>
    <cellStyle name="Normal 5 2 2 2 2 3 3 2" xfId="4404" xr:uid="{C63EADEC-E82B-4A5C-A935-49CC868A2209}"/>
    <cellStyle name="Normal 5 2 2 2 2 3 4" xfId="3546" xr:uid="{777AF9A5-3FC5-48AF-958C-F579AE3569C1}"/>
    <cellStyle name="Normal 5 2 2 2 2 4" xfId="717" xr:uid="{00000000-0005-0000-0000-0000C3010000}"/>
    <cellStyle name="Normal 5 2 2 2 2 4 2" xfId="2483" xr:uid="{789506B2-52C1-49F9-9775-70EF8C7B4FDA}"/>
    <cellStyle name="Normal 5 2 2 2 2 4 2 2" xfId="4918" xr:uid="{25132616-5660-4F87-9CFA-C785F7C6B280}"/>
    <cellStyle name="Normal 5 2 2 2 2 4 3" xfId="3650" xr:uid="{A865DAF0-520F-479B-88BE-23057AA4BBC3}"/>
    <cellStyle name="Normal 5 2 2 2 2 5" xfId="1455" xr:uid="{63AC2AE2-E42C-4DAB-A09E-6711B6615F81}"/>
    <cellStyle name="Normal 5 2 2 2 2 5 2" xfId="4048" xr:uid="{E68A12E5-574F-45B0-A044-ED4F17618C42}"/>
    <cellStyle name="Normal 5 2 2 2 2 6" xfId="3431" xr:uid="{9D3D9BF3-7A8A-4490-AA14-3026F4AC633E}"/>
    <cellStyle name="Normal 5 2 2 2 3" xfId="482" xr:uid="{00000000-0005-0000-0000-0000C4010000}"/>
    <cellStyle name="Normal 5 2 2 2 3 2" xfId="638" xr:uid="{00000000-0005-0000-0000-0000C5010000}"/>
    <cellStyle name="Normal 5 2 2 2 3 2 2" xfId="849" xr:uid="{00000000-0005-0000-0000-0000C6010000}"/>
    <cellStyle name="Normal 5 2 2 2 3 2 2 2" xfId="2896" xr:uid="{959B8AF7-DD1E-43C6-A5B3-7C8E4A9A246E}"/>
    <cellStyle name="Normal 5 2 2 2 3 2 2 2 2" xfId="5331" xr:uid="{1B0E69CB-C21C-42DC-9CA3-BC1D63635F67}"/>
    <cellStyle name="Normal 5 2 2 2 3 2 2 3" xfId="2058" xr:uid="{DEACB3E0-9634-482A-AF7B-C51926D36A7C}"/>
    <cellStyle name="Normal 5 2 2 2 3 2 2 3 2" xfId="4575" xr:uid="{58F59814-8424-423D-BAF2-5712CA83A18E}"/>
    <cellStyle name="Normal 5 2 2 2 3 2 2 4" xfId="3781" xr:uid="{FBF1CD49-4155-45A9-A5A6-9489AF58AE3D}"/>
    <cellStyle name="Normal 5 2 2 2 3 2 3" xfId="2486" xr:uid="{CFEF161E-9FE0-49C0-9167-5D529D218C4E}"/>
    <cellStyle name="Normal 5 2 2 2 3 2 3 2" xfId="4921" xr:uid="{3B06A147-3496-469E-A72A-67FFDFB0D65C}"/>
    <cellStyle name="Normal 5 2 2 2 3 2 4" xfId="1458" xr:uid="{EE2EEC5F-D162-4254-BA76-EF8DB7EEB619}"/>
    <cellStyle name="Normal 5 2 2 2 3 2 4 2" xfId="4051" xr:uid="{D1699A3E-230F-4973-911D-2B874D460FF9}"/>
    <cellStyle name="Normal 5 2 2 2 3 2 5" xfId="3572" xr:uid="{90238EAD-5EAD-491B-B323-4678CCC96BF5}"/>
    <cellStyle name="Normal 5 2 2 2 3 3" xfId="743" xr:uid="{00000000-0005-0000-0000-0000C7010000}"/>
    <cellStyle name="Normal 5 2 2 2 3 3 2" xfId="2726" xr:uid="{B82F4081-33CB-4FDF-B6C5-5A6E5CD3D714}"/>
    <cellStyle name="Normal 5 2 2 2 3 3 2 2" xfId="5161" xr:uid="{CC42FAAC-1DAC-48EF-952A-910D2FC5755F}"/>
    <cellStyle name="Normal 5 2 2 2 3 3 3" xfId="1888" xr:uid="{DBF11B20-66BB-43EA-923A-FE1F2F6CB409}"/>
    <cellStyle name="Normal 5 2 2 2 3 3 3 2" xfId="4405" xr:uid="{12230D17-3F9C-4D36-84DF-769D3E9BE415}"/>
    <cellStyle name="Normal 5 2 2 2 3 3 4" xfId="3676" xr:uid="{BAB7A0D7-3034-4DA7-ADA9-2FFA735C8B20}"/>
    <cellStyle name="Normal 5 2 2 2 3 4" xfId="2485" xr:uid="{9C9EE4C6-EA6A-42BD-A6BE-2FCD5C39F369}"/>
    <cellStyle name="Normal 5 2 2 2 3 4 2" xfId="4920" xr:uid="{00A65839-AC84-4A7C-A522-E398EDF65C38}"/>
    <cellStyle name="Normal 5 2 2 2 3 5" xfId="1457" xr:uid="{1AB55730-1E42-403B-84F2-4CE6AD2FF437}"/>
    <cellStyle name="Normal 5 2 2 2 3 5 2" xfId="4050" xr:uid="{79343096-ACF7-4977-8523-1D193E4600CB}"/>
    <cellStyle name="Normal 5 2 2 2 3 6" xfId="3462" xr:uid="{90E25793-11D8-4B4C-9194-4AFE4D0C871B}"/>
    <cellStyle name="Normal 5 2 2 2 4" xfId="586" xr:uid="{00000000-0005-0000-0000-0000C8010000}"/>
    <cellStyle name="Normal 5 2 2 2 4 2" xfId="797" xr:uid="{00000000-0005-0000-0000-0000C9010000}"/>
    <cellStyle name="Normal 5 2 2 2 4 2 2" xfId="2894" xr:uid="{8721304C-C15F-46F5-8634-0110A42D9BE6}"/>
    <cellStyle name="Normal 5 2 2 2 4 2 2 2" xfId="5329" xr:uid="{5D53B101-0374-4CF6-AB27-D84F8A5720E2}"/>
    <cellStyle name="Normal 5 2 2 2 4 2 3" xfId="2056" xr:uid="{A36E88A1-E9CB-44FA-BDAE-1B1978155031}"/>
    <cellStyle name="Normal 5 2 2 2 4 2 3 2" xfId="4573" xr:uid="{469CC77D-5BD6-4DB6-8AA3-65F7119EF7B5}"/>
    <cellStyle name="Normal 5 2 2 2 4 2 4" xfId="3729" xr:uid="{60CDB703-2BC2-49AA-888D-8756D22DDC48}"/>
    <cellStyle name="Normal 5 2 2 2 4 3" xfId="2487" xr:uid="{2F7BBA1E-0AB5-4668-B292-F68A8FAE0D7B}"/>
    <cellStyle name="Normal 5 2 2 2 4 3 2" xfId="4922" xr:uid="{EBC477ED-7397-4F73-9418-17C7E8478D3D}"/>
    <cellStyle name="Normal 5 2 2 2 4 4" xfId="1459" xr:uid="{80C1D847-F105-49C0-BA8B-657ED51C3749}"/>
    <cellStyle name="Normal 5 2 2 2 4 4 2" xfId="4052" xr:uid="{29E4B5C3-05C5-4052-8B90-8A9A59FE8EB6}"/>
    <cellStyle name="Normal 5 2 2 2 4 5" xfId="3520" xr:uid="{4520C424-7DFB-49F3-8451-E121F4B3D64B}"/>
    <cellStyle name="Normal 5 2 2 2 5" xfId="691" xr:uid="{00000000-0005-0000-0000-0000CA010000}"/>
    <cellStyle name="Normal 5 2 2 2 5 2" xfId="2724" xr:uid="{9C6486A8-FD0D-466C-A810-27D0C5EC064A}"/>
    <cellStyle name="Normal 5 2 2 2 5 2 2" xfId="5159" xr:uid="{7CA9D2BC-9587-4FC7-9A52-A3F0DDE5832A}"/>
    <cellStyle name="Normal 5 2 2 2 5 3" xfId="1886" xr:uid="{0C098C09-004B-419C-B53D-AA179EDE2FE0}"/>
    <cellStyle name="Normal 5 2 2 2 5 3 2" xfId="4403" xr:uid="{65248DC2-3A47-4852-ADE0-43D0781278D2}"/>
    <cellStyle name="Normal 5 2 2 2 5 4" xfId="3624" xr:uid="{A2E2E20E-C58A-4ED9-8F4F-761D2342AFCD}"/>
    <cellStyle name="Normal 5 2 2 2 6" xfId="2482" xr:uid="{6A5F0431-D6B8-4361-AC16-4E0E19434E81}"/>
    <cellStyle name="Normal 5 2 2 2 6 2" xfId="4917" xr:uid="{CE3D85D0-9861-41CB-9DE5-57F63FD37D29}"/>
    <cellStyle name="Normal 5 2 2 2 7" xfId="1454" xr:uid="{716D35EE-6F6E-4F2A-8711-9B21DE7CEA3D}"/>
    <cellStyle name="Normal 5 2 2 2 7 2" xfId="4047" xr:uid="{8436EEED-4B50-47AB-931D-789BCA3B26A6}"/>
    <cellStyle name="Normal 5 2 2 2 8" xfId="3400" xr:uid="{117AD9E3-7B9A-4025-9907-D715521E1E2A}"/>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2 2 2" xfId="3816" xr:uid="{D3CED024-50D6-43B5-BAC8-86F59B5E8700}"/>
    <cellStyle name="Normal 5 2 2 3 2 2 2 3" xfId="2897" xr:uid="{FD99C5EC-B4FD-4E60-82F5-B14BFFBA1920}"/>
    <cellStyle name="Normal 5 2 2 3 2 2 2 3 2" xfId="5332" xr:uid="{E2895CA9-09D2-404C-AAC2-7038C9B5EE77}"/>
    <cellStyle name="Normal 5 2 2 3 2 2 2 4" xfId="3607" xr:uid="{6E0E5B58-79F3-493C-84A0-58D869FDA727}"/>
    <cellStyle name="Normal 5 2 2 3 2 2 3" xfId="778" xr:uid="{00000000-0005-0000-0000-0000D0010000}"/>
    <cellStyle name="Normal 5 2 2 3 2 2 3 2" xfId="3711" xr:uid="{85CE1A1F-8F38-423A-B6E0-B425548F6CD2}"/>
    <cellStyle name="Normal 5 2 2 3 2 2 4" xfId="2059" xr:uid="{C639309B-B139-4ABB-8EA4-B9A48EBB2EEC}"/>
    <cellStyle name="Normal 5 2 2 3 2 2 4 2" xfId="4576" xr:uid="{9B57CDAE-1CB7-4A24-81D5-6EB47608003B}"/>
    <cellStyle name="Normal 5 2 2 3 2 2 5" xfId="3497" xr:uid="{D87EB986-41B4-4739-B715-160210582542}"/>
    <cellStyle name="Normal 5 2 2 3 2 3" xfId="621" xr:uid="{00000000-0005-0000-0000-0000D1010000}"/>
    <cellStyle name="Normal 5 2 2 3 2 3 2" xfId="832" xr:uid="{00000000-0005-0000-0000-0000D2010000}"/>
    <cellStyle name="Normal 5 2 2 3 2 3 2 2" xfId="3764" xr:uid="{BE30B3DF-2D08-4DA9-BC3A-0B7155040515}"/>
    <cellStyle name="Normal 5 2 2 3 2 3 3" xfId="2489" xr:uid="{9CFC7D29-396E-41FD-B4EE-1A0F7DD76644}"/>
    <cellStyle name="Normal 5 2 2 3 2 3 3 2" xfId="4924" xr:uid="{9113A60B-5656-40A7-808B-6278FA7899F7}"/>
    <cellStyle name="Normal 5 2 2 3 2 3 4" xfId="3555" xr:uid="{942D044B-0B1B-480C-83BC-0CCDC90B1296}"/>
    <cellStyle name="Normal 5 2 2 3 2 4" xfId="726" xr:uid="{00000000-0005-0000-0000-0000D3010000}"/>
    <cellStyle name="Normal 5 2 2 3 2 4 2" xfId="3659" xr:uid="{E22746E2-50F2-4C67-BE04-8E2DFD877A4A}"/>
    <cellStyle name="Normal 5 2 2 3 2 5" xfId="1461" xr:uid="{8C7F834B-B769-43A6-B67B-4DB9B911AB61}"/>
    <cellStyle name="Normal 5 2 2 3 2 5 2" xfId="4054" xr:uid="{F9324A4D-8C26-434A-A0FB-008FADB9D294}"/>
    <cellStyle name="Normal 5 2 2 3 2 6" xfId="3440" xr:uid="{B547A23C-8EDA-4BBF-B35E-C58B3250BDE8}"/>
    <cellStyle name="Normal 5 2 2 3 3" xfId="491" xr:uid="{00000000-0005-0000-0000-0000D4010000}"/>
    <cellStyle name="Normal 5 2 2 3 3 2" xfId="647" xr:uid="{00000000-0005-0000-0000-0000D5010000}"/>
    <cellStyle name="Normal 5 2 2 3 3 2 2" xfId="858" xr:uid="{00000000-0005-0000-0000-0000D6010000}"/>
    <cellStyle name="Normal 5 2 2 3 3 2 2 2" xfId="3790" xr:uid="{521FDC9B-04BE-4121-AFE2-63343361177C}"/>
    <cellStyle name="Normal 5 2 2 3 3 2 3" xfId="2727" xr:uid="{19CDFF11-7329-4AA1-9CBD-D750DB859E14}"/>
    <cellStyle name="Normal 5 2 2 3 3 2 3 2" xfId="5162" xr:uid="{36BD0FFF-4ED9-4DE8-B6CC-9180D4EC531E}"/>
    <cellStyle name="Normal 5 2 2 3 3 2 4" xfId="3581" xr:uid="{80EC74A9-A969-46E9-B087-72D678859F5F}"/>
    <cellStyle name="Normal 5 2 2 3 3 3" xfId="752" xr:uid="{00000000-0005-0000-0000-0000D7010000}"/>
    <cellStyle name="Normal 5 2 2 3 3 3 2" xfId="3685" xr:uid="{18755D40-EDC4-4C63-8F1C-64B2B5B79954}"/>
    <cellStyle name="Normal 5 2 2 3 3 4" xfId="1889" xr:uid="{8E38AF2D-15BE-4F4A-AD05-A70A49C70939}"/>
    <cellStyle name="Normal 5 2 2 3 3 4 2" xfId="4406" xr:uid="{C09C4194-CD3F-489A-A6CD-1B94C2EA2EF9}"/>
    <cellStyle name="Normal 5 2 2 3 3 5" xfId="3471" xr:uid="{7B36600F-49C3-4DCB-8627-0ECD2303CD0C}"/>
    <cellStyle name="Normal 5 2 2 3 4" xfId="595" xr:uid="{00000000-0005-0000-0000-0000D8010000}"/>
    <cellStyle name="Normal 5 2 2 3 4 2" xfId="806" xr:uid="{00000000-0005-0000-0000-0000D9010000}"/>
    <cellStyle name="Normal 5 2 2 3 4 2 2" xfId="3738" xr:uid="{0B43E596-105C-4AFB-92C4-284470C43713}"/>
    <cellStyle name="Normal 5 2 2 3 4 3" xfId="2488" xr:uid="{E0152DFB-6ECB-4ECA-85F6-5345BDB0D48F}"/>
    <cellStyle name="Normal 5 2 2 3 4 3 2" xfId="4923" xr:uid="{EB4E49FC-5CF7-491B-A1F9-0829F3683809}"/>
    <cellStyle name="Normal 5 2 2 3 4 4" xfId="3529" xr:uid="{6897B63D-8E8C-450F-827D-CF30492558F0}"/>
    <cellStyle name="Normal 5 2 2 3 5" xfId="700" xr:uid="{00000000-0005-0000-0000-0000DA010000}"/>
    <cellStyle name="Normal 5 2 2 3 5 2" xfId="3633" xr:uid="{D4B63850-C3DE-428D-9F43-1C17BBD0CCB4}"/>
    <cellStyle name="Normal 5 2 2 3 6" xfId="1460" xr:uid="{CE596074-7EF5-49B9-96D2-20D4AD617E7F}"/>
    <cellStyle name="Normal 5 2 2 3 6 2" xfId="4053" xr:uid="{79A55C5F-B415-43C1-B9F0-DFC331902371}"/>
    <cellStyle name="Normal 5 2 2 3 7" xfId="3409" xr:uid="{03644E33-BEBC-4FF4-9243-9D824235F204}"/>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2 2 2" xfId="2898" xr:uid="{8E1B9D7B-44A9-4872-975E-687590BAA135}"/>
    <cellStyle name="Normal 5 2 2 4 2 2 2 2 2" xfId="5333" xr:uid="{38B55BFB-FFF0-449A-8DD0-20845E3CF96B}"/>
    <cellStyle name="Normal 5 2 2 4 2 2 2 3" xfId="3799" xr:uid="{235E3133-FAC2-42FF-810D-457D0E925FF2}"/>
    <cellStyle name="Normal 5 2 2 4 2 2 3" xfId="2060" xr:uid="{A613A8DD-12E4-4476-9BC8-68B3598AEBFD}"/>
    <cellStyle name="Normal 5 2 2 4 2 2 3 2" xfId="4577" xr:uid="{864C769A-8AEB-42BE-90B4-ACC779A31E49}"/>
    <cellStyle name="Normal 5 2 2 4 2 2 4" xfId="3590" xr:uid="{3332B737-AD15-4BEA-8986-D6868AFF7321}"/>
    <cellStyle name="Normal 5 2 2 4 2 3" xfId="761" xr:uid="{00000000-0005-0000-0000-0000DF010000}"/>
    <cellStyle name="Normal 5 2 2 4 2 3 2" xfId="2491" xr:uid="{EC29C2D2-F545-47EB-8F97-24FBB613D7EB}"/>
    <cellStyle name="Normal 5 2 2 4 2 3 2 2" xfId="4926" xr:uid="{9E89E6E8-4324-4CB4-8362-83B7CC755667}"/>
    <cellStyle name="Normal 5 2 2 4 2 3 3" xfId="3694" xr:uid="{0B75829B-6B3A-463C-B1E7-5B27A2A95D3D}"/>
    <cellStyle name="Normal 5 2 2 4 2 4" xfId="1463" xr:uid="{55773854-0F61-4763-8936-45520294D14C}"/>
    <cellStyle name="Normal 5 2 2 4 2 4 2" xfId="4056" xr:uid="{6AE5FB35-B317-4145-B67E-A4460781AB08}"/>
    <cellStyle name="Normal 5 2 2 4 2 5" xfId="3480" xr:uid="{FE936D7E-2A95-4195-8A61-B2CB66651FB2}"/>
    <cellStyle name="Normal 5 2 2 4 3" xfId="604" xr:uid="{00000000-0005-0000-0000-0000E0010000}"/>
    <cellStyle name="Normal 5 2 2 4 3 2" xfId="815" xr:uid="{00000000-0005-0000-0000-0000E1010000}"/>
    <cellStyle name="Normal 5 2 2 4 3 2 2" xfId="2728" xr:uid="{D873E091-CA3D-4277-9DD5-8510F3F3B477}"/>
    <cellStyle name="Normal 5 2 2 4 3 2 2 2" xfId="5163" xr:uid="{A2AE0BD9-0C70-48B7-9687-28026C340D9D}"/>
    <cellStyle name="Normal 5 2 2 4 3 2 3" xfId="3747" xr:uid="{CF97BED2-CD09-42FB-90C3-7DF613BD86F3}"/>
    <cellStyle name="Normal 5 2 2 4 3 3" xfId="1890" xr:uid="{14B122AF-6F28-430B-B68F-4A9C0B1D9364}"/>
    <cellStyle name="Normal 5 2 2 4 3 3 2" xfId="4407" xr:uid="{9A45687B-C70F-4910-ACFE-2F91344D62FC}"/>
    <cellStyle name="Normal 5 2 2 4 3 4" xfId="3538" xr:uid="{C057A4E5-636A-42D7-AD83-6DA21C8439C9}"/>
    <cellStyle name="Normal 5 2 2 4 4" xfId="709" xr:uid="{00000000-0005-0000-0000-0000E2010000}"/>
    <cellStyle name="Normal 5 2 2 4 4 2" xfId="2490" xr:uid="{DBAE2489-BA0B-4A10-B155-43E4BFF94EB8}"/>
    <cellStyle name="Normal 5 2 2 4 4 2 2" xfId="4925" xr:uid="{C6F847A3-E0E6-4932-B678-04A0A07A8378}"/>
    <cellStyle name="Normal 5 2 2 4 4 3" xfId="3642" xr:uid="{28C24A7C-4194-4165-BEDC-E1969F90051B}"/>
    <cellStyle name="Normal 5 2 2 4 5" xfId="1462" xr:uid="{53C56C6B-3807-42CD-AEE7-ED48643937CE}"/>
    <cellStyle name="Normal 5 2 2 4 5 2" xfId="4055" xr:uid="{8F40AA86-ADF7-45E5-8624-D3EFA5EAB17E}"/>
    <cellStyle name="Normal 5 2 2 4 6" xfId="3423" xr:uid="{45E9B84F-3AFA-4B9E-9C3F-9A2407635CAD}"/>
    <cellStyle name="Normal 5 2 2 5" xfId="474" xr:uid="{00000000-0005-0000-0000-0000E3010000}"/>
    <cellStyle name="Normal 5 2 2 5 2" xfId="630" xr:uid="{00000000-0005-0000-0000-0000E4010000}"/>
    <cellStyle name="Normal 5 2 2 5 2 2" xfId="841" xr:uid="{00000000-0005-0000-0000-0000E5010000}"/>
    <cellStyle name="Normal 5 2 2 5 2 2 2" xfId="2893" xr:uid="{9445987F-4A7F-46D4-90C3-60AAF6744221}"/>
    <cellStyle name="Normal 5 2 2 5 2 2 2 2" xfId="5328" xr:uid="{E2A5D8E5-4C4E-48AA-B99D-2333EE3DA40E}"/>
    <cellStyle name="Normal 5 2 2 5 2 2 3" xfId="3773" xr:uid="{C2307E29-ECC0-4E3F-B94C-9603A4933EAB}"/>
    <cellStyle name="Normal 5 2 2 5 2 3" xfId="2055" xr:uid="{98CFCF67-5644-4BA8-A8F8-8598294E4793}"/>
    <cellStyle name="Normal 5 2 2 5 2 3 2" xfId="4572" xr:uid="{434E401A-1EAE-45AA-9D1A-325DFC193911}"/>
    <cellStyle name="Normal 5 2 2 5 2 4" xfId="3564" xr:uid="{B1B03B6B-DC4B-4666-B481-05B419AA58A9}"/>
    <cellStyle name="Normal 5 2 2 5 3" xfId="735" xr:uid="{00000000-0005-0000-0000-0000E6010000}"/>
    <cellStyle name="Normal 5 2 2 5 3 2" xfId="2492" xr:uid="{55BCA6B3-668C-4329-9ADF-75153BD35FF5}"/>
    <cellStyle name="Normal 5 2 2 5 3 2 2" xfId="4927" xr:uid="{B2E617E2-6180-419C-B88B-BFB34B2CCCAF}"/>
    <cellStyle name="Normal 5 2 2 5 3 3" xfId="3668" xr:uid="{2D4BD89F-9AD9-4C7A-8C87-9B0D9729FE4E}"/>
    <cellStyle name="Normal 5 2 2 5 4" xfId="1464" xr:uid="{A943F9D7-3D30-4727-9D44-FCF0EC3B98DB}"/>
    <cellStyle name="Normal 5 2 2 5 4 2" xfId="4057" xr:uid="{8350EE27-C2CC-4F9A-8713-E37D5875CE53}"/>
    <cellStyle name="Normal 5 2 2 5 5" xfId="3454" xr:uid="{3A8CBA75-CF47-41AD-9277-6FCD93EC0562}"/>
    <cellStyle name="Normal 5 2 2 6" xfId="578" xr:uid="{00000000-0005-0000-0000-0000E7010000}"/>
    <cellStyle name="Normal 5 2 2 6 2" xfId="789" xr:uid="{00000000-0005-0000-0000-0000E8010000}"/>
    <cellStyle name="Normal 5 2 2 6 2 2" xfId="2723" xr:uid="{76F91FA2-98DD-4FC3-97C5-CFD981FFA9C0}"/>
    <cellStyle name="Normal 5 2 2 6 2 2 2" xfId="5158" xr:uid="{D6CD9AD9-4FD4-485D-B96E-84E8A30BCC67}"/>
    <cellStyle name="Normal 5 2 2 6 2 3" xfId="3721" xr:uid="{F57D9C80-4B6E-452E-8866-27DD34928E59}"/>
    <cellStyle name="Normal 5 2 2 6 3" xfId="1885" xr:uid="{19BF3FEB-DC84-4FEA-8C73-22B10A623EDD}"/>
    <cellStyle name="Normal 5 2 2 6 3 2" xfId="4402" xr:uid="{D9B79410-A5A5-4503-B186-3E7130410C81}"/>
    <cellStyle name="Normal 5 2 2 6 4" xfId="3512" xr:uid="{C1F5853A-1449-4B2E-B833-FB64DF28023F}"/>
    <cellStyle name="Normal 5 2 2 7" xfId="683" xr:uid="{00000000-0005-0000-0000-0000E9010000}"/>
    <cellStyle name="Normal 5 2 2 7 2" xfId="2481" xr:uid="{E4E7EE13-FDF7-4EF5-ABD8-C1FCB2D1DA56}"/>
    <cellStyle name="Normal 5 2 2 7 2 2" xfId="4916" xr:uid="{5BD57E08-F7FF-4530-A5A1-7EB725998F20}"/>
    <cellStyle name="Normal 5 2 2 7 3" xfId="3616" xr:uid="{33431643-6972-4F48-961B-9348212E470A}"/>
    <cellStyle name="Normal 5 2 2 8" xfId="1453" xr:uid="{D632EE85-A0F2-491A-9672-464194DBAD3C}"/>
    <cellStyle name="Normal 5 2 2 8 2" xfId="4046" xr:uid="{521051B5-5196-44C0-A851-8CA15F2E7D45}"/>
    <cellStyle name="Normal 5 2 2 9" xfId="3387" xr:uid="{18DFE633-B5A8-49AC-B34A-94DFDC79E4D7}"/>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2 2 2" xfId="2900" xr:uid="{E14A0736-AFDB-4A41-91D4-2345A1463277}"/>
    <cellStyle name="Normal 5 2 3 2 2 2 2 2 2" xfId="5335" xr:uid="{889AD993-88F6-4BBA-8069-48BC1FC9FFB3}"/>
    <cellStyle name="Normal 5 2 3 2 2 2 2 3" xfId="3803" xr:uid="{05BA25BB-D7D0-45DA-BCC4-13F234F25424}"/>
    <cellStyle name="Normal 5 2 3 2 2 2 3" xfId="2062" xr:uid="{6FAB7188-BD75-4E34-97F6-3FB67777CEA6}"/>
    <cellStyle name="Normal 5 2 3 2 2 2 3 2" xfId="4579" xr:uid="{A657C329-0102-4130-BE85-CF72560D9AEF}"/>
    <cellStyle name="Normal 5 2 3 2 2 2 4" xfId="3594" xr:uid="{F3CB0565-5629-4DFF-B818-C135B7196CA9}"/>
    <cellStyle name="Normal 5 2 3 2 2 3" xfId="765" xr:uid="{00000000-0005-0000-0000-0000EF010000}"/>
    <cellStyle name="Normal 5 2 3 2 2 3 2" xfId="2495" xr:uid="{0FAEE644-D693-428C-9BA0-4534B89238E3}"/>
    <cellStyle name="Normal 5 2 3 2 2 3 2 2" xfId="4930" xr:uid="{4AE10F76-4C4B-4DA8-9E2B-54D3895A3696}"/>
    <cellStyle name="Normal 5 2 3 2 2 3 3" xfId="3698" xr:uid="{88BCA0B0-5009-46E3-B547-AECD987867CC}"/>
    <cellStyle name="Normal 5 2 3 2 2 4" xfId="1467" xr:uid="{B7B1353A-80DD-4D43-98C9-6241D417B739}"/>
    <cellStyle name="Normal 5 2 3 2 2 4 2" xfId="4060" xr:uid="{13836D6E-AA2D-4844-8CDA-3962FC48B98F}"/>
    <cellStyle name="Normal 5 2 3 2 2 5" xfId="3484" xr:uid="{0286ADA9-D739-451A-9F11-AD23CF8521F6}"/>
    <cellStyle name="Normal 5 2 3 2 3" xfId="608" xr:uid="{00000000-0005-0000-0000-0000F0010000}"/>
    <cellStyle name="Normal 5 2 3 2 3 2" xfId="819" xr:uid="{00000000-0005-0000-0000-0000F1010000}"/>
    <cellStyle name="Normal 5 2 3 2 3 2 2" xfId="2730" xr:uid="{BAB908B1-CDCC-49B3-BAF7-7B1ADC3E19BC}"/>
    <cellStyle name="Normal 5 2 3 2 3 2 2 2" xfId="5165" xr:uid="{2E7A7FC9-0533-4457-AD7E-83C8C6CA032D}"/>
    <cellStyle name="Normal 5 2 3 2 3 2 3" xfId="3751" xr:uid="{71C1D3CA-D3F2-4D5D-A63D-0CAE35924B52}"/>
    <cellStyle name="Normal 5 2 3 2 3 3" xfId="1892" xr:uid="{B14FE6C6-813E-4DC4-9C17-C4D58B062315}"/>
    <cellStyle name="Normal 5 2 3 2 3 3 2" xfId="4409" xr:uid="{4A179152-1D7B-4D3E-B2EB-B58706DF4934}"/>
    <cellStyle name="Normal 5 2 3 2 3 4" xfId="3542" xr:uid="{546888E1-68BA-435D-8AA6-41DEEF057504}"/>
    <cellStyle name="Normal 5 2 3 2 4" xfId="713" xr:uid="{00000000-0005-0000-0000-0000F2010000}"/>
    <cellStyle name="Normal 5 2 3 2 4 2" xfId="2494" xr:uid="{2C7A1866-8A2E-4010-92C7-C0C7DE1E0A24}"/>
    <cellStyle name="Normal 5 2 3 2 4 2 2" xfId="4929" xr:uid="{1DFC547E-A69E-4F72-8D5E-F01879E9D619}"/>
    <cellStyle name="Normal 5 2 3 2 4 3" xfId="3646" xr:uid="{DB379001-622B-49F3-8659-63F8E84CDED7}"/>
    <cellStyle name="Normal 5 2 3 2 5" xfId="1466" xr:uid="{E1AFF7B3-330F-4BD8-B052-8C10BD2386AB}"/>
    <cellStyle name="Normal 5 2 3 2 5 2" xfId="4059" xr:uid="{6151294C-CE9B-4AA2-BA4C-F4A74A8813C4}"/>
    <cellStyle name="Normal 5 2 3 2 6" xfId="3427" xr:uid="{8A75F5A2-ED49-4AA3-8D6A-6DBAA25B11AF}"/>
    <cellStyle name="Normal 5 2 3 3" xfId="478" xr:uid="{00000000-0005-0000-0000-0000F3010000}"/>
    <cellStyle name="Normal 5 2 3 3 2" xfId="634" xr:uid="{00000000-0005-0000-0000-0000F4010000}"/>
    <cellStyle name="Normal 5 2 3 3 2 2" xfId="845" xr:uid="{00000000-0005-0000-0000-0000F5010000}"/>
    <cellStyle name="Normal 5 2 3 3 2 2 2" xfId="2901" xr:uid="{0F56C0AF-CA59-4436-857F-0B1268BA61B4}"/>
    <cellStyle name="Normal 5 2 3 3 2 2 2 2" xfId="5336" xr:uid="{1CC8F9A2-7A0D-4A12-B6CB-1BF35B1DF7FD}"/>
    <cellStyle name="Normal 5 2 3 3 2 2 3" xfId="2063" xr:uid="{12385839-BA24-4D08-81E4-A783971D5A87}"/>
    <cellStyle name="Normal 5 2 3 3 2 2 3 2" xfId="4580" xr:uid="{142BA18F-EC50-4C9E-B03D-95886FF80E4A}"/>
    <cellStyle name="Normal 5 2 3 3 2 2 4" xfId="3777" xr:uid="{CCA254A9-BCCA-486D-850C-6BA9A23AE2E0}"/>
    <cellStyle name="Normal 5 2 3 3 2 3" xfId="2497" xr:uid="{551F0BFE-190C-494C-B003-793F511C8BF2}"/>
    <cellStyle name="Normal 5 2 3 3 2 3 2" xfId="4932" xr:uid="{F6675142-69D1-42CF-8225-18223940CC22}"/>
    <cellStyle name="Normal 5 2 3 3 2 4" xfId="1469" xr:uid="{01B1780D-BDE4-4010-B61A-A998E93BBD32}"/>
    <cellStyle name="Normal 5 2 3 3 2 4 2" xfId="4062" xr:uid="{E542358A-349C-4D4F-BDF3-A00564211FD5}"/>
    <cellStyle name="Normal 5 2 3 3 2 5" xfId="3568" xr:uid="{A1400ACD-2C06-4C15-B43F-AAC9B324DA36}"/>
    <cellStyle name="Normal 5 2 3 3 3" xfId="739" xr:uid="{00000000-0005-0000-0000-0000F6010000}"/>
    <cellStyle name="Normal 5 2 3 3 3 2" xfId="2731" xr:uid="{79BA05C8-F209-4AB1-9CE1-D7B73E0290BC}"/>
    <cellStyle name="Normal 5 2 3 3 3 2 2" xfId="5166" xr:uid="{6307B17D-38ED-4C25-9682-944ACCF380DA}"/>
    <cellStyle name="Normal 5 2 3 3 3 3" xfId="1893" xr:uid="{7960F10D-F398-4F4D-A231-37B96929C42D}"/>
    <cellStyle name="Normal 5 2 3 3 3 3 2" xfId="4410" xr:uid="{BED82D36-EF01-486F-93F7-005302E11F00}"/>
    <cellStyle name="Normal 5 2 3 3 3 4" xfId="3672" xr:uid="{E9E7FDFE-FDC0-434D-9356-713E4F785E2E}"/>
    <cellStyle name="Normal 5 2 3 3 4" xfId="2496" xr:uid="{7FF56824-2E0C-4D6E-9A1F-DFC1080BF221}"/>
    <cellStyle name="Normal 5 2 3 3 4 2" xfId="4931" xr:uid="{D5A19FE6-671C-4909-B6CC-CD6577C8C729}"/>
    <cellStyle name="Normal 5 2 3 3 5" xfId="1468" xr:uid="{02BBD94B-7AF1-45F0-AD4E-70C9E3534BEA}"/>
    <cellStyle name="Normal 5 2 3 3 5 2" xfId="4061" xr:uid="{1782C697-CC19-4CE8-BD63-2899EDC0D8FA}"/>
    <cellStyle name="Normal 5 2 3 3 6" xfId="3458" xr:uid="{2402612A-BB92-46F8-B465-5A59A7F04F92}"/>
    <cellStyle name="Normal 5 2 3 4" xfId="582" xr:uid="{00000000-0005-0000-0000-0000F7010000}"/>
    <cellStyle name="Normal 5 2 3 4 2" xfId="793" xr:uid="{00000000-0005-0000-0000-0000F8010000}"/>
    <cellStyle name="Normal 5 2 3 4 2 2" xfId="2899" xr:uid="{ADE22372-0038-40A4-895E-F773DB310D85}"/>
    <cellStyle name="Normal 5 2 3 4 2 2 2" xfId="5334" xr:uid="{A831D065-2819-4B56-A55F-4E2C3B4D5B1B}"/>
    <cellStyle name="Normal 5 2 3 4 2 3" xfId="2061" xr:uid="{AE2DB97C-9F42-49C0-9EDF-8F8A786DDEC2}"/>
    <cellStyle name="Normal 5 2 3 4 2 3 2" xfId="4578" xr:uid="{7AA973A0-516B-4FC3-94DF-3214152AB7FB}"/>
    <cellStyle name="Normal 5 2 3 4 2 4" xfId="3725" xr:uid="{602BC9A0-5F24-4D27-8CA5-5103DA0FD5A1}"/>
    <cellStyle name="Normal 5 2 3 4 3" xfId="2498" xr:uid="{A926BB4D-B9D2-4C47-85B9-583224976F78}"/>
    <cellStyle name="Normal 5 2 3 4 3 2" xfId="4933" xr:uid="{A379A5BB-5A7E-422B-8BC3-977322D59C0D}"/>
    <cellStyle name="Normal 5 2 3 4 4" xfId="1470" xr:uid="{B538ECAA-5D7A-4AC0-9F26-E8D339DDD947}"/>
    <cellStyle name="Normal 5 2 3 4 4 2" xfId="4063" xr:uid="{595717E1-6D4E-4DA7-8DEA-B64189D05BDB}"/>
    <cellStyle name="Normal 5 2 3 4 5" xfId="3516" xr:uid="{04ABB4C8-A48A-4E6D-962C-958B8563AD14}"/>
    <cellStyle name="Normal 5 2 3 5" xfId="687" xr:uid="{00000000-0005-0000-0000-0000F9010000}"/>
    <cellStyle name="Normal 5 2 3 5 2" xfId="2729" xr:uid="{EAB7323E-7677-4D52-8D89-04DCDC32452A}"/>
    <cellStyle name="Normal 5 2 3 5 2 2" xfId="5164" xr:uid="{EF1E7CAD-8F8A-4A0E-A64E-B99BA2C0F88B}"/>
    <cellStyle name="Normal 5 2 3 5 3" xfId="1891" xr:uid="{9FEE6AA4-4934-498C-8DCB-D3192BCAE884}"/>
    <cellStyle name="Normal 5 2 3 5 3 2" xfId="4408" xr:uid="{23CF5A32-3768-45ED-AB92-29DF5060FD72}"/>
    <cellStyle name="Normal 5 2 3 5 4" xfId="3620" xr:uid="{21BE1BEE-278C-4A3B-8A82-E5C144C89FC8}"/>
    <cellStyle name="Normal 5 2 3 6" xfId="2493" xr:uid="{105B711D-991E-4290-9586-1764A7F6CC66}"/>
    <cellStyle name="Normal 5 2 3 6 2" xfId="4928" xr:uid="{DAA1355B-9049-4955-B915-E71066D54479}"/>
    <cellStyle name="Normal 5 2 3 7" xfId="1465" xr:uid="{27DE05A7-9A5F-4965-9ED5-00387DE8D8ED}"/>
    <cellStyle name="Normal 5 2 3 7 2" xfId="4058" xr:uid="{FC1D4EE4-10C8-42C4-9D78-30AAFBDA88B7}"/>
    <cellStyle name="Normal 5 2 3 8" xfId="3396" xr:uid="{0EDAAF67-EF9C-46DC-AB8F-40F37454E545}"/>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2 2 2" xfId="3812" xr:uid="{8B092008-F6FE-47E8-93CC-A3D8FC9E35B7}"/>
    <cellStyle name="Normal 5 2 4 2 2 2 3" xfId="2902" xr:uid="{F4BEC291-21C4-494A-BE59-8D0FA94FCC46}"/>
    <cellStyle name="Normal 5 2 4 2 2 2 3 2" xfId="5337" xr:uid="{A0A4265C-4BD5-4B8E-827C-E3103959052D}"/>
    <cellStyle name="Normal 5 2 4 2 2 2 4" xfId="3603" xr:uid="{D524336F-41DD-4344-A528-7CE593C1B3DF}"/>
    <cellStyle name="Normal 5 2 4 2 2 3" xfId="774" xr:uid="{00000000-0005-0000-0000-0000FF010000}"/>
    <cellStyle name="Normal 5 2 4 2 2 3 2" xfId="3707" xr:uid="{10DEEE57-A258-41CE-964A-48755EF8F25E}"/>
    <cellStyle name="Normal 5 2 4 2 2 4" xfId="2064" xr:uid="{7040AC77-29E5-423C-9DD2-40D38B367B5D}"/>
    <cellStyle name="Normal 5 2 4 2 2 4 2" xfId="4581" xr:uid="{C7364F5C-3F10-48EA-A272-BD0AA7BC3BC2}"/>
    <cellStyle name="Normal 5 2 4 2 2 5" xfId="3493" xr:uid="{143253EE-6EB4-4FC3-90EA-AE4FCC090FD8}"/>
    <cellStyle name="Normal 5 2 4 2 3" xfId="617" xr:uid="{00000000-0005-0000-0000-000000020000}"/>
    <cellStyle name="Normal 5 2 4 2 3 2" xfId="828" xr:uid="{00000000-0005-0000-0000-000001020000}"/>
    <cellStyle name="Normal 5 2 4 2 3 2 2" xfId="3760" xr:uid="{43D6B695-E30F-43B1-AC61-EE7A7C62B703}"/>
    <cellStyle name="Normal 5 2 4 2 3 3" xfId="2500" xr:uid="{378D6134-7E7D-4CEE-B7AD-FCD4B9ABBFD1}"/>
    <cellStyle name="Normal 5 2 4 2 3 3 2" xfId="4935" xr:uid="{87915DBE-713E-4BB8-88BC-FCEC0DA36F8A}"/>
    <cellStyle name="Normal 5 2 4 2 3 4" xfId="3551" xr:uid="{DCE2DE9A-3ACE-4E1C-A76D-353AB8C752B3}"/>
    <cellStyle name="Normal 5 2 4 2 4" xfId="722" xr:uid="{00000000-0005-0000-0000-000002020000}"/>
    <cellStyle name="Normal 5 2 4 2 4 2" xfId="3655" xr:uid="{0B550CF1-7FBC-4BF9-9E1C-CF68A99B012D}"/>
    <cellStyle name="Normal 5 2 4 2 5" xfId="1472" xr:uid="{530D4D26-EA88-4A82-8E36-C59BD14D4728}"/>
    <cellStyle name="Normal 5 2 4 2 5 2" xfId="4065" xr:uid="{D1296095-D805-490E-845B-371A065B3DC3}"/>
    <cellStyle name="Normal 5 2 4 2 6" xfId="3436" xr:uid="{18F54DA3-CBEA-4742-AA8A-A271B2C2FE29}"/>
    <cellStyle name="Normal 5 2 4 3" xfId="487" xr:uid="{00000000-0005-0000-0000-000003020000}"/>
    <cellStyle name="Normal 5 2 4 3 2" xfId="643" xr:uid="{00000000-0005-0000-0000-000004020000}"/>
    <cellStyle name="Normal 5 2 4 3 2 2" xfId="854" xr:uid="{00000000-0005-0000-0000-000005020000}"/>
    <cellStyle name="Normal 5 2 4 3 2 2 2" xfId="3786" xr:uid="{DA1A11C7-5DFE-49AB-AE72-B72036D6479D}"/>
    <cellStyle name="Normal 5 2 4 3 2 3" xfId="2732" xr:uid="{1B91A9A9-DD9D-47FF-8AA6-FBD83B801D17}"/>
    <cellStyle name="Normal 5 2 4 3 2 3 2" xfId="5167" xr:uid="{D08967A9-7623-4A4E-B6E9-118DB8F704DE}"/>
    <cellStyle name="Normal 5 2 4 3 2 4" xfId="3577" xr:uid="{C6D2BA8E-D3AD-49B3-95A3-BAA6A9495D3B}"/>
    <cellStyle name="Normal 5 2 4 3 3" xfId="748" xr:uid="{00000000-0005-0000-0000-000006020000}"/>
    <cellStyle name="Normal 5 2 4 3 3 2" xfId="3681" xr:uid="{32A2DD2D-DBA6-40BE-9A97-5B2C9354C100}"/>
    <cellStyle name="Normal 5 2 4 3 4" xfId="1894" xr:uid="{5075E8A1-04D4-41A5-92C8-FD152B4753FD}"/>
    <cellStyle name="Normal 5 2 4 3 4 2" xfId="4411" xr:uid="{CF3BF717-2E79-4072-8E18-CC3F6913CAD3}"/>
    <cellStyle name="Normal 5 2 4 3 5" xfId="3467" xr:uid="{93D3A17F-658E-44FD-9C84-C598AA71C30C}"/>
    <cellStyle name="Normal 5 2 4 4" xfId="591" xr:uid="{00000000-0005-0000-0000-000007020000}"/>
    <cellStyle name="Normal 5 2 4 4 2" xfId="802" xr:uid="{00000000-0005-0000-0000-000008020000}"/>
    <cellStyle name="Normal 5 2 4 4 2 2" xfId="3734" xr:uid="{D6314E6E-F039-4D68-A06B-4554DD91EC9E}"/>
    <cellStyle name="Normal 5 2 4 4 3" xfId="2499" xr:uid="{7905445C-7173-4222-940D-491365CEC5CC}"/>
    <cellStyle name="Normal 5 2 4 4 3 2" xfId="4934" xr:uid="{CB8E4F3F-4F3B-48FF-BB78-9D1AC81450EF}"/>
    <cellStyle name="Normal 5 2 4 4 4" xfId="3525" xr:uid="{DD72CDB2-48E0-47C3-9578-DF49D86A0975}"/>
    <cellStyle name="Normal 5 2 4 5" xfId="696" xr:uid="{00000000-0005-0000-0000-000009020000}"/>
    <cellStyle name="Normal 5 2 4 5 2" xfId="3629" xr:uid="{7F7E1832-561D-4DC8-BA12-192C2B669B94}"/>
    <cellStyle name="Normal 5 2 4 6" xfId="1471" xr:uid="{6F816BAF-DC2A-485A-8CE9-011043090C91}"/>
    <cellStyle name="Normal 5 2 4 6 2" xfId="4064" xr:uid="{E198249C-76FA-495E-9B14-A0C958B7F827}"/>
    <cellStyle name="Normal 5 2 4 7" xfId="3405" xr:uid="{39D04D92-5762-438F-A5AF-82E0EA96A4D7}"/>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2 2 2" xfId="2903" xr:uid="{BFF5B290-DFE5-4C51-9445-F1BA43F80494}"/>
    <cellStyle name="Normal 5 2 5 2 2 2 2 2" xfId="5338" xr:uid="{9AD1AC9B-53B0-4B64-A042-E31264786F7A}"/>
    <cellStyle name="Normal 5 2 5 2 2 2 3" xfId="3795" xr:uid="{70780112-DAF9-46A1-99CC-3EEDC861D096}"/>
    <cellStyle name="Normal 5 2 5 2 2 3" xfId="2065" xr:uid="{237DDF50-8DFC-44C5-85FA-F107F8015090}"/>
    <cellStyle name="Normal 5 2 5 2 2 3 2" xfId="4582" xr:uid="{ACDF1C31-39A6-4CBC-8269-31A6582329C1}"/>
    <cellStyle name="Normal 5 2 5 2 2 4" xfId="3586" xr:uid="{072824B8-6BC8-4CB8-AAD8-B627B4691327}"/>
    <cellStyle name="Normal 5 2 5 2 3" xfId="757" xr:uid="{00000000-0005-0000-0000-00000E020000}"/>
    <cellStyle name="Normal 5 2 5 2 3 2" xfId="2502" xr:uid="{F4AD6C79-4FF5-4886-83EF-DE9948101D29}"/>
    <cellStyle name="Normal 5 2 5 2 3 2 2" xfId="4937" xr:uid="{1D5FDD2B-0914-4701-9FC7-F30B28651631}"/>
    <cellStyle name="Normal 5 2 5 2 3 3" xfId="3690" xr:uid="{6CD6ABDE-A705-4863-895F-7A5C1E3B8E31}"/>
    <cellStyle name="Normal 5 2 5 2 4" xfId="1474" xr:uid="{6DF9288D-7D8C-4F63-9814-83BDADC6D391}"/>
    <cellStyle name="Normal 5 2 5 2 4 2" xfId="4067" xr:uid="{A1645CE5-2D1F-42C6-B3C8-851B1CD51EA4}"/>
    <cellStyle name="Normal 5 2 5 2 5" xfId="3476" xr:uid="{F9099F82-92FE-4020-9C2D-ED83ABB185A3}"/>
    <cellStyle name="Normal 5 2 5 3" xfId="600" xr:uid="{00000000-0005-0000-0000-00000F020000}"/>
    <cellStyle name="Normal 5 2 5 3 2" xfId="811" xr:uid="{00000000-0005-0000-0000-000010020000}"/>
    <cellStyle name="Normal 5 2 5 3 2 2" xfId="2733" xr:uid="{0ED8573C-830C-4EF9-9B77-100A675A52E7}"/>
    <cellStyle name="Normal 5 2 5 3 2 2 2" xfId="5168" xr:uid="{F5993DC7-17EA-4CC5-B159-00EB074A6400}"/>
    <cellStyle name="Normal 5 2 5 3 2 3" xfId="3743" xr:uid="{5B1CF1DF-2436-4E94-AB37-9E59D5E14307}"/>
    <cellStyle name="Normal 5 2 5 3 3" xfId="1895" xr:uid="{C3C9BC4C-5BFE-4DCD-9B9D-7C9DFC32ABBF}"/>
    <cellStyle name="Normal 5 2 5 3 3 2" xfId="4412" xr:uid="{7DEF2071-8367-43A2-A41E-E279F68F0296}"/>
    <cellStyle name="Normal 5 2 5 3 4" xfId="3534" xr:uid="{EE958E97-1617-4E57-A870-CE9BF78A63F3}"/>
    <cellStyle name="Normal 5 2 5 4" xfId="705" xr:uid="{00000000-0005-0000-0000-000011020000}"/>
    <cellStyle name="Normal 5 2 5 4 2" xfId="2501" xr:uid="{C3C45496-005B-4DCE-98F4-8BE72951ACFE}"/>
    <cellStyle name="Normal 5 2 5 4 2 2" xfId="4936" xr:uid="{EC5E35C3-CBCB-437B-9554-CEA1A55F466A}"/>
    <cellStyle name="Normal 5 2 5 4 3" xfId="3638" xr:uid="{002671B6-D18F-49F2-94C3-6101BB1AB807}"/>
    <cellStyle name="Normal 5 2 5 5" xfId="1473" xr:uid="{47AA79EE-E2E6-4564-B87A-215764F5B752}"/>
    <cellStyle name="Normal 5 2 5 5 2" xfId="4066" xr:uid="{464B02E2-F03C-4D81-96E1-90D98F8E94CB}"/>
    <cellStyle name="Normal 5 2 5 6" xfId="3419" xr:uid="{66CBA551-ADB4-4142-A72C-FEDD1C4271F7}"/>
    <cellStyle name="Normal 5 2 6" xfId="470" xr:uid="{00000000-0005-0000-0000-000012020000}"/>
    <cellStyle name="Normal 5 2 6 2" xfId="626" xr:uid="{00000000-0005-0000-0000-000013020000}"/>
    <cellStyle name="Normal 5 2 6 2 2" xfId="837" xr:uid="{00000000-0005-0000-0000-000014020000}"/>
    <cellStyle name="Normal 5 2 6 2 2 2" xfId="2892" xr:uid="{7E95CE7B-C326-4140-8E46-BCEE04FAC4E8}"/>
    <cellStyle name="Normal 5 2 6 2 2 2 2" xfId="5327" xr:uid="{11C766A4-DB08-4030-A7CB-4004EE4CE943}"/>
    <cellStyle name="Normal 5 2 6 2 2 3" xfId="3769" xr:uid="{06B39E04-DD27-4EB5-B61D-409CB1A60B7B}"/>
    <cellStyle name="Normal 5 2 6 2 3" xfId="2054" xr:uid="{94D1054A-7A84-43AD-AF06-243A17622208}"/>
    <cellStyle name="Normal 5 2 6 2 3 2" xfId="4571" xr:uid="{C025A754-68AE-4EE2-9F6E-5F30F8F654C0}"/>
    <cellStyle name="Normal 5 2 6 2 4" xfId="3560" xr:uid="{C86B6B0F-32A0-43FD-ADC4-4BAEB50D2BAD}"/>
    <cellStyle name="Normal 5 2 6 3" xfId="731" xr:uid="{00000000-0005-0000-0000-000015020000}"/>
    <cellStyle name="Normal 5 2 6 3 2" xfId="2503" xr:uid="{8B95027A-D8AD-446D-A18A-AD34CAD77CAC}"/>
    <cellStyle name="Normal 5 2 6 3 2 2" xfId="4938" xr:uid="{2C24BA2D-7CD6-4449-8AFE-CB570F0932BD}"/>
    <cellStyle name="Normal 5 2 6 3 3" xfId="3664" xr:uid="{EA10F2C1-394F-499C-B8C8-3613D4FD7EBD}"/>
    <cellStyle name="Normal 5 2 6 4" xfId="1475" xr:uid="{9C6705D3-00CD-4073-8793-4FD00BCAA3D2}"/>
    <cellStyle name="Normal 5 2 6 4 2" xfId="4068" xr:uid="{12BC2A45-68BF-4640-8496-6438CBC66AFB}"/>
    <cellStyle name="Normal 5 2 6 5" xfId="3450" xr:uid="{22177B6F-58DB-44C4-9A9F-9F588C79CBD8}"/>
    <cellStyle name="Normal 5 2 7" xfId="574" xr:uid="{00000000-0005-0000-0000-000016020000}"/>
    <cellStyle name="Normal 5 2 7 2" xfId="785" xr:uid="{00000000-0005-0000-0000-000017020000}"/>
    <cellStyle name="Normal 5 2 7 2 2" xfId="2722" xr:uid="{AB4D8A44-93B5-4874-9715-752218846DD1}"/>
    <cellStyle name="Normal 5 2 7 2 2 2" xfId="5157" xr:uid="{7C7079AB-8704-412C-8AFD-5844F607BF1A}"/>
    <cellStyle name="Normal 5 2 7 2 3" xfId="3717" xr:uid="{283A09AE-2BFB-418D-8518-7295346F727D}"/>
    <cellStyle name="Normal 5 2 7 3" xfId="1884" xr:uid="{ED964A47-6AE7-4CAC-9F2B-A37C894FB1BE}"/>
    <cellStyle name="Normal 5 2 7 3 2" xfId="4401" xr:uid="{9C78F819-3489-44B1-8CD7-272E7D8E396B}"/>
    <cellStyle name="Normal 5 2 7 4" xfId="3508" xr:uid="{64104E1D-DA1A-4C5B-900A-6BE482365EF7}"/>
    <cellStyle name="Normal 5 2 8" xfId="679" xr:uid="{00000000-0005-0000-0000-000018020000}"/>
    <cellStyle name="Normal 5 2 8 2" xfId="2240" xr:uid="{B0A293CB-FF2D-4A5D-93F3-5E715A409691}"/>
    <cellStyle name="Normal 5 2 8 2 2" xfId="4709" xr:uid="{E5D69235-35B5-42B6-B066-E51B113970D5}"/>
    <cellStyle name="Normal 5 2 8 3" xfId="3612" xr:uid="{A3B893BC-A167-4F81-A493-754657212D27}"/>
    <cellStyle name="Normal 5 2 9" xfId="2480" xr:uid="{0BD1D395-D750-4B79-BDC3-2221C8B12C4C}"/>
    <cellStyle name="Normal 5 2 9 2" xfId="4915" xr:uid="{D0C18FAA-F1B2-4E24-9C64-B9E50EA081E8}"/>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2 2 2" xfId="2905" xr:uid="{1462914D-4CA3-432E-A2B7-5BC1BCCE89C7}"/>
    <cellStyle name="Normal 5 3 2 2 2 2 2 2 2" xfId="5340" xr:uid="{E6F3AF95-2C7D-4658-ACBE-DF6EA354B06E}"/>
    <cellStyle name="Normal 5 3 2 2 2 2 2 3" xfId="3805" xr:uid="{98B77455-F9D9-4A74-85FD-68B10AEB7A7C}"/>
    <cellStyle name="Normal 5 3 2 2 2 2 3" xfId="2067" xr:uid="{E09FFE0B-2777-461D-9899-21B44832AC8F}"/>
    <cellStyle name="Normal 5 3 2 2 2 2 3 2" xfId="4584" xr:uid="{FFC63DE9-27BF-42CA-AC3B-740671586CA1}"/>
    <cellStyle name="Normal 5 3 2 2 2 2 4" xfId="3596" xr:uid="{32425F05-0ADF-4104-89AE-840F25763E56}"/>
    <cellStyle name="Normal 5 3 2 2 2 3" xfId="767" xr:uid="{00000000-0005-0000-0000-00001F020000}"/>
    <cellStyle name="Normal 5 3 2 2 2 3 2" xfId="2506" xr:uid="{34FEC0F5-93DF-4135-A598-DEB93123A834}"/>
    <cellStyle name="Normal 5 3 2 2 2 3 2 2" xfId="4941" xr:uid="{B82FE000-A159-484E-9B84-49E969E396F4}"/>
    <cellStyle name="Normal 5 3 2 2 2 3 3" xfId="3700" xr:uid="{BE25F62F-D6FF-49E0-9425-03E804D25967}"/>
    <cellStyle name="Normal 5 3 2 2 2 4" xfId="1479" xr:uid="{BF14F7C7-5188-4CAC-9026-E329AC71FA27}"/>
    <cellStyle name="Normal 5 3 2 2 2 4 2" xfId="4071" xr:uid="{F58C3A60-399E-4B69-8FDC-F6579321D29F}"/>
    <cellStyle name="Normal 5 3 2 2 2 5" xfId="3486" xr:uid="{CE38AE8A-22B4-40BE-BBDE-ECC305185C0D}"/>
    <cellStyle name="Normal 5 3 2 2 3" xfId="610" xr:uid="{00000000-0005-0000-0000-000020020000}"/>
    <cellStyle name="Normal 5 3 2 2 3 2" xfId="821" xr:uid="{00000000-0005-0000-0000-000021020000}"/>
    <cellStyle name="Normal 5 3 2 2 3 2 2" xfId="2735" xr:uid="{7007D841-94B8-4517-85FD-74259C3FBFD4}"/>
    <cellStyle name="Normal 5 3 2 2 3 2 2 2" xfId="5170" xr:uid="{306070FC-3F22-4F0F-A2A7-08D64FD056D8}"/>
    <cellStyle name="Normal 5 3 2 2 3 2 3" xfId="3753" xr:uid="{773C69CF-2DCD-4896-9E58-78C7543612BA}"/>
    <cellStyle name="Normal 5 3 2 2 3 3" xfId="1897" xr:uid="{557C8FD9-C67B-4272-957D-5F83EF5628CF}"/>
    <cellStyle name="Normal 5 3 2 2 3 3 2" xfId="4414" xr:uid="{947CB7B4-A075-4B6D-AED8-6A4DD99FBB93}"/>
    <cellStyle name="Normal 5 3 2 2 3 4" xfId="3544" xr:uid="{4F13872E-DD61-4114-AB5B-51081673EE9F}"/>
    <cellStyle name="Normal 5 3 2 2 4" xfId="715" xr:uid="{00000000-0005-0000-0000-000022020000}"/>
    <cellStyle name="Normal 5 3 2 2 4 2" xfId="2505" xr:uid="{C7B56D19-68FF-4E15-8FDF-15185B913AA5}"/>
    <cellStyle name="Normal 5 3 2 2 4 2 2" xfId="4940" xr:uid="{F1A40060-C09B-4698-94BF-253FE71AF9CE}"/>
    <cellStyle name="Normal 5 3 2 2 4 3" xfId="3648" xr:uid="{2E113CE6-C94C-4861-B096-78C49FED7766}"/>
    <cellStyle name="Normal 5 3 2 2 5" xfId="1478" xr:uid="{4D30AA7A-F3F3-4D69-9DC4-39729FB3F0BD}"/>
    <cellStyle name="Normal 5 3 2 2 5 2" xfId="4070" xr:uid="{A4B32921-460A-4E88-B889-8EE5912F0B8B}"/>
    <cellStyle name="Normal 5 3 2 2 6" xfId="3429" xr:uid="{A7D9400F-C898-4727-A3DA-189A5E39AEB1}"/>
    <cellStyle name="Normal 5 3 2 3" xfId="480" xr:uid="{00000000-0005-0000-0000-000023020000}"/>
    <cellStyle name="Normal 5 3 2 3 2" xfId="636" xr:uid="{00000000-0005-0000-0000-000024020000}"/>
    <cellStyle name="Normal 5 3 2 3 2 2" xfId="847" xr:uid="{00000000-0005-0000-0000-000025020000}"/>
    <cellStyle name="Normal 5 3 2 3 2 2 2" xfId="2906" xr:uid="{80190684-EBC7-4C91-819E-DDF479576E7C}"/>
    <cellStyle name="Normal 5 3 2 3 2 2 2 2" xfId="5341" xr:uid="{573361D3-EA69-4C8B-A2AC-C1B43D3C2C79}"/>
    <cellStyle name="Normal 5 3 2 3 2 2 3" xfId="2068" xr:uid="{15C865CF-3A72-4D3A-989D-60920341CAD2}"/>
    <cellStyle name="Normal 5 3 2 3 2 2 3 2" xfId="4585" xr:uid="{14E0B0B4-CC05-42CA-9069-ED18E2E8C93D}"/>
    <cellStyle name="Normal 5 3 2 3 2 2 4" xfId="3779" xr:uid="{CC7F0CFB-F642-4F1B-B55B-CCA5003E27FD}"/>
    <cellStyle name="Normal 5 3 2 3 2 3" xfId="2508" xr:uid="{88F943E9-7A07-44A8-852C-1F0A30D2836B}"/>
    <cellStyle name="Normal 5 3 2 3 2 3 2" xfId="4943" xr:uid="{20277A27-84F9-47F4-AE31-624D45463005}"/>
    <cellStyle name="Normal 5 3 2 3 2 4" xfId="1481" xr:uid="{32AFD444-0CA0-472D-BDF3-A537E1177792}"/>
    <cellStyle name="Normal 5 3 2 3 2 4 2" xfId="4073" xr:uid="{EF244EE6-A058-4E75-A626-C7822448421B}"/>
    <cellStyle name="Normal 5 3 2 3 2 5" xfId="3570" xr:uid="{755E65F1-9ABA-4E13-B200-7404FCB8D99A}"/>
    <cellStyle name="Normal 5 3 2 3 3" xfId="741" xr:uid="{00000000-0005-0000-0000-000026020000}"/>
    <cellStyle name="Normal 5 3 2 3 3 2" xfId="2736" xr:uid="{375AA0D8-A473-4155-AB4A-E537C10C84AA}"/>
    <cellStyle name="Normal 5 3 2 3 3 2 2" xfId="5171" xr:uid="{FA7635C9-97DC-4110-9EC4-E5E738870F0C}"/>
    <cellStyle name="Normal 5 3 2 3 3 3" xfId="1898" xr:uid="{72881647-2160-406C-83D5-018A9FCA8947}"/>
    <cellStyle name="Normal 5 3 2 3 3 3 2" xfId="4415" xr:uid="{D831C86C-1B61-44D2-8FCA-2F12BE1CE743}"/>
    <cellStyle name="Normal 5 3 2 3 3 4" xfId="3674" xr:uid="{72E90790-FBC4-442E-8B94-B37070BC9063}"/>
    <cellStyle name="Normal 5 3 2 3 4" xfId="2507" xr:uid="{E474728F-4506-4CE4-B5E8-E52249709289}"/>
    <cellStyle name="Normal 5 3 2 3 4 2" xfId="4942" xr:uid="{9598DC8F-6AF3-4F13-8BCB-3CA55D003B92}"/>
    <cellStyle name="Normal 5 3 2 3 5" xfId="1480" xr:uid="{76DE6850-9618-48F4-85E1-CB17C4019CD6}"/>
    <cellStyle name="Normal 5 3 2 3 5 2" xfId="4072" xr:uid="{62D01D13-3597-4ABE-9025-C7E10BF32A49}"/>
    <cellStyle name="Normal 5 3 2 3 6" xfId="3460" xr:uid="{4E2ED4B5-5472-458D-83B1-10BAB46483C3}"/>
    <cellStyle name="Normal 5 3 2 4" xfId="584" xr:uid="{00000000-0005-0000-0000-000027020000}"/>
    <cellStyle name="Normal 5 3 2 4 2" xfId="795" xr:uid="{00000000-0005-0000-0000-000028020000}"/>
    <cellStyle name="Normal 5 3 2 4 2 2" xfId="2904" xr:uid="{7B63F3B2-0691-4068-A879-FFF30213A5DF}"/>
    <cellStyle name="Normal 5 3 2 4 2 2 2" xfId="5339" xr:uid="{8270B2DF-9465-4932-953A-D0C964BDF50E}"/>
    <cellStyle name="Normal 5 3 2 4 2 3" xfId="2066" xr:uid="{F368123C-949C-4E23-8F48-A38105BB4DC5}"/>
    <cellStyle name="Normal 5 3 2 4 2 3 2" xfId="4583" xr:uid="{393CB28F-74B2-4ED9-AB44-7A2C82F42148}"/>
    <cellStyle name="Normal 5 3 2 4 2 4" xfId="3727" xr:uid="{DBD61F0A-FDA1-4B09-B519-B4678D55529A}"/>
    <cellStyle name="Normal 5 3 2 4 3" xfId="2509" xr:uid="{DE1A5BA0-F39C-4CC6-8BF5-BEEAA0495509}"/>
    <cellStyle name="Normal 5 3 2 4 3 2" xfId="4944" xr:uid="{62390541-F939-4DF4-9B2B-6B9380C512AB}"/>
    <cellStyle name="Normal 5 3 2 4 4" xfId="1482" xr:uid="{36C985FA-7A32-4D02-AB97-BDDCDC0BA53C}"/>
    <cellStyle name="Normal 5 3 2 4 4 2" xfId="4074" xr:uid="{83E8379F-DAAD-4497-BEBD-7CB48B15B1D8}"/>
    <cellStyle name="Normal 5 3 2 4 5" xfId="3518" xr:uid="{3458B768-FABF-4B86-90D3-2FFB3F9F082C}"/>
    <cellStyle name="Normal 5 3 2 5" xfId="689" xr:uid="{00000000-0005-0000-0000-000029020000}"/>
    <cellStyle name="Normal 5 3 2 5 2" xfId="2734" xr:uid="{1AD61E4E-A58E-4CD7-942C-8F46BAAEF4D6}"/>
    <cellStyle name="Normal 5 3 2 5 2 2" xfId="5169" xr:uid="{1F989ADE-7204-4343-9192-DC079E322BA9}"/>
    <cellStyle name="Normal 5 3 2 5 3" xfId="1896" xr:uid="{CEAD9501-2DAE-4A50-9098-86D9691B05F4}"/>
    <cellStyle name="Normal 5 3 2 5 3 2" xfId="4413" xr:uid="{FC3F15CA-460C-4884-A681-8AE2AFE69C8B}"/>
    <cellStyle name="Normal 5 3 2 5 4" xfId="3622" xr:uid="{77DCBA75-A44E-4F08-BF96-36EDED7DD757}"/>
    <cellStyle name="Normal 5 3 2 6" xfId="2504" xr:uid="{9F90B0C3-F749-44E7-BD2D-494D21FFD158}"/>
    <cellStyle name="Normal 5 3 2 6 2" xfId="4939" xr:uid="{D25E58FA-9A9A-41BE-A326-0ADFCB7C81DF}"/>
    <cellStyle name="Normal 5 3 2 7" xfId="1477" xr:uid="{A49D2BAE-4F77-4B6C-9AFB-584269182511}"/>
    <cellStyle name="Normal 5 3 2 7 2" xfId="4069" xr:uid="{0972C146-834A-4C96-AC38-996844D32B3D}"/>
    <cellStyle name="Normal 5 3 2 8" xfId="3398" xr:uid="{87EAD8F5-444E-48EB-A95C-020850ADF603}"/>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2 2 2" xfId="3814" xr:uid="{013EC4CE-C8DB-4487-B99B-87BF32A62960}"/>
    <cellStyle name="Normal 5 3 3 2 2 2 3" xfId="2907" xr:uid="{FED92EFF-F004-4AB8-A43E-9F87207F2477}"/>
    <cellStyle name="Normal 5 3 3 2 2 2 3 2" xfId="5342" xr:uid="{6D83AF9F-C44F-457A-AD20-652F23A6727A}"/>
    <cellStyle name="Normal 5 3 3 2 2 2 4" xfId="3605" xr:uid="{C4431531-734A-4EC5-96B4-066D33BFCA04}"/>
    <cellStyle name="Normal 5 3 3 2 2 3" xfId="776" xr:uid="{00000000-0005-0000-0000-00002F020000}"/>
    <cellStyle name="Normal 5 3 3 2 2 3 2" xfId="3709" xr:uid="{708B2318-0A06-4D91-A481-CBA3DC68714B}"/>
    <cellStyle name="Normal 5 3 3 2 2 4" xfId="2069" xr:uid="{9E8B92A4-0A24-448A-852A-61045F3C596D}"/>
    <cellStyle name="Normal 5 3 3 2 2 4 2" xfId="4586" xr:uid="{2F4F53B1-06A4-487E-BC77-98F78D9E9867}"/>
    <cellStyle name="Normal 5 3 3 2 2 5" xfId="3495" xr:uid="{171AE557-CD98-4CDF-8347-589566EF5C6E}"/>
    <cellStyle name="Normal 5 3 3 2 3" xfId="619" xr:uid="{00000000-0005-0000-0000-000030020000}"/>
    <cellStyle name="Normal 5 3 3 2 3 2" xfId="830" xr:uid="{00000000-0005-0000-0000-000031020000}"/>
    <cellStyle name="Normal 5 3 3 2 3 2 2" xfId="3762" xr:uid="{20E7DA11-F089-407E-BB29-375D998D23AF}"/>
    <cellStyle name="Normal 5 3 3 2 3 3" xfId="2511" xr:uid="{024C6A05-0961-4FC3-A988-0B39742B3598}"/>
    <cellStyle name="Normal 5 3 3 2 3 3 2" xfId="4946" xr:uid="{7E9B8577-35F8-4543-8D1F-C876DEE1CA80}"/>
    <cellStyle name="Normal 5 3 3 2 3 4" xfId="3553" xr:uid="{EE51077F-A852-4BBE-A2AC-48BCD7106AEE}"/>
    <cellStyle name="Normal 5 3 3 2 4" xfId="724" xr:uid="{00000000-0005-0000-0000-000032020000}"/>
    <cellStyle name="Normal 5 3 3 2 4 2" xfId="3657" xr:uid="{09EC7F46-5535-4F1E-84F6-ABD996892624}"/>
    <cellStyle name="Normal 5 3 3 2 5" xfId="1484" xr:uid="{43A2333E-70CD-4505-8A17-87D483D1A922}"/>
    <cellStyle name="Normal 5 3 3 2 5 2" xfId="4076" xr:uid="{A56AF537-6EFB-477F-93A4-244234E71A9E}"/>
    <cellStyle name="Normal 5 3 3 2 6" xfId="3438" xr:uid="{554C963E-80FF-487B-80D0-17651C4F172E}"/>
    <cellStyle name="Normal 5 3 3 3" xfId="489" xr:uid="{00000000-0005-0000-0000-000033020000}"/>
    <cellStyle name="Normal 5 3 3 3 2" xfId="645" xr:uid="{00000000-0005-0000-0000-000034020000}"/>
    <cellStyle name="Normal 5 3 3 3 2 2" xfId="856" xr:uid="{00000000-0005-0000-0000-000035020000}"/>
    <cellStyle name="Normal 5 3 3 3 2 2 2" xfId="3788" xr:uid="{D6B43BB2-4E3D-47B2-A5C0-716417BD8619}"/>
    <cellStyle name="Normal 5 3 3 3 2 3" xfId="2737" xr:uid="{BB94A5AA-624C-4B1D-AB1B-207FE5713B44}"/>
    <cellStyle name="Normal 5 3 3 3 2 3 2" xfId="5172" xr:uid="{93754057-D0C6-4178-97E3-473F882BA685}"/>
    <cellStyle name="Normal 5 3 3 3 2 4" xfId="3579" xr:uid="{EBECB9AC-0A89-434D-BCCE-FADA023198A9}"/>
    <cellStyle name="Normal 5 3 3 3 3" xfId="750" xr:uid="{00000000-0005-0000-0000-000036020000}"/>
    <cellStyle name="Normal 5 3 3 3 3 2" xfId="3683" xr:uid="{CBD2EE80-2020-465B-A993-1ACF6B8D88F8}"/>
    <cellStyle name="Normal 5 3 3 3 4" xfId="1899" xr:uid="{DB271AFA-8958-463E-9AD1-F485EBEA4ED2}"/>
    <cellStyle name="Normal 5 3 3 3 4 2" xfId="4416" xr:uid="{CFC41BCE-A323-4CCC-93B4-9F86370B9B8F}"/>
    <cellStyle name="Normal 5 3 3 3 5" xfId="3469" xr:uid="{339B4A1E-20BC-4CBE-97A7-1961F7A00ED9}"/>
    <cellStyle name="Normal 5 3 3 4" xfId="593" xr:uid="{00000000-0005-0000-0000-000037020000}"/>
    <cellStyle name="Normal 5 3 3 4 2" xfId="804" xr:uid="{00000000-0005-0000-0000-000038020000}"/>
    <cellStyle name="Normal 5 3 3 4 2 2" xfId="3736" xr:uid="{93D8BF51-FC8A-4D6B-8E7B-D4ABC7D2CE20}"/>
    <cellStyle name="Normal 5 3 3 4 3" xfId="2510" xr:uid="{CC5DF59F-77FA-404B-B029-61BBD5AA8FD3}"/>
    <cellStyle name="Normal 5 3 3 4 3 2" xfId="4945" xr:uid="{94C266A2-D540-439F-9CEF-6F2FD88275C0}"/>
    <cellStyle name="Normal 5 3 3 4 4" xfId="3527" xr:uid="{AFA84220-1AC3-463C-BCAB-5EA3B21B58BC}"/>
    <cellStyle name="Normal 5 3 3 5" xfId="698" xr:uid="{00000000-0005-0000-0000-000039020000}"/>
    <cellStyle name="Normal 5 3 3 5 2" xfId="3631" xr:uid="{E503A876-E0ED-4923-9E8A-064F116F59CE}"/>
    <cellStyle name="Normal 5 3 3 6" xfId="1483" xr:uid="{CC7440F1-8296-4789-86A6-DBE83A3D07BB}"/>
    <cellStyle name="Normal 5 3 3 6 2" xfId="4075" xr:uid="{1F8B4526-D182-4037-A062-26138B4AF34C}"/>
    <cellStyle name="Normal 5 3 3 7" xfId="3407" xr:uid="{A26CFC70-D21A-484B-AF8B-F8866493B99A}"/>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2 2 2" xfId="2908" xr:uid="{BE0A0989-9C7C-40FD-ABA9-2329FDB26A33}"/>
    <cellStyle name="Normal 5 3 4 2 2 2 2 2" xfId="5343" xr:uid="{2EBDEB99-702F-4DFD-ADDC-2FF629D2AC43}"/>
    <cellStyle name="Normal 5 3 4 2 2 2 3" xfId="3797" xr:uid="{3FAFFEB0-42BD-4772-A552-F2F4BA66C7A4}"/>
    <cellStyle name="Normal 5 3 4 2 2 3" xfId="2070" xr:uid="{C3E83E2E-3F04-4258-9AC4-1B58536583F4}"/>
    <cellStyle name="Normal 5 3 4 2 2 3 2" xfId="4587" xr:uid="{2B3EA774-ED90-4D22-9A40-5840FA76F273}"/>
    <cellStyle name="Normal 5 3 4 2 2 4" xfId="3588" xr:uid="{242D05B6-1B87-4D25-A620-5AC8F364A041}"/>
    <cellStyle name="Normal 5 3 4 2 3" xfId="759" xr:uid="{00000000-0005-0000-0000-00003E020000}"/>
    <cellStyle name="Normal 5 3 4 2 3 2" xfId="2513" xr:uid="{83F99F57-A20D-47FE-9F4D-E9C0800104CD}"/>
    <cellStyle name="Normal 5 3 4 2 3 2 2" xfId="4948" xr:uid="{4FC5D091-B074-4779-9123-ED2ED69B90C6}"/>
    <cellStyle name="Normal 5 3 4 2 3 3" xfId="3692" xr:uid="{13119780-3215-489D-82A7-B4B3A4DA93A1}"/>
    <cellStyle name="Normal 5 3 4 2 4" xfId="1486" xr:uid="{352165A9-24B5-473A-A091-F65ED06A582B}"/>
    <cellStyle name="Normal 5 3 4 2 4 2" xfId="4078" xr:uid="{D53137F5-2B87-4EE2-8475-E8ECD142F665}"/>
    <cellStyle name="Normal 5 3 4 2 5" xfId="3478" xr:uid="{B4107C85-9BFC-4B4D-BCB6-8A09E078E668}"/>
    <cellStyle name="Normal 5 3 4 3" xfId="602" xr:uid="{00000000-0005-0000-0000-00003F020000}"/>
    <cellStyle name="Normal 5 3 4 3 2" xfId="813" xr:uid="{00000000-0005-0000-0000-000040020000}"/>
    <cellStyle name="Normal 5 3 4 3 2 2" xfId="2738" xr:uid="{072ABA06-D777-436C-992C-50BF2F955C11}"/>
    <cellStyle name="Normal 5 3 4 3 2 2 2" xfId="5173" xr:uid="{264E8F9D-A1D6-41A6-8952-51FD1C7CE46E}"/>
    <cellStyle name="Normal 5 3 4 3 2 3" xfId="3745" xr:uid="{1CA79868-D92A-41EB-98CC-7BA6F33D2B9F}"/>
    <cellStyle name="Normal 5 3 4 3 3" xfId="1900" xr:uid="{1FB3B786-FD6E-4FE1-9937-2F5B17B1FBFE}"/>
    <cellStyle name="Normal 5 3 4 3 3 2" xfId="4417" xr:uid="{61B4C065-E582-46A7-BBFD-F1B928D5165C}"/>
    <cellStyle name="Normal 5 3 4 3 4" xfId="3536" xr:uid="{91F3260D-5AF7-4751-815F-BECA5EDDE651}"/>
    <cellStyle name="Normal 5 3 4 4" xfId="707" xr:uid="{00000000-0005-0000-0000-000041020000}"/>
    <cellStyle name="Normal 5 3 4 4 2" xfId="2512" xr:uid="{504D2D35-891C-4D52-9900-66D415EA56EB}"/>
    <cellStyle name="Normal 5 3 4 4 2 2" xfId="4947" xr:uid="{082936C2-9C7E-41B7-ACEA-54FE3305CBED}"/>
    <cellStyle name="Normal 5 3 4 4 3" xfId="3640" xr:uid="{BCAF62F3-106A-4EFF-8CA0-F34451DD5233}"/>
    <cellStyle name="Normal 5 3 4 5" xfId="1485" xr:uid="{D9C185C2-2A79-4627-A634-AF26022777D6}"/>
    <cellStyle name="Normal 5 3 4 5 2" xfId="4077" xr:uid="{6C64F58F-D36F-4DED-9309-E06D2139757A}"/>
    <cellStyle name="Normal 5 3 4 6" xfId="3421" xr:uid="{84595A46-9F93-4350-9DF5-42DE6AD6446D}"/>
    <cellStyle name="Normal 5 3 5" xfId="472" xr:uid="{00000000-0005-0000-0000-000042020000}"/>
    <cellStyle name="Normal 5 3 5 2" xfId="628" xr:uid="{00000000-0005-0000-0000-000043020000}"/>
    <cellStyle name="Normal 5 3 5 2 2" xfId="839" xr:uid="{00000000-0005-0000-0000-000044020000}"/>
    <cellStyle name="Normal 5 3 5 2 2 2" xfId="3771" xr:uid="{88101F3A-9311-45F8-B9A9-407F69A50D60}"/>
    <cellStyle name="Normal 5 3 5 2 3" xfId="3562" xr:uid="{E896FD4C-19B7-4538-AFF0-631C4AD8FEFD}"/>
    <cellStyle name="Normal 5 3 5 3" xfId="733" xr:uid="{00000000-0005-0000-0000-000045020000}"/>
    <cellStyle name="Normal 5 3 5 3 2" xfId="3666" xr:uid="{30089712-67D4-4849-A08B-1A0BEF991120}"/>
    <cellStyle name="Normal 5 3 5 4" xfId="3452" xr:uid="{93EE1D20-ACBB-4C9E-8BB9-F1D85FACEE88}"/>
    <cellStyle name="Normal 5 3 6" xfId="576" xr:uid="{00000000-0005-0000-0000-000046020000}"/>
    <cellStyle name="Normal 5 3 6 2" xfId="787" xr:uid="{00000000-0005-0000-0000-000047020000}"/>
    <cellStyle name="Normal 5 3 6 2 2" xfId="3719" xr:uid="{5CEDFEB8-B0EB-4240-A9D1-2F5394581FF1}"/>
    <cellStyle name="Normal 5 3 6 3" xfId="3510" xr:uid="{B0978FD5-4E4A-4CFF-A8FD-19FCF0991D81}"/>
    <cellStyle name="Normal 5 3 7" xfId="681" xr:uid="{00000000-0005-0000-0000-000048020000}"/>
    <cellStyle name="Normal 5 3 7 2" xfId="3614" xr:uid="{6A1EADA9-BCAC-4222-A1CF-00178AE4F1B6}"/>
    <cellStyle name="Normal 5 3 8" xfId="1476" xr:uid="{C3F50E7A-3478-4DC5-BA1E-02C9D0E00766}"/>
    <cellStyle name="Normal 5 3 9" xfId="3385" xr:uid="{5AD14DD2-2831-47F1-9861-447F29D5690C}"/>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2 2 2" xfId="2910" xr:uid="{C7DD388E-1F64-4B37-8F30-A539F4B2052E}"/>
    <cellStyle name="Normal 5 4 2 2 2 2 2 2" xfId="5345" xr:uid="{72CFCC00-97F1-4040-BE61-2E773F73D472}"/>
    <cellStyle name="Normal 5 4 2 2 2 2 3" xfId="3801" xr:uid="{E2B1B1B8-AA0A-4840-9511-8C144F08C161}"/>
    <cellStyle name="Normal 5 4 2 2 2 3" xfId="2072" xr:uid="{F9DB3EE8-0281-47DA-9C51-4378067B762D}"/>
    <cellStyle name="Normal 5 4 2 2 2 3 2" xfId="4589" xr:uid="{B4CB63AB-6BB5-4A02-BCED-852A00375C24}"/>
    <cellStyle name="Normal 5 4 2 2 2 4" xfId="3592" xr:uid="{D707225E-ACB1-4344-B1A7-7F676411F15D}"/>
    <cellStyle name="Normal 5 4 2 2 3" xfId="763" xr:uid="{00000000-0005-0000-0000-00004E020000}"/>
    <cellStyle name="Normal 5 4 2 2 3 2" xfId="2516" xr:uid="{9271B195-2F52-4C31-B5C5-FC128F73FD0F}"/>
    <cellStyle name="Normal 5 4 2 2 3 2 2" xfId="4951" xr:uid="{65521D9A-A5F7-4647-A8F9-B125891C5D48}"/>
    <cellStyle name="Normal 5 4 2 2 3 3" xfId="3696" xr:uid="{A061AA24-75F1-4914-B977-2AFC9E4801D9}"/>
    <cellStyle name="Normal 5 4 2 2 4" xfId="1489" xr:uid="{F241C311-FF85-44A8-AE00-4BAE74186B2D}"/>
    <cellStyle name="Normal 5 4 2 2 4 2" xfId="4081" xr:uid="{07D3E3ED-644C-477B-BDBF-6EB185855EE8}"/>
    <cellStyle name="Normal 5 4 2 2 5" xfId="3482" xr:uid="{824D5C97-7F60-4A4F-9814-FE7C8AF10A9B}"/>
    <cellStyle name="Normal 5 4 2 3" xfId="606" xr:uid="{00000000-0005-0000-0000-00004F020000}"/>
    <cellStyle name="Normal 5 4 2 3 2" xfId="817" xr:uid="{00000000-0005-0000-0000-000050020000}"/>
    <cellStyle name="Normal 5 4 2 3 2 2" xfId="2740" xr:uid="{C223F2EA-3F07-40C4-B9DB-ECCB0616C835}"/>
    <cellStyle name="Normal 5 4 2 3 2 2 2" xfId="5175" xr:uid="{EB5C5E0A-E4F0-49A3-9F49-DA0AEE302224}"/>
    <cellStyle name="Normal 5 4 2 3 2 3" xfId="3749" xr:uid="{21FD96A3-4AF8-48BE-A9C2-EA2376C0D4E8}"/>
    <cellStyle name="Normal 5 4 2 3 3" xfId="1902" xr:uid="{066410FA-ADBC-48F0-8790-6132C90ACA5C}"/>
    <cellStyle name="Normal 5 4 2 3 3 2" xfId="4419" xr:uid="{542EE0A3-1A34-4CD9-BBDC-FBF7B393F52A}"/>
    <cellStyle name="Normal 5 4 2 3 4" xfId="3540" xr:uid="{E15A762F-86DB-42F9-944A-CA9ED7092FEF}"/>
    <cellStyle name="Normal 5 4 2 4" xfId="711" xr:uid="{00000000-0005-0000-0000-000051020000}"/>
    <cellStyle name="Normal 5 4 2 4 2" xfId="2515" xr:uid="{A9192333-71A5-46B8-951E-CE8E503D9410}"/>
    <cellStyle name="Normal 5 4 2 4 2 2" xfId="4950" xr:uid="{5B52CAED-5892-44E5-A60A-55F4B68571D6}"/>
    <cellStyle name="Normal 5 4 2 4 3" xfId="3644" xr:uid="{38B057DE-6F03-42EA-8292-82112E45E02A}"/>
    <cellStyle name="Normal 5 4 2 5" xfId="1488" xr:uid="{16EB2FD0-81CA-4228-A80D-1EC951C46819}"/>
    <cellStyle name="Normal 5 4 2 5 2" xfId="4080" xr:uid="{B3A7C1DE-C048-4E85-97E1-8676EAE355C6}"/>
    <cellStyle name="Normal 5 4 2 6" xfId="3425" xr:uid="{0767D1E1-C5A4-456E-924C-9EF4D4EABB6F}"/>
    <cellStyle name="Normal 5 4 3" xfId="476" xr:uid="{00000000-0005-0000-0000-000052020000}"/>
    <cellStyle name="Normal 5 4 3 2" xfId="632" xr:uid="{00000000-0005-0000-0000-000053020000}"/>
    <cellStyle name="Normal 5 4 3 2 2" xfId="843" xr:uid="{00000000-0005-0000-0000-000054020000}"/>
    <cellStyle name="Normal 5 4 3 2 2 2" xfId="2911" xr:uid="{67E0E1A1-CF76-42C6-ABE5-322E0C0133B3}"/>
    <cellStyle name="Normal 5 4 3 2 2 2 2" xfId="5346" xr:uid="{97B1559C-97C1-47EF-BE24-70B88D5B4E15}"/>
    <cellStyle name="Normal 5 4 3 2 2 3" xfId="2073" xr:uid="{95AC8AD6-C4F2-4E58-8045-1257E1394637}"/>
    <cellStyle name="Normal 5 4 3 2 2 3 2" xfId="4590" xr:uid="{928F68BD-8D5C-406E-8E13-C64DE3FD67C4}"/>
    <cellStyle name="Normal 5 4 3 2 2 4" xfId="3775" xr:uid="{D1D89F05-4C08-4594-97E8-AB1B7D2C5646}"/>
    <cellStyle name="Normal 5 4 3 2 3" xfId="2518" xr:uid="{92073405-172E-4DED-AE07-3E02CBDABFEF}"/>
    <cellStyle name="Normal 5 4 3 2 3 2" xfId="4953" xr:uid="{7D0B383F-2C7D-4B7D-9D35-067E03B7AE36}"/>
    <cellStyle name="Normal 5 4 3 2 4" xfId="1491" xr:uid="{F0930CDE-8ED7-4F50-8BD8-A15A4FD2EA6E}"/>
    <cellStyle name="Normal 5 4 3 2 4 2" xfId="4083" xr:uid="{1CC27694-D28E-4124-AC30-25BF5D4B700D}"/>
    <cellStyle name="Normal 5 4 3 2 5" xfId="3566" xr:uid="{50A47D47-505F-44CC-8252-1D3C2CE339B2}"/>
    <cellStyle name="Normal 5 4 3 3" xfId="737" xr:uid="{00000000-0005-0000-0000-000055020000}"/>
    <cellStyle name="Normal 5 4 3 3 2" xfId="2741" xr:uid="{33FD0741-219E-451D-BAF2-E3C738270A4E}"/>
    <cellStyle name="Normal 5 4 3 3 2 2" xfId="5176" xr:uid="{A4248972-25E7-4708-B021-3209C4069BF0}"/>
    <cellStyle name="Normal 5 4 3 3 3" xfId="1903" xr:uid="{D28835A3-66DB-447D-A306-B31935B79B1C}"/>
    <cellStyle name="Normal 5 4 3 3 3 2" xfId="4420" xr:uid="{F0716DD1-D59F-492C-BA89-233AFBA59226}"/>
    <cellStyle name="Normal 5 4 3 3 4" xfId="3670" xr:uid="{EF27FFCC-B43C-401B-A772-C5D87E60623D}"/>
    <cellStyle name="Normal 5 4 3 4" xfId="2517" xr:uid="{7636130F-C454-48F8-83A7-AA22A7854ACA}"/>
    <cellStyle name="Normal 5 4 3 4 2" xfId="4952" xr:uid="{E6BECA4A-324E-442A-8178-C040EE837127}"/>
    <cellStyle name="Normal 5 4 3 5" xfId="1490" xr:uid="{268F588D-E882-484F-A634-7BF4FB73BD11}"/>
    <cellStyle name="Normal 5 4 3 5 2" xfId="4082" xr:uid="{AFC9D66E-2E28-4659-BDA9-A6BA3CB8152A}"/>
    <cellStyle name="Normal 5 4 3 6" xfId="3456" xr:uid="{89851139-57CD-4D37-B77B-F73B2ABAF4C9}"/>
    <cellStyle name="Normal 5 4 4" xfId="580" xr:uid="{00000000-0005-0000-0000-000056020000}"/>
    <cellStyle name="Normal 5 4 4 2" xfId="791" xr:uid="{00000000-0005-0000-0000-000057020000}"/>
    <cellStyle name="Normal 5 4 4 2 2" xfId="2909" xr:uid="{F1B3D911-7A4D-4D33-932A-2148E35B932F}"/>
    <cellStyle name="Normal 5 4 4 2 2 2" xfId="5344" xr:uid="{8A376ACF-C367-48D3-97F4-9FB3C689A361}"/>
    <cellStyle name="Normal 5 4 4 2 3" xfId="2071" xr:uid="{90DE3BFB-F936-4D0A-BD49-412DF87AD4AF}"/>
    <cellStyle name="Normal 5 4 4 2 3 2" xfId="4588" xr:uid="{F1F0B58E-B835-4C76-9AAA-62B5317236A5}"/>
    <cellStyle name="Normal 5 4 4 2 4" xfId="3723" xr:uid="{A6BBF485-3BB0-44BE-B4C5-85E6F50D526C}"/>
    <cellStyle name="Normal 5 4 4 3" xfId="2519" xr:uid="{6814017C-57C0-43A6-817B-CE9F052428D8}"/>
    <cellStyle name="Normal 5 4 4 3 2" xfId="4954" xr:uid="{95E1077E-E2D0-4E48-A9DD-3EE0FBCB62BF}"/>
    <cellStyle name="Normal 5 4 4 4" xfId="1492" xr:uid="{F447ECC3-C3F3-4636-BC04-E2EA26EE7D7A}"/>
    <cellStyle name="Normal 5 4 4 4 2" xfId="4084" xr:uid="{6F2AAFDC-35F6-43C5-BDD0-03A53B622004}"/>
    <cellStyle name="Normal 5 4 4 5" xfId="3514" xr:uid="{E37D0188-790F-4010-B671-A411CE835F96}"/>
    <cellStyle name="Normal 5 4 5" xfId="685" xr:uid="{00000000-0005-0000-0000-000058020000}"/>
    <cellStyle name="Normal 5 4 5 2" xfId="2739" xr:uid="{92231D32-5EB9-4D24-BA32-648CFFC008A2}"/>
    <cellStyle name="Normal 5 4 5 2 2" xfId="5174" xr:uid="{4F75F9D5-489F-42F9-B544-14D2E4A9C97F}"/>
    <cellStyle name="Normal 5 4 5 3" xfId="1901" xr:uid="{30A82EDE-386F-4AA1-AA19-5E0326A9B9B1}"/>
    <cellStyle name="Normal 5 4 5 3 2" xfId="4418" xr:uid="{9FF0C2C1-563A-4E6C-B6AA-92C34A6BB950}"/>
    <cellStyle name="Normal 5 4 5 4" xfId="3618" xr:uid="{C5AC8584-5DF3-452A-99E3-0ACC6FA6434A}"/>
    <cellStyle name="Normal 5 4 6" xfId="2514" xr:uid="{AF37760F-22D0-4079-AFEE-53ACE454A607}"/>
    <cellStyle name="Normal 5 4 6 2" xfId="4949" xr:uid="{62BCB0FB-BDB9-4A11-897D-9A3BDA83675A}"/>
    <cellStyle name="Normal 5 4 7" xfId="1487" xr:uid="{5CC29D29-3D6A-4DCA-BD06-7776078B1745}"/>
    <cellStyle name="Normal 5 4 7 2" xfId="4079" xr:uid="{EC38B195-779D-40F8-895E-EDFFB304096E}"/>
    <cellStyle name="Normal 5 4 8" xfId="3394" xr:uid="{0762F9FC-F8FD-4895-AB21-454193C0C01E}"/>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2 2 2" xfId="3810" xr:uid="{84A12033-2C44-4367-B819-70C1156563A8}"/>
    <cellStyle name="Normal 5 5 2 2 2 3" xfId="2912" xr:uid="{FAC68542-9D5A-4ABD-89B3-9DAD38D1AE7B}"/>
    <cellStyle name="Normal 5 5 2 2 2 3 2" xfId="5347" xr:uid="{876948BA-D5ED-488D-B522-DD94C319F192}"/>
    <cellStyle name="Normal 5 5 2 2 2 4" xfId="3601" xr:uid="{B8CD09DB-2698-431C-99F1-49106EFF267D}"/>
    <cellStyle name="Normal 5 5 2 2 3" xfId="772" xr:uid="{00000000-0005-0000-0000-00005E020000}"/>
    <cellStyle name="Normal 5 5 2 2 3 2" xfId="3705" xr:uid="{C2E56B0C-1817-4A99-B6F4-70D80224355F}"/>
    <cellStyle name="Normal 5 5 2 2 4" xfId="2074" xr:uid="{CF8E40F2-3337-44ED-867E-43C195C3EB78}"/>
    <cellStyle name="Normal 5 5 2 2 4 2" xfId="4591" xr:uid="{2C22D7E2-C27A-4E86-B101-BC2D99767134}"/>
    <cellStyle name="Normal 5 5 2 2 5" xfId="3491" xr:uid="{982957A5-B7DA-469C-96AF-9F16F66B9D24}"/>
    <cellStyle name="Normal 5 5 2 3" xfId="615" xr:uid="{00000000-0005-0000-0000-00005F020000}"/>
    <cellStyle name="Normal 5 5 2 3 2" xfId="826" xr:uid="{00000000-0005-0000-0000-000060020000}"/>
    <cellStyle name="Normal 5 5 2 3 2 2" xfId="3758" xr:uid="{CE11337F-6EE3-4E2C-AD80-D9FE9890E7FA}"/>
    <cellStyle name="Normal 5 5 2 3 3" xfId="2521" xr:uid="{6C6AD6E1-4874-4E7F-A3CB-F11D9D03C97A}"/>
    <cellStyle name="Normal 5 5 2 3 3 2" xfId="4956" xr:uid="{8D12666C-3A9B-4E19-AABA-AF4D44DE5A24}"/>
    <cellStyle name="Normal 5 5 2 3 4" xfId="3549" xr:uid="{FF65434A-B419-4CD5-B111-1E5B9129CFFD}"/>
    <cellStyle name="Normal 5 5 2 4" xfId="720" xr:uid="{00000000-0005-0000-0000-000061020000}"/>
    <cellStyle name="Normal 5 5 2 4 2" xfId="3653" xr:uid="{01C18986-5C8C-436A-8753-9F4DAA42234A}"/>
    <cellStyle name="Normal 5 5 2 5" xfId="1494" xr:uid="{8AD0CF6C-7647-4823-8EA4-1FC1E9A6C3DF}"/>
    <cellStyle name="Normal 5 5 2 5 2" xfId="4086" xr:uid="{25BB85DC-9AA5-4E17-B564-680AA947FD32}"/>
    <cellStyle name="Normal 5 5 2 6" xfId="3434" xr:uid="{CF52C87A-B79A-485D-A82C-B065C40474EC}"/>
    <cellStyle name="Normal 5 5 3" xfId="485" xr:uid="{00000000-0005-0000-0000-000062020000}"/>
    <cellStyle name="Normal 5 5 3 2" xfId="641" xr:uid="{00000000-0005-0000-0000-000063020000}"/>
    <cellStyle name="Normal 5 5 3 2 2" xfId="852" xr:uid="{00000000-0005-0000-0000-000064020000}"/>
    <cellStyle name="Normal 5 5 3 2 2 2" xfId="3784" xr:uid="{EE3B6E67-70F5-4819-BE4D-87B0E479C711}"/>
    <cellStyle name="Normal 5 5 3 2 3" xfId="2742" xr:uid="{21D6E47F-79B8-4BDC-BB46-A14E6024A082}"/>
    <cellStyle name="Normal 5 5 3 2 3 2" xfId="5177" xr:uid="{3AB073A1-F7EF-49A2-AD8D-5464A6AC31FA}"/>
    <cellStyle name="Normal 5 5 3 2 4" xfId="3575" xr:uid="{5998EEB5-57C0-496C-8EB4-D84057AE40DB}"/>
    <cellStyle name="Normal 5 5 3 3" xfId="746" xr:uid="{00000000-0005-0000-0000-000065020000}"/>
    <cellStyle name="Normal 5 5 3 3 2" xfId="3679" xr:uid="{34E31BB0-1377-40F0-8373-586F30EB6611}"/>
    <cellStyle name="Normal 5 5 3 4" xfId="1904" xr:uid="{D5331FB5-55C0-4466-AF25-13293DFCE74C}"/>
    <cellStyle name="Normal 5 5 3 4 2" xfId="4421" xr:uid="{4A3202ED-6A10-449E-BDBB-152CFC84BB23}"/>
    <cellStyle name="Normal 5 5 3 5" xfId="3465" xr:uid="{8B8F2FD5-AC68-4C24-94B2-B47CA725BF24}"/>
    <cellStyle name="Normal 5 5 4" xfId="589" xr:uid="{00000000-0005-0000-0000-000066020000}"/>
    <cellStyle name="Normal 5 5 4 2" xfId="800" xr:uid="{00000000-0005-0000-0000-000067020000}"/>
    <cellStyle name="Normal 5 5 4 2 2" xfId="3732" xr:uid="{6FD6D423-31CD-4B82-99F1-DC0F43E845D1}"/>
    <cellStyle name="Normal 5 5 4 3" xfId="2520" xr:uid="{75A4EAC1-FCA2-4E01-A31D-182C89B3FB30}"/>
    <cellStyle name="Normal 5 5 4 3 2" xfId="4955" xr:uid="{334DA73B-E673-4E7C-8E6C-99C35D5E33D1}"/>
    <cellStyle name="Normal 5 5 4 4" xfId="3523" xr:uid="{1F47D833-5763-4AAB-B2C1-FD74E64CE473}"/>
    <cellStyle name="Normal 5 5 5" xfId="694" xr:uid="{00000000-0005-0000-0000-000068020000}"/>
    <cellStyle name="Normal 5 5 5 2" xfId="3627" xr:uid="{0B1F08A3-F030-4543-A5C0-DB4FC02EFE97}"/>
    <cellStyle name="Normal 5 5 6" xfId="1493" xr:uid="{0589E20A-E694-4DD2-A0F1-EC4B19B36CB0}"/>
    <cellStyle name="Normal 5 5 6 2" xfId="4085" xr:uid="{373F2523-C897-40F0-9743-32B78B13A56B}"/>
    <cellStyle name="Normal 5 5 7" xfId="3403" xr:uid="{807ED598-A50B-4381-A8AE-2F7F6FEEBEFB}"/>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2 2 2" xfId="2913" xr:uid="{B87F0862-F432-4EDE-B120-34B58D968D55}"/>
    <cellStyle name="Normal 5 6 2 2 2 2 2" xfId="5348" xr:uid="{960E15C0-F8E3-4D48-A988-28A15A28A763}"/>
    <cellStyle name="Normal 5 6 2 2 2 3" xfId="3793" xr:uid="{EFB918F9-E12A-47EE-AAF6-CAA2C42D2234}"/>
    <cellStyle name="Normal 5 6 2 2 3" xfId="2075" xr:uid="{D4B326A8-7A81-44B8-A134-86C56035AD14}"/>
    <cellStyle name="Normal 5 6 2 2 3 2" xfId="4592" xr:uid="{6D2657EE-75DA-4627-8B44-F7B52087228E}"/>
    <cellStyle name="Normal 5 6 2 2 4" xfId="3584" xr:uid="{F98A66A2-1AAF-4A9C-9899-05176331A5EA}"/>
    <cellStyle name="Normal 5 6 2 3" xfId="755" xr:uid="{00000000-0005-0000-0000-00006D020000}"/>
    <cellStyle name="Normal 5 6 2 3 2" xfId="2523" xr:uid="{7844FDEE-F9C8-4E5B-867D-499D80C66FB4}"/>
    <cellStyle name="Normal 5 6 2 3 2 2" xfId="4958" xr:uid="{3F742839-3495-4908-A7B7-3695A41EB524}"/>
    <cellStyle name="Normal 5 6 2 3 3" xfId="3688" xr:uid="{2FF2E0A2-B2CF-45C6-A140-16259520A242}"/>
    <cellStyle name="Normal 5 6 2 4" xfId="1496" xr:uid="{97B75A6C-FE5F-4E28-A126-D413DC7FC06F}"/>
    <cellStyle name="Normal 5 6 2 4 2" xfId="4088" xr:uid="{F44659EA-7FB2-4720-8145-BC49B8012FEF}"/>
    <cellStyle name="Normal 5 6 2 5" xfId="3474" xr:uid="{B807D9A7-5DC1-450E-9790-3E6ED9BEB3E1}"/>
    <cellStyle name="Normal 5 6 3" xfId="598" xr:uid="{00000000-0005-0000-0000-00006E020000}"/>
    <cellStyle name="Normal 5 6 3 2" xfId="809" xr:uid="{00000000-0005-0000-0000-00006F020000}"/>
    <cellStyle name="Normal 5 6 3 2 2" xfId="2743" xr:uid="{F9986922-E9C5-45E0-81D2-10A86938AF85}"/>
    <cellStyle name="Normal 5 6 3 2 2 2" xfId="5178" xr:uid="{C90B1AE0-6E67-469F-B40E-9417C1A9ADF7}"/>
    <cellStyle name="Normal 5 6 3 2 3" xfId="3741" xr:uid="{7CE80913-AA17-43C5-97D8-DE7C920FF8C9}"/>
    <cellStyle name="Normal 5 6 3 3" xfId="1905" xr:uid="{CE0F1612-016C-401E-A376-2537748F9161}"/>
    <cellStyle name="Normal 5 6 3 3 2" xfId="4422" xr:uid="{A17BCC16-B749-45B3-B083-F94886FE6D8D}"/>
    <cellStyle name="Normal 5 6 3 4" xfId="3532" xr:uid="{9F782522-11EB-4BF6-8A82-621087B6C51A}"/>
    <cellStyle name="Normal 5 6 4" xfId="703" xr:uid="{00000000-0005-0000-0000-000070020000}"/>
    <cellStyle name="Normal 5 6 4 2" xfId="2522" xr:uid="{C13A9F9D-A83C-4DF6-B4A2-4C79F614A7E1}"/>
    <cellStyle name="Normal 5 6 4 2 2" xfId="4957" xr:uid="{2406A4A1-46F9-46AD-9F9D-814C968E5207}"/>
    <cellStyle name="Normal 5 6 4 3" xfId="3636" xr:uid="{8E402B69-147A-4ABD-8615-A47FADECC4E2}"/>
    <cellStyle name="Normal 5 6 5" xfId="1495" xr:uid="{73CD29BA-490F-4735-87FF-525905859A1F}"/>
    <cellStyle name="Normal 5 6 5 2" xfId="4087" xr:uid="{1405DA90-B4AC-4142-896E-DF0108C1DD4C}"/>
    <cellStyle name="Normal 5 6 6" xfId="3417" xr:uid="{D54B6000-D8C2-44D4-B809-E12FD608F047}"/>
    <cellStyle name="Normal 5 7" xfId="468" xr:uid="{00000000-0005-0000-0000-000071020000}"/>
    <cellStyle name="Normal 5 7 2" xfId="624" xr:uid="{00000000-0005-0000-0000-000072020000}"/>
    <cellStyle name="Normal 5 7 2 2" xfId="835" xr:uid="{00000000-0005-0000-0000-000073020000}"/>
    <cellStyle name="Normal 5 7 2 2 2" xfId="3767" xr:uid="{0572ADA6-8F3E-41D6-BC73-69D8D9C6D121}"/>
    <cellStyle name="Normal 5 7 2 3" xfId="3558" xr:uid="{47C5F13D-1F78-403B-AD53-8123CD336297}"/>
    <cellStyle name="Normal 5 7 3" xfId="729" xr:uid="{00000000-0005-0000-0000-000074020000}"/>
    <cellStyle name="Normal 5 7 3 2" xfId="3662" xr:uid="{96220A67-0E93-49CF-A507-333568380905}"/>
    <cellStyle name="Normal 5 7 4" xfId="1497" xr:uid="{5098B03F-6A2D-4EE0-BC68-F54757DCDED8}"/>
    <cellStyle name="Normal 5 7 5" xfId="3448" xr:uid="{63703A5A-37C6-4373-B80B-95C3F56C2548}"/>
    <cellStyle name="Normal 5 8" xfId="572" xr:uid="{00000000-0005-0000-0000-000075020000}"/>
    <cellStyle name="Normal 5 8 2" xfId="783" xr:uid="{00000000-0005-0000-0000-000076020000}"/>
    <cellStyle name="Normal 5 8 2 2" xfId="2812" xr:uid="{0EA57876-853F-401D-A5E4-70DD2F355931}"/>
    <cellStyle name="Normal 5 8 2 2 2" xfId="5247" xr:uid="{2935563B-5EEF-492C-99BC-96386E48A406}"/>
    <cellStyle name="Normal 5 8 2 3" xfId="1974" xr:uid="{6ACA11BA-0DC2-4D9C-9B56-0B67B589ABB9}"/>
    <cellStyle name="Normal 5 8 2 3 2" xfId="4491" xr:uid="{AAFA1C9E-33E4-40BA-BA2F-E43EFD736D58}"/>
    <cellStyle name="Normal 5 8 2 4" xfId="3715" xr:uid="{3A656338-1231-4804-930D-54F70255F310}"/>
    <cellStyle name="Normal 5 8 3" xfId="2524" xr:uid="{8039D7E4-68C7-44BD-91C6-B3D7DE62B34F}"/>
    <cellStyle name="Normal 5 8 3 2" xfId="4959" xr:uid="{BB52F716-909E-40B5-AB7E-81A3101C9CDD}"/>
    <cellStyle name="Normal 5 8 4" xfId="1498" xr:uid="{1EAC24C0-7E06-4761-8AE2-8DD9E0CE0352}"/>
    <cellStyle name="Normal 5 8 4 2" xfId="4089" xr:uid="{781B6DA0-43E2-4833-8C2C-4E189F45A360}"/>
    <cellStyle name="Normal 5 8 5" xfId="3506" xr:uid="{84C829F0-9868-4B9F-82CB-9CF5C5E9B047}"/>
    <cellStyle name="Normal 5 9" xfId="677" xr:uid="{00000000-0005-0000-0000-000077020000}"/>
    <cellStyle name="Normal 5 9 2" xfId="2642" xr:uid="{F19C7CE9-04FF-4870-B70E-4182BED088C8}"/>
    <cellStyle name="Normal 5 9 2 2" xfId="5077" xr:uid="{2029E742-E24C-46FB-B61E-6B2C53AF8EA5}"/>
    <cellStyle name="Normal 5 9 3" xfId="1804" xr:uid="{5BAF390E-0FFB-4949-ADE7-FBCEB345FC9A}"/>
    <cellStyle name="Normal 5 9 3 2" xfId="4321" xr:uid="{D8136910-C433-4376-A3A8-537BC10144E2}"/>
    <cellStyle name="Normal 5 9 4" xfId="3610" xr:uid="{0BCA892A-442C-4CE8-8473-9479AF5B32B7}"/>
    <cellStyle name="Normal 50" xfId="2193" xr:uid="{4F2DD672-E2AA-4E3A-9D96-86E6E3204156}"/>
    <cellStyle name="Normal 50 2" xfId="3004" xr:uid="{16883C40-8B7D-431A-9F26-A3FBBAC4C40D}"/>
    <cellStyle name="Normal 51" xfId="2187" xr:uid="{0FB9BCFD-4602-4039-AAD6-9A20E5B23E55}"/>
    <cellStyle name="Normal 51 2" xfId="2998" xr:uid="{BD42ACF9-FE2E-4ACC-8F56-00A6FD7B23C1}"/>
    <cellStyle name="Normal 52" xfId="2194" xr:uid="{38252F6D-87E9-47CA-B170-F4FEF42E54A4}"/>
    <cellStyle name="Normal 52 2" xfId="3005" xr:uid="{88180F90-5A28-4687-AD70-8355BF27108A}"/>
    <cellStyle name="Normal 53" xfId="2249" xr:uid="{2BE0F7EB-F0B1-4F53-AD12-7A542DDCF705}"/>
    <cellStyle name="Normal 53 2" xfId="3010" xr:uid="{8B2F7280-15CD-40D9-902D-1A6D7FCBA840}"/>
    <cellStyle name="Normal 54" xfId="2195" xr:uid="{64E29325-9C52-4BC7-83ED-383BD3B788FF}"/>
    <cellStyle name="Normal 54 2" xfId="3006" xr:uid="{0A207D0A-590B-4689-98CD-C31B3FDE2481}"/>
    <cellStyle name="Normal 55" xfId="2251" xr:uid="{DD30FE0E-1D1F-4582-B974-3D2B105ECDFF}"/>
    <cellStyle name="Normal 55 2" xfId="3011" xr:uid="{F872A964-A1B1-4FD5-A8C8-C67C6800E2DE}"/>
    <cellStyle name="Normal 56" xfId="2252" xr:uid="{5BA9D083-19E7-4641-A32A-355526DED581}"/>
    <cellStyle name="Normal 56 2" xfId="3012" xr:uid="{0C64C5EB-622B-45D4-8EA5-0193B8D6AD8F}"/>
    <cellStyle name="Normal 57" xfId="2222" xr:uid="{B5CDCA6B-FAE4-4374-942C-6954A53880E5}"/>
    <cellStyle name="Normal 57 2" xfId="3008" xr:uid="{4D308352-9880-4752-BA07-F21EB58DABAC}"/>
    <cellStyle name="Normal 58" xfId="2248" xr:uid="{B82D9C84-B67A-4737-B85A-595BB733E5E2}"/>
    <cellStyle name="Normal 58 2" xfId="3009" xr:uid="{D0E946F8-2417-498E-B4EB-8143EEC4D475}"/>
    <cellStyle name="Normal 59" xfId="2202" xr:uid="{D1DC36EA-B939-4BB2-B47D-73469B840DE9}"/>
    <cellStyle name="Normal 59 2" xfId="3007" xr:uid="{1CCE8361-45F5-4536-A774-1C37E9926548}"/>
    <cellStyle name="Normal 6" xfId="194" xr:uid="{00000000-0005-0000-0000-000078020000}"/>
    <cellStyle name="Normal 6 2" xfId="286" xr:uid="{00000000-0005-0000-0000-000079020000}"/>
    <cellStyle name="Normal 6 2 2" xfId="2204" xr:uid="{89F3B39F-2B73-44EB-938F-253A2DBA171D}"/>
    <cellStyle name="Normal 6 2 2 2" xfId="4694" xr:uid="{3E54271C-A7B4-422A-83EF-7E5C6C78C895}"/>
    <cellStyle name="Normal 6 3" xfId="2241" xr:uid="{92F6EC70-3EEE-4EB1-ACE9-ADBC7D9101FA}"/>
    <cellStyle name="Normal 6 4" xfId="2196" xr:uid="{DCA6CCCF-ECC6-4ECF-B906-FD8CABC3258B}"/>
    <cellStyle name="Normal 6 4 2" xfId="4687" xr:uid="{73D05088-4E50-43C2-8FC7-951854C2707B}"/>
    <cellStyle name="Normal 6 5" xfId="1499" xr:uid="{07EF34A9-14A9-473B-BB61-793E2ADF0E0B}"/>
    <cellStyle name="Normal 60" xfId="2253" xr:uid="{974A9DE9-5C67-46AA-9D96-70440993F364}"/>
    <cellStyle name="Normal 60 2" xfId="3013" xr:uid="{1E877462-A8BD-4866-BFD9-FA7B201E7160}"/>
    <cellStyle name="Normal 61" xfId="2258" xr:uid="{B5CB05CA-E5F6-4AB7-9619-2B8E410A7F78}"/>
    <cellStyle name="Normal 61 2" xfId="3018" xr:uid="{54CEB182-573E-472A-AC7D-D16190A631D6}"/>
    <cellStyle name="Normal 62" xfId="2256" xr:uid="{7525F1D8-C5A8-49DD-B62A-1033022F9291}"/>
    <cellStyle name="Normal 62 2" xfId="3016" xr:uid="{0EE95083-4A04-4979-BD89-FCA7E3B1040A}"/>
    <cellStyle name="Normal 63" xfId="2259" xr:uid="{1A3F92C2-1DEA-4507-9534-F29D66D62264}"/>
    <cellStyle name="Normal 63 2" xfId="3019" xr:uid="{AA2807D8-CBD7-4ED6-BB30-EA81D67B1BC1}"/>
    <cellStyle name="Normal 64" xfId="2255" xr:uid="{1633A203-7FA1-45F1-A03B-07BF86676F8A}"/>
    <cellStyle name="Normal 64 2" xfId="3015" xr:uid="{9C2A14DB-1559-4875-A7D8-CD75C5474A47}"/>
    <cellStyle name="Normal 65" xfId="2257" xr:uid="{D05FE19A-BDA4-40FA-AA6B-3D27F12F38F5}"/>
    <cellStyle name="Normal 65 2" xfId="3017" xr:uid="{16F79F4D-C435-46A4-8310-C708B3F4D429}"/>
    <cellStyle name="Normal 66" xfId="2260" xr:uid="{0E11A5B7-8A5A-4143-A697-147A64982391}"/>
    <cellStyle name="Normal 66 2" xfId="3020" xr:uid="{35D6B959-91F8-4F2E-BAC7-20325517E3BF}"/>
    <cellStyle name="Normal 67" xfId="2254" xr:uid="{06D28F35-81BA-476F-A760-B3EB2B5DEA2B}"/>
    <cellStyle name="Normal 67 2" xfId="3014" xr:uid="{1E780544-C144-4B3D-90BC-7049AA0D06D1}"/>
    <cellStyle name="Normal 68" xfId="2261" xr:uid="{0B139AA4-6A35-456E-B738-C99A91BB55E7}"/>
    <cellStyle name="Normal 68 2" xfId="3021" xr:uid="{C39F8648-8C63-4B12-B243-587284E48E7D}"/>
    <cellStyle name="Normal 69" xfId="2265" xr:uid="{94548A4C-B5C1-425D-AD33-F96F421F9ADC}"/>
    <cellStyle name="Normal 69 2" xfId="3025" xr:uid="{42765E69-73DD-4C86-8E82-A8A16FA66B2B}"/>
    <cellStyle name="Normal 7" xfId="193" xr:uid="{00000000-0005-0000-0000-00007A020000}"/>
    <cellStyle name="Normal 7 10" xfId="3372" xr:uid="{0088F05D-C384-4D31-98A4-DF1C35AD4775}"/>
    <cellStyle name="Normal 7 2" xfId="285" xr:uid="{00000000-0005-0000-0000-00007B020000}"/>
    <cellStyle name="Normal 7 2 10" xfId="1501" xr:uid="{3E22D180-AB06-417C-892A-A2A2B4E83A81}"/>
    <cellStyle name="Normal 7 2 10 2" xfId="4091" xr:uid="{C4F82569-2A38-4B65-BC78-7C0C2B9C89AA}"/>
    <cellStyle name="Normal 7 2 11" xfId="3386" xr:uid="{75A50536-488D-4AA9-9F2D-43AFA6B1BD85}"/>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2 2 2" xfId="2918" xr:uid="{72DD0CC9-5FAC-4220-93C1-43EDABBB73E4}"/>
    <cellStyle name="Normal 7 2 2 2 2 2 2 2 2" xfId="5353" xr:uid="{1B6A31C4-7DD6-4104-955E-E6B7A7BDEBB5}"/>
    <cellStyle name="Normal 7 2 2 2 2 2 2 3" xfId="2080" xr:uid="{E1318643-47C0-4C88-9CB1-725229B4C11D}"/>
    <cellStyle name="Normal 7 2 2 2 2 2 2 3 2" xfId="4597" xr:uid="{C42C2ACA-E277-4A6F-8958-2CE22797002A}"/>
    <cellStyle name="Normal 7 2 2 2 2 2 2 4" xfId="3806" xr:uid="{90894113-7EC6-451E-9893-EF912DE15C05}"/>
    <cellStyle name="Normal 7 2 2 2 2 2 3" xfId="2530" xr:uid="{09B2417E-CC8A-4902-8C3F-10772BADE0F6}"/>
    <cellStyle name="Normal 7 2 2 2 2 2 3 2" xfId="4965" xr:uid="{53816C23-B8BB-46DA-8878-EFD6C9EFDF69}"/>
    <cellStyle name="Normal 7 2 2 2 2 2 4" xfId="1505" xr:uid="{31DD99B3-9FE1-46B3-B53D-0CB925F5297F}"/>
    <cellStyle name="Normal 7 2 2 2 2 2 4 2" xfId="4095" xr:uid="{FBF8712A-4EB6-4477-A675-0F6635BA2098}"/>
    <cellStyle name="Normal 7 2 2 2 2 2 5" xfId="3597" xr:uid="{FF828BD1-F117-4AFE-8FF4-6D311E643C84}"/>
    <cellStyle name="Normal 7 2 2 2 2 3" xfId="768" xr:uid="{00000000-0005-0000-0000-000081020000}"/>
    <cellStyle name="Normal 7 2 2 2 2 3 2" xfId="2748" xr:uid="{7AFB6E98-2504-4B19-BCC9-8217DD579D72}"/>
    <cellStyle name="Normal 7 2 2 2 2 3 2 2" xfId="5183" xr:uid="{56DD7224-F789-4F15-BF5E-8990B96B2DF3}"/>
    <cellStyle name="Normal 7 2 2 2 2 3 3" xfId="1910" xr:uid="{66327C3C-2E42-4121-A710-E397C9C550C0}"/>
    <cellStyle name="Normal 7 2 2 2 2 3 3 2" xfId="4427" xr:uid="{03D92820-F1B1-4852-A6D6-CEF5983E04DB}"/>
    <cellStyle name="Normal 7 2 2 2 2 3 4" xfId="3701" xr:uid="{9B57D3D2-954F-4FDB-8888-4FB8F819782A}"/>
    <cellStyle name="Normal 7 2 2 2 2 4" xfId="2529" xr:uid="{A4B12FEA-FFFE-42E1-931D-6510D30074D8}"/>
    <cellStyle name="Normal 7 2 2 2 2 4 2" xfId="4964" xr:uid="{4D585A6E-C0B0-4113-9911-83D84292C2B0}"/>
    <cellStyle name="Normal 7 2 2 2 2 5" xfId="1504" xr:uid="{49D71751-B5AA-4465-B3E9-9DB538809195}"/>
    <cellStyle name="Normal 7 2 2 2 2 5 2" xfId="4094" xr:uid="{2770918F-9A2B-456F-BCFF-AED7D66E46B5}"/>
    <cellStyle name="Normal 7 2 2 2 2 6" xfId="3487" xr:uid="{F9C7540C-2B95-4F74-883F-9661F68EC074}"/>
    <cellStyle name="Normal 7 2 2 2 3" xfId="611" xr:uid="{00000000-0005-0000-0000-000082020000}"/>
    <cellStyle name="Normal 7 2 2 2 3 2" xfId="822" xr:uid="{00000000-0005-0000-0000-000083020000}"/>
    <cellStyle name="Normal 7 2 2 2 3 2 2" xfId="2081" xr:uid="{FFD58D77-E44E-43FC-9D3B-7BCEDA22008D}"/>
    <cellStyle name="Normal 7 2 2 2 3 2 2 2" xfId="2919" xr:uid="{20A18B04-0071-4A2D-9471-D27F1E11D00E}"/>
    <cellStyle name="Normal 7 2 2 2 3 2 2 2 2" xfId="5354" xr:uid="{1077583B-B992-4A3F-AF2F-DA7DA730E2E5}"/>
    <cellStyle name="Normal 7 2 2 2 3 2 2 3" xfId="4598" xr:uid="{655C76C1-A50E-45BF-946C-00328BF41E90}"/>
    <cellStyle name="Normal 7 2 2 2 3 2 3" xfId="2532" xr:uid="{0112B907-AFDF-4CDE-A285-DF5857EA588B}"/>
    <cellStyle name="Normal 7 2 2 2 3 2 3 2" xfId="4967" xr:uid="{D67CA705-3C75-4AD8-8E5A-BF3BF4C11BD2}"/>
    <cellStyle name="Normal 7 2 2 2 3 2 4" xfId="1507" xr:uid="{BEA9D9C7-08D8-4160-8EA8-2DF9B7DEF552}"/>
    <cellStyle name="Normal 7 2 2 2 3 2 4 2" xfId="4097" xr:uid="{1AFA831C-C37A-4FFA-AA86-DDED9F178042}"/>
    <cellStyle name="Normal 7 2 2 2 3 2 5" xfId="3754" xr:uid="{9E424CE7-DE2D-4C46-9026-BE1194FFA002}"/>
    <cellStyle name="Normal 7 2 2 2 3 3" xfId="1911" xr:uid="{188CEB77-AEE9-4312-BC8C-AEACDDEEA738}"/>
    <cellStyle name="Normal 7 2 2 2 3 3 2" xfId="2749" xr:uid="{533540D2-8E0C-4281-A32F-3EECAFEC08DC}"/>
    <cellStyle name="Normal 7 2 2 2 3 3 2 2" xfId="5184" xr:uid="{421324CB-CF89-4388-AFD8-44A2522DC945}"/>
    <cellStyle name="Normal 7 2 2 2 3 3 3" xfId="4428" xr:uid="{08327272-129F-405B-9E0B-DFA2D90754F9}"/>
    <cellStyle name="Normal 7 2 2 2 3 4" xfId="2531" xr:uid="{C0355EF4-579C-4BB1-9DF6-EED1140B4323}"/>
    <cellStyle name="Normal 7 2 2 2 3 4 2" xfId="4966" xr:uid="{DDBE6074-FF39-4844-8398-847D5029BF6B}"/>
    <cellStyle name="Normal 7 2 2 2 3 5" xfId="1506" xr:uid="{4C7E692D-9197-4C02-A159-F945FB0100E0}"/>
    <cellStyle name="Normal 7 2 2 2 3 5 2" xfId="4096" xr:uid="{6B67DABF-BB2F-43B6-84E7-9F394CDE7C18}"/>
    <cellStyle name="Normal 7 2 2 2 3 6" xfId="3545" xr:uid="{F2FC11FE-2902-4935-AC6F-649C11C1433D}"/>
    <cellStyle name="Normal 7 2 2 2 4" xfId="716" xr:uid="{00000000-0005-0000-0000-000084020000}"/>
    <cellStyle name="Normal 7 2 2 2 4 2" xfId="2079" xr:uid="{2736967C-923E-4241-89BA-D27DB61D803E}"/>
    <cellStyle name="Normal 7 2 2 2 4 2 2" xfId="2917" xr:uid="{293AAD51-E6C8-4CE5-8F79-79C8555F157D}"/>
    <cellStyle name="Normal 7 2 2 2 4 2 2 2" xfId="5352" xr:uid="{E35F4678-415D-4C78-9BEC-A0E009FFCE71}"/>
    <cellStyle name="Normal 7 2 2 2 4 2 3" xfId="4596" xr:uid="{70C4AE27-1C40-4288-8E5A-7DC6B59C33A6}"/>
    <cellStyle name="Normal 7 2 2 2 4 3" xfId="2533" xr:uid="{4E0C7ADE-462D-489A-B0FB-F502190D906A}"/>
    <cellStyle name="Normal 7 2 2 2 4 3 2" xfId="4968" xr:uid="{BAA56ABA-28FA-4B19-9D3D-366669B47297}"/>
    <cellStyle name="Normal 7 2 2 2 4 4" xfId="1508" xr:uid="{CBFC41F6-3D98-4F56-87EA-58228CB31555}"/>
    <cellStyle name="Normal 7 2 2 2 4 4 2" xfId="4098" xr:uid="{9E6AB46E-B8D4-4900-83DA-576EE39245E8}"/>
    <cellStyle name="Normal 7 2 2 2 4 5" xfId="3649" xr:uid="{EDAADA6E-700C-4879-A48B-86FFF1ECF8FC}"/>
    <cellStyle name="Normal 7 2 2 2 5" xfId="1909" xr:uid="{F45D7E83-1C3C-4010-B698-2294F7412AF7}"/>
    <cellStyle name="Normal 7 2 2 2 5 2" xfId="2747" xr:uid="{6CD64317-4E46-4F03-80D3-2AC14B0F8DF1}"/>
    <cellStyle name="Normal 7 2 2 2 5 2 2" xfId="5182" xr:uid="{488ABA5A-35B5-422A-9D60-20F18657398D}"/>
    <cellStyle name="Normal 7 2 2 2 5 3" xfId="4426" xr:uid="{45A1CCED-861F-4D7B-8326-4E55D0A32776}"/>
    <cellStyle name="Normal 7 2 2 2 6" xfId="2528" xr:uid="{E4B09D5A-DD5F-4147-B159-093FA50905ED}"/>
    <cellStyle name="Normal 7 2 2 2 6 2" xfId="4963" xr:uid="{BA45E8B3-2829-40FF-BB73-C5A6EE7D101C}"/>
    <cellStyle name="Normal 7 2 2 2 7" xfId="1503" xr:uid="{8E340732-1F9A-4982-BC44-EBF853C09BCF}"/>
    <cellStyle name="Normal 7 2 2 2 7 2" xfId="4093" xr:uid="{133C26EB-4C20-4F92-B5A1-0D4F2623EB0A}"/>
    <cellStyle name="Normal 7 2 2 2 8" xfId="3430" xr:uid="{62A81902-DBDB-4241-A4ED-F4DA98CD2CFF}"/>
    <cellStyle name="Normal 7 2 2 3" xfId="481" xr:uid="{00000000-0005-0000-0000-000085020000}"/>
    <cellStyle name="Normal 7 2 2 3 2" xfId="637" xr:uid="{00000000-0005-0000-0000-000086020000}"/>
    <cellStyle name="Normal 7 2 2 3 2 2" xfId="848" xr:uid="{00000000-0005-0000-0000-000087020000}"/>
    <cellStyle name="Normal 7 2 2 3 2 2 2" xfId="2920" xr:uid="{D3E03C1C-FFC3-40BA-AFF7-1C4A34CF80AA}"/>
    <cellStyle name="Normal 7 2 2 3 2 2 2 2" xfId="5355" xr:uid="{1A708968-6BEF-4907-9AB7-68891269A783}"/>
    <cellStyle name="Normal 7 2 2 3 2 2 3" xfId="2082" xr:uid="{E7230597-33AF-4936-8279-8DCA226DD1D3}"/>
    <cellStyle name="Normal 7 2 2 3 2 2 3 2" xfId="4599" xr:uid="{6BB297D5-C965-4132-973B-591A9783282D}"/>
    <cellStyle name="Normal 7 2 2 3 2 2 4" xfId="3780" xr:uid="{61E2D7B2-B45E-4D8E-9670-DD0812C3B80A}"/>
    <cellStyle name="Normal 7 2 2 3 2 3" xfId="2535" xr:uid="{B791DECD-F77E-42B7-837E-2E130DDFFA51}"/>
    <cellStyle name="Normal 7 2 2 3 2 3 2" xfId="4970" xr:uid="{1FC4883D-094A-41F1-B5FA-A3237CD20CD0}"/>
    <cellStyle name="Normal 7 2 2 3 2 4" xfId="1510" xr:uid="{F26D6CDD-9921-411E-AE2B-FB7EAD58BBD6}"/>
    <cellStyle name="Normal 7 2 2 3 2 4 2" xfId="4100" xr:uid="{B474900C-C832-418C-88E2-97E3872A8898}"/>
    <cellStyle name="Normal 7 2 2 3 2 5" xfId="3571" xr:uid="{E1F570C7-4EAC-4250-99CC-3BA901828867}"/>
    <cellStyle name="Normal 7 2 2 3 3" xfId="742" xr:uid="{00000000-0005-0000-0000-000088020000}"/>
    <cellStyle name="Normal 7 2 2 3 3 2" xfId="2750" xr:uid="{7A3A6583-9421-4C5E-88A7-067FFE3BA592}"/>
    <cellStyle name="Normal 7 2 2 3 3 2 2" xfId="5185" xr:uid="{2D608E39-0995-4EB2-9087-6A8D513C1A5B}"/>
    <cellStyle name="Normal 7 2 2 3 3 3" xfId="1912" xr:uid="{CEE145F0-7983-43B5-8747-0FDF7E2F98A5}"/>
    <cellStyle name="Normal 7 2 2 3 3 3 2" xfId="4429" xr:uid="{90C8CA4C-A7D2-4007-98AA-4FB4BC0E3C85}"/>
    <cellStyle name="Normal 7 2 2 3 3 4" xfId="3675" xr:uid="{F6D9F8FD-B64E-4292-AE16-3BACEBB92270}"/>
    <cellStyle name="Normal 7 2 2 3 4" xfId="2534" xr:uid="{8F8A2865-E778-47FF-B844-4A552EF9043C}"/>
    <cellStyle name="Normal 7 2 2 3 4 2" xfId="4969" xr:uid="{071A36F5-147C-4084-B73B-854C79B6919F}"/>
    <cellStyle name="Normal 7 2 2 3 5" xfId="1509" xr:uid="{60CD7728-1148-4724-A65C-1CFAD97C991B}"/>
    <cellStyle name="Normal 7 2 2 3 5 2" xfId="4099" xr:uid="{B17529BA-F5A0-4FE8-8212-CC289C45747A}"/>
    <cellStyle name="Normal 7 2 2 3 6" xfId="3461" xr:uid="{7034C886-0955-4519-A8AD-B0A8B5DF3704}"/>
    <cellStyle name="Normal 7 2 2 4" xfId="585" xr:uid="{00000000-0005-0000-0000-000089020000}"/>
    <cellStyle name="Normal 7 2 2 4 2" xfId="796" xr:uid="{00000000-0005-0000-0000-00008A020000}"/>
    <cellStyle name="Normal 7 2 2 4 2 2" xfId="2083" xr:uid="{9434F960-79CB-485F-81F2-890BF79754DC}"/>
    <cellStyle name="Normal 7 2 2 4 2 2 2" xfId="2921" xr:uid="{6B314D81-AF47-4D22-BC86-95AD5E0AA3C8}"/>
    <cellStyle name="Normal 7 2 2 4 2 2 2 2" xfId="5356" xr:uid="{96073E0F-2502-40D3-93FC-EEBDF4CFCC95}"/>
    <cellStyle name="Normal 7 2 2 4 2 2 3" xfId="4600" xr:uid="{DD507AF4-3BFD-4483-BCCA-55AB31F81978}"/>
    <cellStyle name="Normal 7 2 2 4 2 3" xfId="2537" xr:uid="{FE6E0B36-BBC0-4119-AA19-6C404D5C92EB}"/>
    <cellStyle name="Normal 7 2 2 4 2 3 2" xfId="4972" xr:uid="{55C0432B-6744-4AF2-8A35-ED8BC7188041}"/>
    <cellStyle name="Normal 7 2 2 4 2 4" xfId="1512" xr:uid="{C179CFD3-D58C-4B81-A729-F7267B3277FB}"/>
    <cellStyle name="Normal 7 2 2 4 2 4 2" xfId="4102" xr:uid="{1A44D7C1-6634-4E30-ADB0-9CBB23D9616C}"/>
    <cellStyle name="Normal 7 2 2 4 2 5" xfId="3728" xr:uid="{2169F9C6-0C32-4F29-AE29-FCD49C184395}"/>
    <cellStyle name="Normal 7 2 2 4 3" xfId="1913" xr:uid="{FE8FF2B4-1A6B-4DB5-B870-D28DA542F121}"/>
    <cellStyle name="Normal 7 2 2 4 3 2" xfId="2751" xr:uid="{B5581DF4-127C-4782-AFB3-C7CA62B5034D}"/>
    <cellStyle name="Normal 7 2 2 4 3 2 2" xfId="5186" xr:uid="{8D7D038E-E644-4F79-9C9B-0EE340134A40}"/>
    <cellStyle name="Normal 7 2 2 4 3 3" xfId="4430" xr:uid="{E6B9BD92-9ADF-4CDD-ABE3-C6A4D9B40E14}"/>
    <cellStyle name="Normal 7 2 2 4 4" xfId="2536" xr:uid="{26B10B33-858E-43EB-A8FD-B81A3ADCD0FB}"/>
    <cellStyle name="Normal 7 2 2 4 4 2" xfId="4971" xr:uid="{22437904-F2E4-49B8-B979-BE4A3B60A416}"/>
    <cellStyle name="Normal 7 2 2 4 5" xfId="1511" xr:uid="{873B1081-45B7-471F-831A-67AFA1DEDC81}"/>
    <cellStyle name="Normal 7 2 2 4 5 2" xfId="4101" xr:uid="{F71579A0-CC0B-46B3-A7FD-675ABFEF7E58}"/>
    <cellStyle name="Normal 7 2 2 4 6" xfId="3519" xr:uid="{6E05703E-51BA-4728-85FA-B9BD0C5770AF}"/>
    <cellStyle name="Normal 7 2 2 5" xfId="690" xr:uid="{00000000-0005-0000-0000-00008B020000}"/>
    <cellStyle name="Normal 7 2 2 5 2" xfId="2078" xr:uid="{E9ABF06A-F496-425F-A131-A75277BC9895}"/>
    <cellStyle name="Normal 7 2 2 5 2 2" xfId="2916" xr:uid="{1D9DCEE4-801E-441A-A397-2D2482830C9F}"/>
    <cellStyle name="Normal 7 2 2 5 2 2 2" xfId="5351" xr:uid="{BCC749BA-7571-4A66-903F-282287378E41}"/>
    <cellStyle name="Normal 7 2 2 5 2 3" xfId="4595" xr:uid="{5F99F1DA-8B86-4DDD-AEB4-468DE9D2629F}"/>
    <cellStyle name="Normal 7 2 2 5 3" xfId="2538" xr:uid="{7E2EE2A6-D367-42D2-B1C7-DD08AE6732CC}"/>
    <cellStyle name="Normal 7 2 2 5 3 2" xfId="4973" xr:uid="{4E3625B1-A34C-450E-9685-667A50B939FE}"/>
    <cellStyle name="Normal 7 2 2 5 4" xfId="1513" xr:uid="{729ACD88-BB82-4332-897B-AD17C0FE3876}"/>
    <cellStyle name="Normal 7 2 2 5 4 2" xfId="4103" xr:uid="{9445889B-C7B7-4ACF-B878-A915C615B840}"/>
    <cellStyle name="Normal 7 2 2 5 5" xfId="3623" xr:uid="{84DC1333-3DBC-44F1-B8B4-01F4791BF02B}"/>
    <cellStyle name="Normal 7 2 2 6" xfId="1908" xr:uid="{92FCA010-431D-4F21-9490-F3A78C32733D}"/>
    <cellStyle name="Normal 7 2 2 6 2" xfId="2746" xr:uid="{A862FDCD-E311-4BD1-97CA-AF110E0DD198}"/>
    <cellStyle name="Normal 7 2 2 6 2 2" xfId="5181" xr:uid="{3FEE11AF-50B1-4404-9746-10E121CEAEBB}"/>
    <cellStyle name="Normal 7 2 2 6 3" xfId="4425" xr:uid="{0479110B-78FF-4A51-A470-DF9DB1BCBCF1}"/>
    <cellStyle name="Normal 7 2 2 7" xfId="2527" xr:uid="{C3724462-9953-47AB-9143-2210DB07C7EF}"/>
    <cellStyle name="Normal 7 2 2 7 2" xfId="4962" xr:uid="{6FD7432F-6AB9-4E19-8F28-0D733CA558A2}"/>
    <cellStyle name="Normal 7 2 2 8" xfId="1502" xr:uid="{C57153C2-4980-41FE-AB16-4AB389ACB17F}"/>
    <cellStyle name="Normal 7 2 2 8 2" xfId="4092" xr:uid="{F61BE46C-B827-426C-A830-22CF18DC5F12}"/>
    <cellStyle name="Normal 7 2 2 9" xfId="3399" xr:uid="{B511134D-1FC0-4DEF-82EB-CA132C50D681}"/>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2 2 2" xfId="2923" xr:uid="{83A15F96-87E5-4084-812F-74D7F6CEB96F}"/>
    <cellStyle name="Normal 7 2 3 2 2 2 2 2 2" xfId="5358" xr:uid="{36DA06E9-5365-49C0-AC9F-A28C8D0A532E}"/>
    <cellStyle name="Normal 7 2 3 2 2 2 2 3" xfId="3815" xr:uid="{4F6E0990-78D6-48C8-9380-05B001189AD6}"/>
    <cellStyle name="Normal 7 2 3 2 2 2 3" xfId="2085" xr:uid="{31777AF6-547C-4E22-A7AB-E0CF28F8DFF4}"/>
    <cellStyle name="Normal 7 2 3 2 2 2 3 2" xfId="4602" xr:uid="{593142DB-3E1F-4622-B1C1-4C244AA14BA4}"/>
    <cellStyle name="Normal 7 2 3 2 2 2 4" xfId="3606" xr:uid="{CFD648D3-6243-4724-B95F-834F77C5DD99}"/>
    <cellStyle name="Normal 7 2 3 2 2 3" xfId="777" xr:uid="{00000000-0005-0000-0000-000091020000}"/>
    <cellStyle name="Normal 7 2 3 2 2 3 2" xfId="2541" xr:uid="{4913081D-7C1E-4062-84B5-469BF379D018}"/>
    <cellStyle name="Normal 7 2 3 2 2 3 2 2" xfId="4976" xr:uid="{F85255B0-B599-4A49-87A4-C0BE43ED20D6}"/>
    <cellStyle name="Normal 7 2 3 2 2 3 3" xfId="3710" xr:uid="{11554787-F372-4B09-BF4C-C129D4D45878}"/>
    <cellStyle name="Normal 7 2 3 2 2 4" xfId="1516" xr:uid="{FC54B5A1-D5F2-48FE-BDC6-64A339EA390B}"/>
    <cellStyle name="Normal 7 2 3 2 2 4 2" xfId="4106" xr:uid="{2C612BEA-96AD-4892-9A80-7FC41B8878DE}"/>
    <cellStyle name="Normal 7 2 3 2 2 5" xfId="3496" xr:uid="{7A517437-E2D2-4106-B2E2-B096E7A4B172}"/>
    <cellStyle name="Normal 7 2 3 2 3" xfId="620" xr:uid="{00000000-0005-0000-0000-000092020000}"/>
    <cellStyle name="Normal 7 2 3 2 3 2" xfId="831" xr:uid="{00000000-0005-0000-0000-000093020000}"/>
    <cellStyle name="Normal 7 2 3 2 3 2 2" xfId="2753" xr:uid="{448DE24B-D6BF-41E6-828A-EA4A2AD9600F}"/>
    <cellStyle name="Normal 7 2 3 2 3 2 2 2" xfId="5188" xr:uid="{71F64FF8-4AED-4E89-82B8-53A6C483C08F}"/>
    <cellStyle name="Normal 7 2 3 2 3 2 3" xfId="3763" xr:uid="{A030EEF8-936E-4811-9A3F-293559403439}"/>
    <cellStyle name="Normal 7 2 3 2 3 3" xfId="1915" xr:uid="{C24AB6A7-383C-456C-AC17-B2397BBE2A94}"/>
    <cellStyle name="Normal 7 2 3 2 3 3 2" xfId="4432" xr:uid="{D43D4258-1D8E-4A59-88CD-680FAA1EC3E3}"/>
    <cellStyle name="Normal 7 2 3 2 3 4" xfId="3554" xr:uid="{3078802E-A2DC-47F5-9558-40DAD24C819E}"/>
    <cellStyle name="Normal 7 2 3 2 4" xfId="725" xr:uid="{00000000-0005-0000-0000-000094020000}"/>
    <cellStyle name="Normal 7 2 3 2 4 2" xfId="2540" xr:uid="{D2A14B17-C7BD-4470-A8BA-96E86D15FB76}"/>
    <cellStyle name="Normal 7 2 3 2 4 2 2" xfId="4975" xr:uid="{43E48794-A4A2-4E91-A863-5EBE6844DF98}"/>
    <cellStyle name="Normal 7 2 3 2 4 3" xfId="3658" xr:uid="{6032EE3F-CB79-4938-B988-4CC826D38A15}"/>
    <cellStyle name="Normal 7 2 3 2 5" xfId="1515" xr:uid="{BF3F2EFF-149B-4035-894C-97AAABABCEE1}"/>
    <cellStyle name="Normal 7 2 3 2 5 2" xfId="4105" xr:uid="{351BF63B-F4B2-48AE-AC53-E9D1CFC8A4B7}"/>
    <cellStyle name="Normal 7 2 3 2 6" xfId="3439" xr:uid="{8C058CBA-2A98-4F3E-93C5-37D8C569746E}"/>
    <cellStyle name="Normal 7 2 3 3" xfId="490" xr:uid="{00000000-0005-0000-0000-000095020000}"/>
    <cellStyle name="Normal 7 2 3 3 2" xfId="646" xr:uid="{00000000-0005-0000-0000-000096020000}"/>
    <cellStyle name="Normal 7 2 3 3 2 2" xfId="857" xr:uid="{00000000-0005-0000-0000-000097020000}"/>
    <cellStyle name="Normal 7 2 3 3 2 2 2" xfId="2924" xr:uid="{8669CACD-97C0-4F2C-A5DF-37B5E1DFD095}"/>
    <cellStyle name="Normal 7 2 3 3 2 2 2 2" xfId="5359" xr:uid="{3B09C7C5-2792-4785-B176-2E3C7922A402}"/>
    <cellStyle name="Normal 7 2 3 3 2 2 3" xfId="2086" xr:uid="{01BEA39F-33A0-4240-942F-C8B6EB5ED2C8}"/>
    <cellStyle name="Normal 7 2 3 3 2 2 3 2" xfId="4603" xr:uid="{CC24EEE0-C29D-4C2F-9BFA-A9ED33937714}"/>
    <cellStyle name="Normal 7 2 3 3 2 2 4" xfId="3789" xr:uid="{7325CB9D-9315-457E-99C2-26148F5D3C01}"/>
    <cellStyle name="Normal 7 2 3 3 2 3" xfId="2543" xr:uid="{C2B9D790-1BA6-4EED-A76D-CE714BBAB8D1}"/>
    <cellStyle name="Normal 7 2 3 3 2 3 2" xfId="4978" xr:uid="{B323DB63-6793-46E9-96BD-92FBC6086627}"/>
    <cellStyle name="Normal 7 2 3 3 2 4" xfId="1518" xr:uid="{D4EC1113-F2AE-4915-83B7-548E98C0A128}"/>
    <cellStyle name="Normal 7 2 3 3 2 4 2" xfId="4108" xr:uid="{0CAE9F22-A904-4054-A80F-3E2444E27147}"/>
    <cellStyle name="Normal 7 2 3 3 2 5" xfId="3580" xr:uid="{6D4AA02A-4746-4475-815D-0B2F810C3FBB}"/>
    <cellStyle name="Normal 7 2 3 3 3" xfId="751" xr:uid="{00000000-0005-0000-0000-000098020000}"/>
    <cellStyle name="Normal 7 2 3 3 3 2" xfId="2754" xr:uid="{7E627745-8D0E-43B4-BAB6-B73C69804B21}"/>
    <cellStyle name="Normal 7 2 3 3 3 2 2" xfId="5189" xr:uid="{222EDB7B-96FB-460D-9A71-680685CABC44}"/>
    <cellStyle name="Normal 7 2 3 3 3 3" xfId="1916" xr:uid="{70DA1A41-615A-47BB-A4C4-B1C7A5ADCB0D}"/>
    <cellStyle name="Normal 7 2 3 3 3 3 2" xfId="4433" xr:uid="{16E84F08-04FD-4990-B64A-106046985FE4}"/>
    <cellStyle name="Normal 7 2 3 3 3 4" xfId="3684" xr:uid="{DCE6D7B7-EA44-4F8B-B169-988E0086427E}"/>
    <cellStyle name="Normal 7 2 3 3 4" xfId="2542" xr:uid="{6AC7B227-3D74-4D73-B03C-35639078200A}"/>
    <cellStyle name="Normal 7 2 3 3 4 2" xfId="4977" xr:uid="{EB933BF2-587F-4430-BEF2-59AEE6AF24F6}"/>
    <cellStyle name="Normal 7 2 3 3 5" xfId="1517" xr:uid="{4C3E6189-057F-4087-8641-3FA2AC0D4CE0}"/>
    <cellStyle name="Normal 7 2 3 3 5 2" xfId="4107" xr:uid="{C9287C94-4B99-4FDA-9735-C7DEA66A37D9}"/>
    <cellStyle name="Normal 7 2 3 3 6" xfId="3470" xr:uid="{D752DC88-A60F-442C-9B07-2E732DA1981A}"/>
    <cellStyle name="Normal 7 2 3 4" xfId="594" xr:uid="{00000000-0005-0000-0000-000099020000}"/>
    <cellStyle name="Normal 7 2 3 4 2" xfId="805" xr:uid="{00000000-0005-0000-0000-00009A020000}"/>
    <cellStyle name="Normal 7 2 3 4 2 2" xfId="2922" xr:uid="{375E5929-7F82-4610-AB35-15D4C1C54328}"/>
    <cellStyle name="Normal 7 2 3 4 2 2 2" xfId="5357" xr:uid="{A4A06E76-CB5C-422A-8743-D1BEA7C67C49}"/>
    <cellStyle name="Normal 7 2 3 4 2 3" xfId="2084" xr:uid="{18E20465-4FAB-415D-845E-EDAAC833DC99}"/>
    <cellStyle name="Normal 7 2 3 4 2 3 2" xfId="4601" xr:uid="{2A38362F-CECF-4730-8A25-1DAF8B0CA0E9}"/>
    <cellStyle name="Normal 7 2 3 4 2 4" xfId="3737" xr:uid="{6EAA6142-6111-471E-AE29-E29FE13AFE18}"/>
    <cellStyle name="Normal 7 2 3 4 3" xfId="2544" xr:uid="{70A44431-884A-4020-8493-ADEFF3C16599}"/>
    <cellStyle name="Normal 7 2 3 4 3 2" xfId="4979" xr:uid="{5B18BF04-189B-4718-9CFF-E17FA1AD9CA3}"/>
    <cellStyle name="Normal 7 2 3 4 4" xfId="1519" xr:uid="{FDCABD45-3ECA-4A08-ADB2-912F15EF9D17}"/>
    <cellStyle name="Normal 7 2 3 4 4 2" xfId="4109" xr:uid="{D7E218B2-1146-4CAA-9377-4A2D09F8C34D}"/>
    <cellStyle name="Normal 7 2 3 4 5" xfId="3528" xr:uid="{FCB88532-9828-4F57-9BEC-A05532F66A31}"/>
    <cellStyle name="Normal 7 2 3 5" xfId="699" xr:uid="{00000000-0005-0000-0000-00009B020000}"/>
    <cellStyle name="Normal 7 2 3 5 2" xfId="2752" xr:uid="{06637E35-D224-4235-94CE-EE72570AE2CE}"/>
    <cellStyle name="Normal 7 2 3 5 2 2" xfId="5187" xr:uid="{40041532-C4E1-4D4E-97A2-CFFB824503B6}"/>
    <cellStyle name="Normal 7 2 3 5 3" xfId="1914" xr:uid="{AFE5FEAF-1A76-463F-B8BD-A09F39426D5C}"/>
    <cellStyle name="Normal 7 2 3 5 3 2" xfId="4431" xr:uid="{352CD10D-B51C-407C-A1DE-8B6D0861D88D}"/>
    <cellStyle name="Normal 7 2 3 5 4" xfId="3632" xr:uid="{A3D94A90-1882-4647-80A3-4F3ABB866DAC}"/>
    <cellStyle name="Normal 7 2 3 6" xfId="2539" xr:uid="{78AEEC5C-DC44-46F7-90B8-A65071BD1F4B}"/>
    <cellStyle name="Normal 7 2 3 6 2" xfId="4974" xr:uid="{F27B9826-9C13-4699-BD23-7A64DD25AD5B}"/>
    <cellStyle name="Normal 7 2 3 7" xfId="1514" xr:uid="{E544DC39-34B1-48A8-9393-912C107EC011}"/>
    <cellStyle name="Normal 7 2 3 7 2" xfId="4104" xr:uid="{08681E4F-BC4B-4DB9-8B1A-29592D7283E4}"/>
    <cellStyle name="Normal 7 2 3 8" xfId="3408" xr:uid="{5A1A077B-761C-489F-8915-9850F4E151F1}"/>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2 2 2" xfId="2925" xr:uid="{9B57D398-C0D3-449B-B563-2F97DB90934B}"/>
    <cellStyle name="Normal 7 2 4 2 2 2 2 2" xfId="5360" xr:uid="{CFFD207F-45BB-4F5F-97FF-EFBF4551605D}"/>
    <cellStyle name="Normal 7 2 4 2 2 2 3" xfId="3798" xr:uid="{F5FBDDC4-9DE6-4FC1-9333-41224870E65D}"/>
    <cellStyle name="Normal 7 2 4 2 2 3" xfId="2087" xr:uid="{3A428BD1-ED3A-4B71-9EC1-206B9053BA68}"/>
    <cellStyle name="Normal 7 2 4 2 2 3 2" xfId="4604" xr:uid="{8CD29A17-1B84-46AC-87B8-BAB78B72AF45}"/>
    <cellStyle name="Normal 7 2 4 2 2 4" xfId="3589" xr:uid="{73C6312E-2305-4C65-B642-FF4B3335303C}"/>
    <cellStyle name="Normal 7 2 4 2 3" xfId="760" xr:uid="{00000000-0005-0000-0000-0000A0020000}"/>
    <cellStyle name="Normal 7 2 4 2 3 2" xfId="2546" xr:uid="{F4F4B31F-69E9-4405-8C10-D3E35C192C04}"/>
    <cellStyle name="Normal 7 2 4 2 3 2 2" xfId="4981" xr:uid="{41E1CB45-E4B6-4958-A261-4C2871E9EB72}"/>
    <cellStyle name="Normal 7 2 4 2 3 3" xfId="3693" xr:uid="{CD513717-3661-4A96-A66D-2BEEC7DD32CE}"/>
    <cellStyle name="Normal 7 2 4 2 4" xfId="1521" xr:uid="{BF969319-36B5-4D1C-98FD-8A37E544124F}"/>
    <cellStyle name="Normal 7 2 4 2 4 2" xfId="4111" xr:uid="{2215314C-1301-46B0-A816-341FAF0A080C}"/>
    <cellStyle name="Normal 7 2 4 2 5" xfId="3479" xr:uid="{1942E8E9-16B3-4DC6-9F91-53DC537EE114}"/>
    <cellStyle name="Normal 7 2 4 3" xfId="603" xr:uid="{00000000-0005-0000-0000-0000A1020000}"/>
    <cellStyle name="Normal 7 2 4 3 2" xfId="814" xr:uid="{00000000-0005-0000-0000-0000A2020000}"/>
    <cellStyle name="Normal 7 2 4 3 2 2" xfId="2755" xr:uid="{DF685F57-1B51-4AFD-A10B-518C9CDEB3F3}"/>
    <cellStyle name="Normal 7 2 4 3 2 2 2" xfId="5190" xr:uid="{BBF40B6D-B1AA-402D-A483-D277831F5274}"/>
    <cellStyle name="Normal 7 2 4 3 2 3" xfId="3746" xr:uid="{10661BC6-1290-4B8F-A9C6-6C0C2C9A03B9}"/>
    <cellStyle name="Normal 7 2 4 3 3" xfId="1917" xr:uid="{3ED883D4-9624-4A96-A079-C5C2539B9E09}"/>
    <cellStyle name="Normal 7 2 4 3 3 2" xfId="4434" xr:uid="{3DF3E32B-1212-45F5-B088-7158A397F1BB}"/>
    <cellStyle name="Normal 7 2 4 3 4" xfId="3537" xr:uid="{6728B0BD-8EEF-47BB-AEA6-F679448F6DCE}"/>
    <cellStyle name="Normal 7 2 4 4" xfId="708" xr:uid="{00000000-0005-0000-0000-0000A3020000}"/>
    <cellStyle name="Normal 7 2 4 4 2" xfId="2545" xr:uid="{3ECB07E1-9B22-4756-ABF6-0E9AD6661976}"/>
    <cellStyle name="Normal 7 2 4 4 2 2" xfId="4980" xr:uid="{AF5CE6FA-BCEA-4C3B-B022-B7799DBB4039}"/>
    <cellStyle name="Normal 7 2 4 4 3" xfId="3641" xr:uid="{DC030146-10D9-4140-B9FE-FB3125A80662}"/>
    <cellStyle name="Normal 7 2 4 5" xfId="1520" xr:uid="{CED3EA18-9883-4629-AFAA-784449E07978}"/>
    <cellStyle name="Normal 7 2 4 5 2" xfId="4110" xr:uid="{0E015F02-32C5-418F-9595-DBDA5819CEE4}"/>
    <cellStyle name="Normal 7 2 4 6" xfId="3422" xr:uid="{551E63A3-C401-4123-A370-60868EC7DF59}"/>
    <cellStyle name="Normal 7 2 5" xfId="473" xr:uid="{00000000-0005-0000-0000-0000A4020000}"/>
    <cellStyle name="Normal 7 2 5 2" xfId="629" xr:uid="{00000000-0005-0000-0000-0000A5020000}"/>
    <cellStyle name="Normal 7 2 5 2 2" xfId="840" xr:uid="{00000000-0005-0000-0000-0000A6020000}"/>
    <cellStyle name="Normal 7 2 5 2 2 2" xfId="2926" xr:uid="{3A3A3C87-EFF6-4DC2-A262-08432FEA9D72}"/>
    <cellStyle name="Normal 7 2 5 2 2 2 2" xfId="5361" xr:uid="{50BAAF7B-3F72-45CB-BDF2-99A85E8BAF32}"/>
    <cellStyle name="Normal 7 2 5 2 2 3" xfId="2088" xr:uid="{B4C340F0-A9AC-4696-BB3F-6562B98633EB}"/>
    <cellStyle name="Normal 7 2 5 2 2 3 2" xfId="4605" xr:uid="{0BCA99DF-EBB4-47D3-A73D-1F2B424B22ED}"/>
    <cellStyle name="Normal 7 2 5 2 2 4" xfId="3772" xr:uid="{1C5CBEB3-162A-4A95-94AD-5503F0E7FC19}"/>
    <cellStyle name="Normal 7 2 5 2 3" xfId="2548" xr:uid="{0D9B9E60-AE1B-4915-9217-F64E6516FD6A}"/>
    <cellStyle name="Normal 7 2 5 2 3 2" xfId="4983" xr:uid="{18EBB1C6-D4BE-4445-9948-7422D50E73C4}"/>
    <cellStyle name="Normal 7 2 5 2 4" xfId="1523" xr:uid="{9FBE66B9-775C-4206-BF40-B9B56FA73D9C}"/>
    <cellStyle name="Normal 7 2 5 2 4 2" xfId="4113" xr:uid="{DA626F47-E734-4EA5-BAA1-955D47B6DB9E}"/>
    <cellStyle name="Normal 7 2 5 2 5" xfId="3563" xr:uid="{BD9D7CF6-AA9D-440B-A867-06FF9F650F21}"/>
    <cellStyle name="Normal 7 2 5 3" xfId="734" xr:uid="{00000000-0005-0000-0000-0000A7020000}"/>
    <cellStyle name="Normal 7 2 5 3 2" xfId="2756" xr:uid="{7F6D365B-4583-425B-BB28-313855D313C6}"/>
    <cellStyle name="Normal 7 2 5 3 2 2" xfId="5191" xr:uid="{9E1A89DE-37B4-4232-B4AD-6A05FC95A243}"/>
    <cellStyle name="Normal 7 2 5 3 3" xfId="1918" xr:uid="{8B64D760-0759-4739-9FA7-8061387C23A2}"/>
    <cellStyle name="Normal 7 2 5 3 3 2" xfId="4435" xr:uid="{2B32E873-5A48-4E79-AB86-E914C7291705}"/>
    <cellStyle name="Normal 7 2 5 3 4" xfId="3667" xr:uid="{6FCE58C4-49DD-4530-B712-9B54CE3BF347}"/>
    <cellStyle name="Normal 7 2 5 4" xfId="2547" xr:uid="{F1FB447C-5FB7-45BC-874E-D03AE9B87426}"/>
    <cellStyle name="Normal 7 2 5 4 2" xfId="4982" xr:uid="{965E3DD6-1BFF-4902-8115-7095E3AA1D1D}"/>
    <cellStyle name="Normal 7 2 5 5" xfId="1522" xr:uid="{C3483F77-242A-4B7E-AFCB-E80C9D7466C0}"/>
    <cellStyle name="Normal 7 2 5 5 2" xfId="4112" xr:uid="{8D06AAE5-6FF7-4BE7-8C8C-B289B57EC983}"/>
    <cellStyle name="Normal 7 2 5 6" xfId="3453" xr:uid="{46620A1F-8DB6-4F65-9B12-007362AB12FC}"/>
    <cellStyle name="Normal 7 2 6" xfId="577" xr:uid="{00000000-0005-0000-0000-0000A8020000}"/>
    <cellStyle name="Normal 7 2 6 2" xfId="788" xr:uid="{00000000-0005-0000-0000-0000A9020000}"/>
    <cellStyle name="Normal 7 2 6 2 2" xfId="2915" xr:uid="{13B0B70D-88B4-4E92-8EA3-C5A2A5A201E9}"/>
    <cellStyle name="Normal 7 2 6 2 2 2" xfId="5350" xr:uid="{B64BA4AB-E6C0-470C-9E6B-37FC996A141C}"/>
    <cellStyle name="Normal 7 2 6 2 3" xfId="2077" xr:uid="{7C70CBA0-CC29-45BA-88E2-8B4CE3E566EE}"/>
    <cellStyle name="Normal 7 2 6 2 3 2" xfId="4594" xr:uid="{F9AB2204-E4A1-4900-B1E3-8577A7804F98}"/>
    <cellStyle name="Normal 7 2 6 2 4" xfId="3720" xr:uid="{7DDD3A65-B1BC-45A7-A0AC-FACF0D00DBC9}"/>
    <cellStyle name="Normal 7 2 6 3" xfId="2549" xr:uid="{3336F64D-C370-457F-B436-CD6AACE2B16D}"/>
    <cellStyle name="Normal 7 2 6 3 2" xfId="4984" xr:uid="{10C43159-6296-4F32-81E6-23EE0F2893EC}"/>
    <cellStyle name="Normal 7 2 6 4" xfId="1524" xr:uid="{9E70955A-CC7A-4CBC-A328-998D8D32C397}"/>
    <cellStyle name="Normal 7 2 6 4 2" xfId="4114" xr:uid="{8000E96B-4E83-4443-AF4A-D5CAAA230A76}"/>
    <cellStyle name="Normal 7 2 6 5" xfId="3511" xr:uid="{9FC7C760-65A1-4471-8663-25C5B445F4CE}"/>
    <cellStyle name="Normal 7 2 7" xfId="682" xr:uid="{00000000-0005-0000-0000-0000AA020000}"/>
    <cellStyle name="Normal 7 2 7 2" xfId="2745" xr:uid="{1429E987-9F9C-49B0-BE0C-66A6110FDBC4}"/>
    <cellStyle name="Normal 7 2 7 2 2" xfId="5180" xr:uid="{F6B81F8B-386E-4104-8DB6-D9A1887ADE0E}"/>
    <cellStyle name="Normal 7 2 7 3" xfId="1907" xr:uid="{DF6487A3-B16C-4763-B277-E14AA969AC6F}"/>
    <cellStyle name="Normal 7 2 7 3 2" xfId="4424" xr:uid="{49E191F3-07A5-46DE-8CAD-E9A7952B1576}"/>
    <cellStyle name="Normal 7 2 7 4" xfId="3615" xr:uid="{BEF5DBAE-5F88-4A69-9A04-908114D96780}"/>
    <cellStyle name="Normal 7 2 8" xfId="2243" xr:uid="{893C0F17-42D6-42EB-A481-B44527DFEA5D}"/>
    <cellStyle name="Normal 7 2 8 2" xfId="4711" xr:uid="{10B67621-591C-48B3-A26F-7C35E9FBC303}"/>
    <cellStyle name="Normal 7 2 9" xfId="2526" xr:uid="{9388EAAC-FA57-49AC-B418-3E70B450DF63}"/>
    <cellStyle name="Normal 7 2 9 2" xfId="4961" xr:uid="{4D912E7B-EE2C-4526-AD80-0CD03D3F37D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2 2 2" xfId="3802" xr:uid="{2819A437-1C4F-4A12-AA0E-3217401B34AB}"/>
    <cellStyle name="Normal 7 3 2 2 2 3" xfId="3593" xr:uid="{A1DEF198-B119-4387-9590-B7127AD32D01}"/>
    <cellStyle name="Normal 7 3 2 2 3" xfId="764" xr:uid="{00000000-0005-0000-0000-0000B0020000}"/>
    <cellStyle name="Normal 7 3 2 2 3 2" xfId="3697" xr:uid="{9193ED8A-FB01-45E9-892F-BC540CF0889C}"/>
    <cellStyle name="Normal 7 3 2 2 4" xfId="3483" xr:uid="{C2B352D2-980C-4F10-BFE2-22528CE76179}"/>
    <cellStyle name="Normal 7 3 2 3" xfId="607" xr:uid="{00000000-0005-0000-0000-0000B1020000}"/>
    <cellStyle name="Normal 7 3 2 3 2" xfId="818" xr:uid="{00000000-0005-0000-0000-0000B2020000}"/>
    <cellStyle name="Normal 7 3 2 3 2 2" xfId="3750" xr:uid="{28B5999F-2B54-4A54-8866-6D15BD4AE79D}"/>
    <cellStyle name="Normal 7 3 2 3 3" xfId="3541" xr:uid="{50A882EF-9EB7-4732-A3C3-488C4362458A}"/>
    <cellStyle name="Normal 7 3 2 4" xfId="712" xr:uid="{00000000-0005-0000-0000-0000B3020000}"/>
    <cellStyle name="Normal 7 3 2 4 2" xfId="3645" xr:uid="{B86786E1-24E9-4B55-A9F5-4C3AF5BF2330}"/>
    <cellStyle name="Normal 7 3 2 5" xfId="3426" xr:uid="{14B4ACD1-EC4C-48C4-BA71-92CB5AD226D6}"/>
    <cellStyle name="Normal 7 3 3" xfId="477" xr:uid="{00000000-0005-0000-0000-0000B4020000}"/>
    <cellStyle name="Normal 7 3 3 2" xfId="633" xr:uid="{00000000-0005-0000-0000-0000B5020000}"/>
    <cellStyle name="Normal 7 3 3 2 2" xfId="844" xr:uid="{00000000-0005-0000-0000-0000B6020000}"/>
    <cellStyle name="Normal 7 3 3 2 2 2" xfId="3776" xr:uid="{F782EDA4-C040-444E-91F0-EE31D31E5CE2}"/>
    <cellStyle name="Normal 7 3 3 2 3" xfId="3567" xr:uid="{A7B48E1B-AF25-425D-87E1-7A1B15C2D546}"/>
    <cellStyle name="Normal 7 3 3 3" xfId="738" xr:uid="{00000000-0005-0000-0000-0000B7020000}"/>
    <cellStyle name="Normal 7 3 3 3 2" xfId="3671" xr:uid="{74A044C8-51C8-451F-A0E8-3A3FBDE4B12C}"/>
    <cellStyle name="Normal 7 3 3 4" xfId="3457" xr:uid="{E9384372-CF23-46C2-8BA6-C60B01475893}"/>
    <cellStyle name="Normal 7 3 4" xfId="581" xr:uid="{00000000-0005-0000-0000-0000B8020000}"/>
    <cellStyle name="Normal 7 3 4 2" xfId="792" xr:uid="{00000000-0005-0000-0000-0000B9020000}"/>
    <cellStyle name="Normal 7 3 4 2 2" xfId="3724" xr:uid="{797BCF25-5FB5-4FE7-8A94-BAA924AC499C}"/>
    <cellStyle name="Normal 7 3 4 3" xfId="3515" xr:uid="{3D145D96-71F8-44F2-A43C-901834ED1F08}"/>
    <cellStyle name="Normal 7 3 5" xfId="686" xr:uid="{00000000-0005-0000-0000-0000BA020000}"/>
    <cellStyle name="Normal 7 3 5 2" xfId="3619" xr:uid="{60C27510-20DE-4713-9F57-16251EB9347F}"/>
    <cellStyle name="Normal 7 3 6" xfId="1525" xr:uid="{89C30F3D-5D83-4DC4-8B7A-1397405C42FE}"/>
    <cellStyle name="Normal 7 3 7" xfId="3395" xr:uid="{9CD7D53B-EE82-4A11-B9B0-482667AAEF67}"/>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2 2 2" xfId="3811" xr:uid="{597E7413-CBE6-431E-84CE-6DDDBE64FA01}"/>
    <cellStyle name="Normal 7 4 2 2 2 3" xfId="3602" xr:uid="{CD8E2BE4-58EE-4DAF-818A-7DA8BC121616}"/>
    <cellStyle name="Normal 7 4 2 2 3" xfId="773" xr:uid="{00000000-0005-0000-0000-0000C0020000}"/>
    <cellStyle name="Normal 7 4 2 2 3 2" xfId="3706" xr:uid="{19D93A45-148D-49A9-9D3D-23278F6FD346}"/>
    <cellStyle name="Normal 7 4 2 2 4" xfId="3492" xr:uid="{752FE8A3-CA24-4979-BC5B-6F2E6C2FE274}"/>
    <cellStyle name="Normal 7 4 2 3" xfId="616" xr:uid="{00000000-0005-0000-0000-0000C1020000}"/>
    <cellStyle name="Normal 7 4 2 3 2" xfId="827" xr:uid="{00000000-0005-0000-0000-0000C2020000}"/>
    <cellStyle name="Normal 7 4 2 3 2 2" xfId="3759" xr:uid="{708E816A-D164-4CEC-8D48-3A66EB627F72}"/>
    <cellStyle name="Normal 7 4 2 3 3" xfId="3550" xr:uid="{9B487D8A-7367-4212-BCFC-7B7439EB9361}"/>
    <cellStyle name="Normal 7 4 2 4" xfId="721" xr:uid="{00000000-0005-0000-0000-0000C3020000}"/>
    <cellStyle name="Normal 7 4 2 4 2" xfId="3654" xr:uid="{B985090B-15F7-4BB3-A942-B8CB208D9B49}"/>
    <cellStyle name="Normal 7 4 2 5" xfId="3435" xr:uid="{75661E8E-E85A-413A-870C-336787BC185E}"/>
    <cellStyle name="Normal 7 4 3" xfId="486" xr:uid="{00000000-0005-0000-0000-0000C4020000}"/>
    <cellStyle name="Normal 7 4 3 2" xfId="642" xr:uid="{00000000-0005-0000-0000-0000C5020000}"/>
    <cellStyle name="Normal 7 4 3 2 2" xfId="853" xr:uid="{00000000-0005-0000-0000-0000C6020000}"/>
    <cellStyle name="Normal 7 4 3 2 2 2" xfId="3785" xr:uid="{5A39BE03-CA51-4021-BB0A-237DE855272E}"/>
    <cellStyle name="Normal 7 4 3 2 3" xfId="3576" xr:uid="{FD74064B-1DBD-4256-AF86-36831DD6801F}"/>
    <cellStyle name="Normal 7 4 3 3" xfId="747" xr:uid="{00000000-0005-0000-0000-0000C7020000}"/>
    <cellStyle name="Normal 7 4 3 3 2" xfId="3680" xr:uid="{6DB5FD83-2A59-4284-B13A-C66FE42E2418}"/>
    <cellStyle name="Normal 7 4 3 4" xfId="3466" xr:uid="{0D694AB8-95A1-48EE-8CA0-1DBC206C4A8F}"/>
    <cellStyle name="Normal 7 4 4" xfId="590" xr:uid="{00000000-0005-0000-0000-0000C8020000}"/>
    <cellStyle name="Normal 7 4 4 2" xfId="801" xr:uid="{00000000-0005-0000-0000-0000C9020000}"/>
    <cellStyle name="Normal 7 4 4 2 2" xfId="3733" xr:uid="{8E09E1B9-63B2-445E-B678-FB8122CCCA19}"/>
    <cellStyle name="Normal 7 4 4 3" xfId="3524" xr:uid="{B2AE0530-D53E-4A31-92D4-2001F3F77712}"/>
    <cellStyle name="Normal 7 4 5" xfId="695" xr:uid="{00000000-0005-0000-0000-0000CA020000}"/>
    <cellStyle name="Normal 7 4 5 2" xfId="3628" xr:uid="{7D74D3B6-D765-4A60-BDAE-12F484150ABC}"/>
    <cellStyle name="Normal 7 4 6" xfId="1526" xr:uid="{3F9DF255-B212-404E-B7E3-F74B39CAE464}"/>
    <cellStyle name="Normal 7 4 7" xfId="3404" xr:uid="{464D0028-E6D5-42C4-8710-2F3BDB0A7A56}"/>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2 2 2" xfId="3794" xr:uid="{96AD2447-013D-4F50-977B-C56A9B5ADFCA}"/>
    <cellStyle name="Normal 7 5 2 2 3" xfId="2914" xr:uid="{E506C560-97B5-4166-B2AC-533FD9BD7C60}"/>
    <cellStyle name="Normal 7 5 2 2 3 2" xfId="5349" xr:uid="{3CE2D7C1-32DB-4908-9846-63A77676034C}"/>
    <cellStyle name="Normal 7 5 2 2 4" xfId="3585" xr:uid="{D2031F57-711C-46F6-AC99-149CBD0FC027}"/>
    <cellStyle name="Normal 7 5 2 3" xfId="756" xr:uid="{00000000-0005-0000-0000-0000CF020000}"/>
    <cellStyle name="Normal 7 5 2 3 2" xfId="3689" xr:uid="{05B8987F-8F3B-4A00-8301-D225CD7516F5}"/>
    <cellStyle name="Normal 7 5 2 4" xfId="2076" xr:uid="{3953BDF3-BF94-4F7A-AB7E-03C6D4FD3704}"/>
    <cellStyle name="Normal 7 5 2 4 2" xfId="4593" xr:uid="{4D67A351-0B71-4E31-9355-E98419E9DA3E}"/>
    <cellStyle name="Normal 7 5 2 5" xfId="3475" xr:uid="{E0BA755D-EC14-4E87-B07F-F09176630922}"/>
    <cellStyle name="Normal 7 5 3" xfId="599" xr:uid="{00000000-0005-0000-0000-0000D0020000}"/>
    <cellStyle name="Normal 7 5 3 2" xfId="810" xr:uid="{00000000-0005-0000-0000-0000D1020000}"/>
    <cellStyle name="Normal 7 5 3 2 2" xfId="3742" xr:uid="{7084ABC8-B42E-4F92-A98B-CDFB317C7E82}"/>
    <cellStyle name="Normal 7 5 3 3" xfId="2550" xr:uid="{1C9155E2-49A2-4AA7-8CF1-B8B1276919B7}"/>
    <cellStyle name="Normal 7 5 3 3 2" xfId="4985" xr:uid="{145E3244-DFDA-4D39-AA83-687C8359C0FF}"/>
    <cellStyle name="Normal 7 5 3 4" xfId="3533" xr:uid="{37DD618C-6498-492E-946B-0066BB2C887E}"/>
    <cellStyle name="Normal 7 5 4" xfId="704" xr:uid="{00000000-0005-0000-0000-0000D2020000}"/>
    <cellStyle name="Normal 7 5 4 2" xfId="3637" xr:uid="{39D1B6D0-389D-491B-884A-F430B7AEB868}"/>
    <cellStyle name="Normal 7 5 5" xfId="1527" xr:uid="{D1C42708-A040-476D-A32A-B1E3F5C7A120}"/>
    <cellStyle name="Normal 7 5 5 2" xfId="4115" xr:uid="{37E69361-0E11-4A10-A133-ABC18E3BDD5D}"/>
    <cellStyle name="Normal 7 5 6" xfId="3418" xr:uid="{989FFFBD-CB8C-484E-A108-02AF0FDBD3CD}"/>
    <cellStyle name="Normal 7 6" xfId="469" xr:uid="{00000000-0005-0000-0000-0000D3020000}"/>
    <cellStyle name="Normal 7 6 2" xfId="625" xr:uid="{00000000-0005-0000-0000-0000D4020000}"/>
    <cellStyle name="Normal 7 6 2 2" xfId="836" xr:uid="{00000000-0005-0000-0000-0000D5020000}"/>
    <cellStyle name="Normal 7 6 2 2 2" xfId="3768" xr:uid="{A00DA7CA-6A72-4F93-8C5C-5D1E198012E5}"/>
    <cellStyle name="Normal 7 6 2 3" xfId="2744" xr:uid="{A11BA143-981A-443C-88C4-D2F1C2054CCF}"/>
    <cellStyle name="Normal 7 6 2 3 2" xfId="5179" xr:uid="{AD879398-4909-4D2B-A2C8-9A71283A181F}"/>
    <cellStyle name="Normal 7 6 2 4" xfId="3559" xr:uid="{128F1541-770E-447D-9318-BD5583337B0B}"/>
    <cellStyle name="Normal 7 6 3" xfId="730" xr:uid="{00000000-0005-0000-0000-0000D6020000}"/>
    <cellStyle name="Normal 7 6 3 2" xfId="3663" xr:uid="{FE3739B4-8958-4AB5-8065-6293FB2719AC}"/>
    <cellStyle name="Normal 7 6 4" xfId="1906" xr:uid="{A594E3BE-C14F-4B4C-A81E-5438885CB2F4}"/>
    <cellStyle name="Normal 7 6 4 2" xfId="4423" xr:uid="{1C19210B-70E2-411E-8E6C-020FD2D306C0}"/>
    <cellStyle name="Normal 7 6 5" xfId="3449" xr:uid="{FE337D58-B5A7-4D69-8693-012DB9479B85}"/>
    <cellStyle name="Normal 7 7" xfId="573" xr:uid="{00000000-0005-0000-0000-0000D7020000}"/>
    <cellStyle name="Normal 7 7 2" xfId="784" xr:uid="{00000000-0005-0000-0000-0000D8020000}"/>
    <cellStyle name="Normal 7 7 2 2" xfId="3716" xr:uid="{8C73611C-B572-4536-80AD-3302A450DF7B}"/>
    <cellStyle name="Normal 7 7 3" xfId="2242" xr:uid="{D13D8FB6-7692-4C7F-A788-4DA09E09AE3A}"/>
    <cellStyle name="Normal 7 7 3 2" xfId="4710" xr:uid="{98CD2EB5-640D-4648-92BA-511539D3B0C1}"/>
    <cellStyle name="Normal 7 7 4" xfId="3507" xr:uid="{690CE31E-468C-4724-8CDE-22AD24066A6D}"/>
    <cellStyle name="Normal 7 8" xfId="678" xr:uid="{00000000-0005-0000-0000-0000D9020000}"/>
    <cellStyle name="Normal 7 8 2" xfId="2525" xr:uid="{307702F0-915A-45DC-8EAA-52BC1DCD88E3}"/>
    <cellStyle name="Normal 7 8 2 2" xfId="4960" xr:uid="{56604B3D-7F53-44CE-B839-F0052EF025F8}"/>
    <cellStyle name="Normal 7 8 3" xfId="3611" xr:uid="{7C44EECB-B656-483D-A12E-5EC1275FEBEB}"/>
    <cellStyle name="Normal 7 9" xfId="1500" xr:uid="{D57F8E0A-E2ED-4FC7-A49E-A7169DADE1DC}"/>
    <cellStyle name="Normal 7 9 2" xfId="4090" xr:uid="{3D1A896C-6C91-4753-AAB4-688960279892}"/>
    <cellStyle name="Normal 70" xfId="2266" xr:uid="{4D80699D-190B-4EC3-8B1F-6FC1A24BA506}"/>
    <cellStyle name="Normal 70 2" xfId="3026" xr:uid="{CE11F7DD-7FDD-42F1-A6F3-CB646B64CE77}"/>
    <cellStyle name="Normal 71" xfId="2263" xr:uid="{FDE35B72-C261-427A-9BC0-4B0CBC38B2C1}"/>
    <cellStyle name="Normal 71 2" xfId="3023" xr:uid="{3056DC73-458C-48E2-A870-C361A9FAB473}"/>
    <cellStyle name="Normal 72" xfId="2267" xr:uid="{B30D53F8-92F6-486C-B974-E17672AB0310}"/>
    <cellStyle name="Normal 72 2" xfId="3027" xr:uid="{BF4D77F3-96DC-40D4-A52C-E8F4F34628EA}"/>
    <cellStyle name="Normal 73" xfId="2262" xr:uid="{0280285B-24B7-40A2-B35B-224AFD92064C}"/>
    <cellStyle name="Normal 73 2" xfId="3022" xr:uid="{F5BBE184-A9CC-4215-A453-3D5F5123DAA7}"/>
    <cellStyle name="Normal 74" xfId="2264" xr:uid="{FADAF6CE-ABBA-418C-9B01-1C1C76F918A2}"/>
    <cellStyle name="Normal 74 2" xfId="3024" xr:uid="{FB9661B7-E7EF-4297-9B01-ECFBBD25F8A9}"/>
    <cellStyle name="Normal 75" xfId="2270" xr:uid="{AC9CDF47-A781-4CD7-8182-1797A09AA6FE}"/>
    <cellStyle name="Normal 75 2" xfId="3028" xr:uid="{7693C5B5-6614-4053-86FC-8CB65268E388}"/>
    <cellStyle name="Normal 76" xfId="2274" xr:uid="{D1CF41F6-0F9B-46BB-96A9-0715896FB3FE}"/>
    <cellStyle name="Normal 76 2" xfId="3032" xr:uid="{016DFEF8-8D6D-4494-946B-EA27F7564B57}"/>
    <cellStyle name="Normal 77" xfId="2272" xr:uid="{7ADE2F67-3E72-4B54-A080-A52C103C53DD}"/>
    <cellStyle name="Normal 77 2" xfId="3030" xr:uid="{8DB482A4-C732-4FDA-8C8C-7209F0B40011}"/>
    <cellStyle name="Normal 78" xfId="2275" xr:uid="{DBF36640-AC2B-4A0F-9C27-F8FBAFB0BB3F}"/>
    <cellStyle name="Normal 78 2" xfId="3033" xr:uid="{91A91DD0-A065-48EF-BDAF-D6D38001E21E}"/>
    <cellStyle name="Normal 79" xfId="2271" xr:uid="{0B0B58F9-0271-49B9-B3E2-29A6FBFC9F5F}"/>
    <cellStyle name="Normal 79 2" xfId="3029" xr:uid="{7FD78583-AD1C-446C-B055-AD2C873345D6}"/>
    <cellStyle name="Normal 8" xfId="240" xr:uid="{00000000-0005-0000-0000-0000DA020000}"/>
    <cellStyle name="Normal 8 2" xfId="524" xr:uid="{00000000-0005-0000-0000-0000DB020000}"/>
    <cellStyle name="Normal 8 2 2" xfId="1530" xr:uid="{72950C60-50B2-4ADF-B0EE-F61A5A1FDE6F}"/>
    <cellStyle name="Normal 8 2 2 2" xfId="1531" xr:uid="{C0E26989-9E68-4542-A678-F17E9D7539ED}"/>
    <cellStyle name="Normal 8 2 2 2 2" xfId="2091" xr:uid="{14C28E59-AE5B-4272-89EB-E9E4E455B4FE}"/>
    <cellStyle name="Normal 8 2 2 2 2 2" xfId="2929" xr:uid="{293E9B8B-DD9A-4F74-87F5-2A625CCD5AD4}"/>
    <cellStyle name="Normal 8 2 2 2 2 2 2" xfId="5364" xr:uid="{40C0794F-39AC-4A22-B333-F72AB0F80731}"/>
    <cellStyle name="Normal 8 2 2 2 2 3" xfId="4608" xr:uid="{34E14FBB-2058-4AA4-81C3-1F3326E33916}"/>
    <cellStyle name="Normal 8 2 2 2 3" xfId="2554" xr:uid="{F10B9456-7231-444D-B946-055649E5F1E1}"/>
    <cellStyle name="Normal 8 2 2 2 3 2" xfId="4989" xr:uid="{3514900E-CB51-481D-A7B3-6139F0685D08}"/>
    <cellStyle name="Normal 8 2 2 2 4" xfId="4119" xr:uid="{3A91AB09-90E1-4CCB-9EC7-3725D0FA4092}"/>
    <cellStyle name="Normal 8 2 2 3" xfId="1921" xr:uid="{88D377B0-EFC1-476B-A607-4C1584248006}"/>
    <cellStyle name="Normal 8 2 2 3 2" xfId="2759" xr:uid="{5B58BBF9-03A2-4F04-80CD-00A99E1E8245}"/>
    <cellStyle name="Normal 8 2 2 3 2 2" xfId="5194" xr:uid="{4D01309D-7585-49C8-A6E0-AC810C326B28}"/>
    <cellStyle name="Normal 8 2 2 3 3" xfId="4438" xr:uid="{280FEB0A-88FC-4DFB-988C-1E831F9417D9}"/>
    <cellStyle name="Normal 8 2 2 4" xfId="2553" xr:uid="{7BED0038-A156-4411-BB8D-A4B1B41A8244}"/>
    <cellStyle name="Normal 8 2 2 4 2" xfId="4988" xr:uid="{8490C167-EFFB-45EC-9717-D78C90CEE873}"/>
    <cellStyle name="Normal 8 2 2 5" xfId="4118" xr:uid="{5F93E948-47D6-40BC-A85B-07F3D506D2E3}"/>
    <cellStyle name="Normal 8 2 3" xfId="1532" xr:uid="{3722C380-EF16-4423-A35B-A67028DB423E}"/>
    <cellStyle name="Normal 8 2 3 2" xfId="1533" xr:uid="{F4E2F80C-B083-4AEB-A61D-5442C5BE37FC}"/>
    <cellStyle name="Normal 8 2 3 2 2" xfId="2092" xr:uid="{991F5F08-5C6C-4DEA-9C07-FEDCB86DC481}"/>
    <cellStyle name="Normal 8 2 3 2 2 2" xfId="2930" xr:uid="{E643B80C-5C39-4C08-B52B-334DCC6C4003}"/>
    <cellStyle name="Normal 8 2 3 2 2 2 2" xfId="5365" xr:uid="{2CBD1E40-C6AB-4681-BDD1-BF60775A4741}"/>
    <cellStyle name="Normal 8 2 3 2 2 3" xfId="4609" xr:uid="{4EB83086-FF4F-4A44-AF3C-CBDE22C4889C}"/>
    <cellStyle name="Normal 8 2 3 2 3" xfId="2556" xr:uid="{6EE82F89-8A9F-4044-A9AB-0E5A080064C3}"/>
    <cellStyle name="Normal 8 2 3 2 3 2" xfId="4991" xr:uid="{C1477C92-DC3B-4172-93FF-C166DC32436F}"/>
    <cellStyle name="Normal 8 2 3 2 4" xfId="4121" xr:uid="{155ADE1F-E4E0-49D8-8B1A-565B6A8CF3FC}"/>
    <cellStyle name="Normal 8 2 3 3" xfId="1922" xr:uid="{0B0D46D4-C369-4BD9-8A90-754E20DE686B}"/>
    <cellStyle name="Normal 8 2 3 3 2" xfId="2760" xr:uid="{F24464ED-9587-41BB-A952-6578F8F25107}"/>
    <cellStyle name="Normal 8 2 3 3 2 2" xfId="5195" xr:uid="{5EF19745-6D10-4C5E-844B-1E3D024DC84F}"/>
    <cellStyle name="Normal 8 2 3 3 3" xfId="4439" xr:uid="{48840FC2-4AA3-4FCD-BE1D-45224D7999E9}"/>
    <cellStyle name="Normal 8 2 3 4" xfId="2555" xr:uid="{915E1339-F927-4101-BA61-D216CEDFD08C}"/>
    <cellStyle name="Normal 8 2 3 4 2" xfId="4990" xr:uid="{69C4AD85-E3D9-48D2-9DBE-7B054147AD66}"/>
    <cellStyle name="Normal 8 2 3 5" xfId="4120" xr:uid="{E5A0C7CB-F563-4208-BC8F-DC1E4F45A80B}"/>
    <cellStyle name="Normal 8 2 4" xfId="1534" xr:uid="{D006C071-D198-49CF-90FC-A96B554E0920}"/>
    <cellStyle name="Normal 8 2 4 2" xfId="2090" xr:uid="{6F538240-B100-4448-8199-26587A0D054F}"/>
    <cellStyle name="Normal 8 2 4 2 2" xfId="2928" xr:uid="{40559DE5-F40F-42DA-8E34-6D9C5B311BCC}"/>
    <cellStyle name="Normal 8 2 4 2 2 2" xfId="5363" xr:uid="{A34B67A1-5B4A-4278-BC5E-BDB249F82B2B}"/>
    <cellStyle name="Normal 8 2 4 2 3" xfId="4607" xr:uid="{291B68CD-F8BA-40CF-8325-1B5BCFCDDDF1}"/>
    <cellStyle name="Normal 8 2 4 3" xfId="2557" xr:uid="{69EA9506-9EC8-445E-94A8-7797C51F1D71}"/>
    <cellStyle name="Normal 8 2 4 3 2" xfId="4992" xr:uid="{4BD2EB6D-D37B-469B-A61B-9579E0572662}"/>
    <cellStyle name="Normal 8 2 4 4" xfId="4122" xr:uid="{2A84D46F-8045-4301-8103-A420A430B54C}"/>
    <cellStyle name="Normal 8 2 5" xfId="1920" xr:uid="{E2EEABFE-CB2A-47BA-A28C-2306E53B78CE}"/>
    <cellStyle name="Normal 8 2 5 2" xfId="2758" xr:uid="{241CD68D-A374-4F8E-A74D-36139FBC7C0B}"/>
    <cellStyle name="Normal 8 2 5 2 2" xfId="5193" xr:uid="{82DFCCBD-0E7D-45DC-82F9-CF6F22C6B2A2}"/>
    <cellStyle name="Normal 8 2 5 3" xfId="4437" xr:uid="{C1928C89-4EE1-4011-A84C-9FDA4166048E}"/>
    <cellStyle name="Normal 8 2 6" xfId="2245" xr:uid="{993412EA-D78C-47E5-A8B9-7DD005E8613C}"/>
    <cellStyle name="Normal 8 2 6 2" xfId="4713" xr:uid="{647455BB-A74A-4170-BB35-C0C7196A2104}"/>
    <cellStyle name="Normal 8 2 7" xfId="2552" xr:uid="{E84FB534-ED10-47AB-B85F-48E2B9DF01E5}"/>
    <cellStyle name="Normal 8 2 7 2" xfId="4987" xr:uid="{3FC1FA3C-C28D-4ED8-93A6-CF187918CB56}"/>
    <cellStyle name="Normal 8 2 8" xfId="1529" xr:uid="{BDB9A11D-A2E9-42F0-852C-4C8FCB2359F7}"/>
    <cellStyle name="Normal 8 2 8 2" xfId="4117" xr:uid="{71F63154-E95B-459D-9559-44A6659BD5FB}"/>
    <cellStyle name="Normal 8 3" xfId="1535" xr:uid="{C04C6E3A-CCE5-4C2E-83D9-884E8DE4459E}"/>
    <cellStyle name="Normal 8 3 2" xfId="1536" xr:uid="{0BDF85EE-6D30-4053-B254-622861112A78}"/>
    <cellStyle name="Normal 8 3 2 2" xfId="2093" xr:uid="{B71A621D-6F74-47F4-848C-297E56D49774}"/>
    <cellStyle name="Normal 8 3 2 2 2" xfId="2931" xr:uid="{D3A95855-DB72-4BA0-A612-D54C474C6329}"/>
    <cellStyle name="Normal 8 3 2 2 2 2" xfId="5366" xr:uid="{95007E7E-570A-4F44-AD35-431A61844D57}"/>
    <cellStyle name="Normal 8 3 2 2 3" xfId="4610" xr:uid="{F151F13B-DA2E-498F-97EB-D9EE9D619131}"/>
    <cellStyle name="Normal 8 3 2 3" xfId="2559" xr:uid="{B9E13225-E94F-45BE-A760-A5D10B3C42A5}"/>
    <cellStyle name="Normal 8 3 2 3 2" xfId="4994" xr:uid="{7DE9C860-59B1-49ED-9204-757732495F9E}"/>
    <cellStyle name="Normal 8 3 2 4" xfId="4124" xr:uid="{238622E7-B120-43B2-9E94-29B2E26D1F00}"/>
    <cellStyle name="Normal 8 3 3" xfId="1923" xr:uid="{47F1BC2B-8B65-45E8-8B4C-02D3B364CA83}"/>
    <cellStyle name="Normal 8 3 3 2" xfId="2761" xr:uid="{C4C74741-79AF-4381-9585-98EADB1DF708}"/>
    <cellStyle name="Normal 8 3 3 2 2" xfId="5196" xr:uid="{5B6422BA-04F3-4887-BFD5-B7C0110F18E5}"/>
    <cellStyle name="Normal 8 3 3 3" xfId="4440" xr:uid="{B2BA9242-F64D-4277-A52F-8FB9D7B8950C}"/>
    <cellStyle name="Normal 8 3 4" xfId="2558" xr:uid="{803D7582-2419-4E06-A526-945DE127505C}"/>
    <cellStyle name="Normal 8 3 4 2" xfId="4993" xr:uid="{10B7F9F4-9F3C-462F-965D-4954C277D0B8}"/>
    <cellStyle name="Normal 8 3 5" xfId="4123" xr:uid="{3C068339-EEB9-4BE1-B2F7-78C87CA14406}"/>
    <cellStyle name="Normal 8 4" xfId="1537" xr:uid="{62CCB820-1721-4617-A7F2-71AC71FF06BB}"/>
    <cellStyle name="Normal 8 4 2" xfId="1538" xr:uid="{F034BD01-9664-473A-9708-BED8DEDE8EA8}"/>
    <cellStyle name="Normal 8 4 2 2" xfId="2094" xr:uid="{8200B082-C132-40A0-8529-5E13A84BA6B6}"/>
    <cellStyle name="Normal 8 4 2 2 2" xfId="2932" xr:uid="{5ECD662D-3F64-47B1-80AC-09BDDD36A49E}"/>
    <cellStyle name="Normal 8 4 2 2 2 2" xfId="5367" xr:uid="{A4602990-5753-40C6-BF6C-CC646C771836}"/>
    <cellStyle name="Normal 8 4 2 2 3" xfId="4611" xr:uid="{E82EBD7B-9AF0-4672-9C2A-B96FC9025F19}"/>
    <cellStyle name="Normal 8 4 2 3" xfId="2561" xr:uid="{083A2605-4306-4547-9C63-09802E48865D}"/>
    <cellStyle name="Normal 8 4 2 3 2" xfId="4996" xr:uid="{9774F1F3-7601-4598-A4F2-0F54DD7A9C05}"/>
    <cellStyle name="Normal 8 4 2 4" xfId="4126" xr:uid="{8F7D7348-E37E-4563-9379-CF774AC09130}"/>
    <cellStyle name="Normal 8 4 3" xfId="1924" xr:uid="{CCA79CA0-1C31-4160-8CEF-1409DA89ABAF}"/>
    <cellStyle name="Normal 8 4 3 2" xfId="2762" xr:uid="{32BC2F2F-FCC4-4E68-97D9-FF88273FAAF4}"/>
    <cellStyle name="Normal 8 4 3 2 2" xfId="5197" xr:uid="{2EB2E6B2-0CE0-402A-9743-59675A566609}"/>
    <cellStyle name="Normal 8 4 3 3" xfId="4441" xr:uid="{8DC5BDFA-0DB6-45B4-B3AB-51A77DB1F664}"/>
    <cellStyle name="Normal 8 4 4" xfId="2560" xr:uid="{BE65E5DF-355D-4D81-9B0D-0B7CA3A9604D}"/>
    <cellStyle name="Normal 8 4 4 2" xfId="4995" xr:uid="{F3CBF87D-A3EF-4EB8-B1A2-E66332C917C5}"/>
    <cellStyle name="Normal 8 4 5" xfId="4125" xr:uid="{56B3C423-6F3C-4EAD-8571-1A2751877CB7}"/>
    <cellStyle name="Normal 8 5" xfId="1539" xr:uid="{D357DC18-202D-4C6B-BFA4-9487F88D79A5}"/>
    <cellStyle name="Normal 8 5 2" xfId="2089" xr:uid="{DCB062A9-3958-4914-BF81-58513C1CDBC9}"/>
    <cellStyle name="Normal 8 5 2 2" xfId="2927" xr:uid="{39E19137-A659-4DC6-8AE5-10CEECFB1423}"/>
    <cellStyle name="Normal 8 5 2 2 2" xfId="5362" xr:uid="{04789B3F-656A-4234-B3FA-23A52F8D0007}"/>
    <cellStyle name="Normal 8 5 2 3" xfId="4606" xr:uid="{35773A35-1F5F-44F2-8416-91B3B79B2521}"/>
    <cellStyle name="Normal 8 5 3" xfId="2562" xr:uid="{AC260160-43EB-494C-A75C-288D4F505B49}"/>
    <cellStyle name="Normal 8 5 3 2" xfId="4997" xr:uid="{0CE93076-31D6-4428-8037-79E7DC42A74B}"/>
    <cellStyle name="Normal 8 5 4" xfId="4127" xr:uid="{E7A369CE-0553-4FFD-BFA0-CF1A4E6DA377}"/>
    <cellStyle name="Normal 8 6" xfId="1919" xr:uid="{275AF734-ED45-4B21-9373-E30F3BA34075}"/>
    <cellStyle name="Normal 8 6 2" xfId="2757" xr:uid="{28A57076-8763-4938-B2B2-FE726F0FC71A}"/>
    <cellStyle name="Normal 8 6 2 2" xfId="5192" xr:uid="{E1D3DC68-C502-4AE3-B4BE-1F06122B2BAE}"/>
    <cellStyle name="Normal 8 6 3" xfId="4436" xr:uid="{9578127D-A16C-4F57-AE76-C4990CAE331D}"/>
    <cellStyle name="Normal 8 7" xfId="2244" xr:uid="{1CB932F5-B1EA-42E9-AE20-5F93357BE6FD}"/>
    <cellStyle name="Normal 8 7 2" xfId="4712" xr:uid="{D0CD6187-9B03-4D24-827F-728137A6AC38}"/>
    <cellStyle name="Normal 8 8" xfId="2551" xr:uid="{8481FA03-2E55-4DB2-A3A9-7D12F408A00E}"/>
    <cellStyle name="Normal 8 8 2" xfId="4986" xr:uid="{251B1A75-224E-4A4F-9C8D-CEBF568D65A4}"/>
    <cellStyle name="Normal 8 9" xfId="1528" xr:uid="{DAF95CE8-B2B9-4E00-B32B-705102AA2D3F}"/>
    <cellStyle name="Normal 8 9 2" xfId="4116" xr:uid="{F8F9473C-B923-403B-BFF4-43C7608CEE9A}"/>
    <cellStyle name="Normal 80" xfId="2273" xr:uid="{72EB945E-EBE6-4538-BFEB-E84CAD76E490}"/>
    <cellStyle name="Normal 80 2" xfId="3031" xr:uid="{4DD2AE72-8EDB-46A3-A0D9-726E03056663}"/>
    <cellStyle name="Normal 81" xfId="2276" xr:uid="{10FB7107-7A28-4DD1-8DAF-BEA8A881779F}"/>
    <cellStyle name="Normal 81 2" xfId="3034" xr:uid="{D218DA3C-129A-4E82-9CDE-AB210449D76C}"/>
    <cellStyle name="Normal 82" xfId="2281" xr:uid="{8F36C532-D61A-4213-8F8A-1C63A054C274}"/>
    <cellStyle name="Normal 82 2" xfId="3039" xr:uid="{183BD7CB-628A-4666-B7F2-53AD66FC7B4D}"/>
    <cellStyle name="Normal 83" xfId="2278" xr:uid="{6D149C46-EE27-4984-9F15-423F3FB04A26}"/>
    <cellStyle name="Normal 83 2" xfId="3036" xr:uid="{01BC8440-4EDC-430D-BEF7-67508EC2E82F}"/>
    <cellStyle name="Normal 84" xfId="2279" xr:uid="{C4A1E058-FE9C-4D90-8C10-93F0CEBA1044}"/>
    <cellStyle name="Normal 84 2" xfId="3037" xr:uid="{FE639C3A-E0C1-44B1-BDB5-1C6601879F85}"/>
    <cellStyle name="Normal 85" xfId="2282" xr:uid="{A7EFF48A-6679-47D8-A94A-4374D8FEE78F}"/>
    <cellStyle name="Normal 85 2" xfId="3040" xr:uid="{343A9326-229E-44D7-A678-36703FD8976C}"/>
    <cellStyle name="Normal 86" xfId="2277" xr:uid="{DACA7568-0341-4B8B-B0F1-2AF05D065473}"/>
    <cellStyle name="Normal 86 2" xfId="3035" xr:uid="{249E05BD-FDBE-4964-BFC0-83CB3E49B60F}"/>
    <cellStyle name="Normal 87" xfId="2280" xr:uid="{18674C10-56D3-41BC-8305-107970233A2C}"/>
    <cellStyle name="Normal 87 2" xfId="3038" xr:uid="{02D14FE3-59F9-4F47-B23D-72C2ACD24945}"/>
    <cellStyle name="Normal 88" xfId="2286" xr:uid="{AD8864C6-6228-4D32-9285-9911577B9A78}"/>
    <cellStyle name="Normal 88 2" xfId="4721" xr:uid="{89E639DA-5B38-4342-A88C-EA8B695F5188}"/>
    <cellStyle name="Normal 89" xfId="981" xr:uid="{E22A1F9D-E963-4307-8C4B-0CC408DE39C0}"/>
    <cellStyle name="Normal 89 2" xfId="3868" xr:uid="{0889C6F4-BFA6-4EC1-BD0E-DDF3E45DE03E}"/>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2 2 2" xfId="3804" xr:uid="{A326AD5E-24BD-4572-96D0-ECA353168B68}"/>
    <cellStyle name="Normal 9 2 2 2 2 3" xfId="3595" xr:uid="{686FAA7E-339B-4C93-BD69-7BD8E598434D}"/>
    <cellStyle name="Normal 9 2 2 2 3" xfId="766" xr:uid="{00000000-0005-0000-0000-0000E2020000}"/>
    <cellStyle name="Normal 9 2 2 2 3 2" xfId="3699" xr:uid="{DF1C7F32-7915-45C6-AD58-58CDAB4D230B}"/>
    <cellStyle name="Normal 9 2 2 2 4" xfId="3485" xr:uid="{AC680DEB-7467-4BBB-8B7D-953EACD0FB36}"/>
    <cellStyle name="Normal 9 2 2 3" xfId="609" xr:uid="{00000000-0005-0000-0000-0000E3020000}"/>
    <cellStyle name="Normal 9 2 2 3 2" xfId="820" xr:uid="{00000000-0005-0000-0000-0000E4020000}"/>
    <cellStyle name="Normal 9 2 2 3 2 2" xfId="3752" xr:uid="{F86CCC86-E46D-4461-B847-115B36113787}"/>
    <cellStyle name="Normal 9 2 2 3 3" xfId="3543" xr:uid="{D8F196A6-E8DA-41FF-8226-200837F462DF}"/>
    <cellStyle name="Normal 9 2 2 4" xfId="714" xr:uid="{00000000-0005-0000-0000-0000E5020000}"/>
    <cellStyle name="Normal 9 2 2 4 2" xfId="3647" xr:uid="{645E2D50-772E-47FD-91B6-EED614193A70}"/>
    <cellStyle name="Normal 9 2 2 5" xfId="3428" xr:uid="{3E67592B-E41B-41B0-8610-AAD694FD9323}"/>
    <cellStyle name="Normal 9 2 3" xfId="479" xr:uid="{00000000-0005-0000-0000-0000E6020000}"/>
    <cellStyle name="Normal 9 2 3 2" xfId="635" xr:uid="{00000000-0005-0000-0000-0000E7020000}"/>
    <cellStyle name="Normal 9 2 3 2 2" xfId="846" xr:uid="{00000000-0005-0000-0000-0000E8020000}"/>
    <cellStyle name="Normal 9 2 3 2 2 2" xfId="3778" xr:uid="{DA86C131-470F-4ADE-B228-4956AB4173CB}"/>
    <cellStyle name="Normal 9 2 3 2 3" xfId="3569" xr:uid="{72AE38BA-CEED-43D6-80B9-54667EF4D8B9}"/>
    <cellStyle name="Normal 9 2 3 3" xfId="740" xr:uid="{00000000-0005-0000-0000-0000E9020000}"/>
    <cellStyle name="Normal 9 2 3 3 2" xfId="3673" xr:uid="{B6BB037E-3B27-4BBB-9767-456CA422A63C}"/>
    <cellStyle name="Normal 9 2 3 4" xfId="3459" xr:uid="{56B75B48-9EB5-4B81-95A6-E842E162853D}"/>
    <cellStyle name="Normal 9 2 4" xfId="583" xr:uid="{00000000-0005-0000-0000-0000EA020000}"/>
    <cellStyle name="Normal 9 2 4 2" xfId="794" xr:uid="{00000000-0005-0000-0000-0000EB020000}"/>
    <cellStyle name="Normal 9 2 4 2 2" xfId="3726" xr:uid="{0764790B-BB5D-41CC-AA24-51AE8DA50EBB}"/>
    <cellStyle name="Normal 9 2 4 3" xfId="3517" xr:uid="{51369476-947D-4FCA-B53E-8137F1E30163}"/>
    <cellStyle name="Normal 9 2 5" xfId="688" xr:uid="{00000000-0005-0000-0000-0000EC020000}"/>
    <cellStyle name="Normal 9 2 5 2" xfId="3621" xr:uid="{1A03BFB4-92A3-43C2-ABC0-6F84F5C0A7D5}"/>
    <cellStyle name="Normal 9 2 6" xfId="2205" xr:uid="{BC673DEF-5D04-4C53-A370-7F1FE7659104}"/>
    <cellStyle name="Normal 9 2 6 2" xfId="4695" xr:uid="{2D1400B8-864C-47BC-B39A-36538B98401D}"/>
    <cellStyle name="Normal 9 2 7" xfId="3397" xr:uid="{104C6515-142E-4289-9C5E-F0382579BEE3}"/>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2 2 2" xfId="3813" xr:uid="{C6E09A16-138E-404A-8CD7-0364FAAE46CC}"/>
    <cellStyle name="Normal 9 3 2 2 2 3" xfId="3604" xr:uid="{6179FACC-CC6A-4D7C-A0F1-198D84797BF5}"/>
    <cellStyle name="Normal 9 3 2 2 3" xfId="775" xr:uid="{00000000-0005-0000-0000-0000F2020000}"/>
    <cellStyle name="Normal 9 3 2 2 3 2" xfId="3708" xr:uid="{A31342D6-0CDC-437C-98F7-C4F83B3687AA}"/>
    <cellStyle name="Normal 9 3 2 2 4" xfId="3494" xr:uid="{1AD96E20-D657-4176-9273-6C22D90E1C60}"/>
    <cellStyle name="Normal 9 3 2 3" xfId="618" xr:uid="{00000000-0005-0000-0000-0000F3020000}"/>
    <cellStyle name="Normal 9 3 2 3 2" xfId="829" xr:uid="{00000000-0005-0000-0000-0000F4020000}"/>
    <cellStyle name="Normal 9 3 2 3 2 2" xfId="3761" xr:uid="{93388CFD-41F9-4BA6-862B-BB88A5E36B0B}"/>
    <cellStyle name="Normal 9 3 2 3 3" xfId="3552" xr:uid="{163FDC40-4A01-4759-A69B-CCB3F597417E}"/>
    <cellStyle name="Normal 9 3 2 4" xfId="723" xr:uid="{00000000-0005-0000-0000-0000F5020000}"/>
    <cellStyle name="Normal 9 3 2 4 2" xfId="3656" xr:uid="{61EB8B5B-EDC8-49E9-8B85-DEE9EE0690F0}"/>
    <cellStyle name="Normal 9 3 2 5" xfId="3437" xr:uid="{1976B4AD-E80B-41A9-8683-BF685AB8AA90}"/>
    <cellStyle name="Normal 9 3 3" xfId="488" xr:uid="{00000000-0005-0000-0000-0000F6020000}"/>
    <cellStyle name="Normal 9 3 3 2" xfId="644" xr:uid="{00000000-0005-0000-0000-0000F7020000}"/>
    <cellStyle name="Normal 9 3 3 2 2" xfId="855" xr:uid="{00000000-0005-0000-0000-0000F8020000}"/>
    <cellStyle name="Normal 9 3 3 2 2 2" xfId="3787" xr:uid="{9F328BC5-6B2C-4DC2-8201-5FE40AF3DDEE}"/>
    <cellStyle name="Normal 9 3 3 2 3" xfId="3578" xr:uid="{290E77A3-3E4A-4D3A-96B4-5D6DB7B2EC57}"/>
    <cellStyle name="Normal 9 3 3 3" xfId="749" xr:uid="{00000000-0005-0000-0000-0000F9020000}"/>
    <cellStyle name="Normal 9 3 3 3 2" xfId="3682" xr:uid="{CB4E825E-B4A8-475B-A0AA-F4BEB52FB451}"/>
    <cellStyle name="Normal 9 3 3 4" xfId="3468" xr:uid="{BC85CE32-1E60-4C43-82FB-1686C623DEB3}"/>
    <cellStyle name="Normal 9 3 4" xfId="592" xr:uid="{00000000-0005-0000-0000-0000FA020000}"/>
    <cellStyle name="Normal 9 3 4 2" xfId="803" xr:uid="{00000000-0005-0000-0000-0000FB020000}"/>
    <cellStyle name="Normal 9 3 4 2 2" xfId="3735" xr:uid="{24D794C4-6AC1-4D4C-BBBC-548DD9692735}"/>
    <cellStyle name="Normal 9 3 4 3" xfId="3526" xr:uid="{459FD994-653C-4278-BD7B-262F4B58C730}"/>
    <cellStyle name="Normal 9 3 5" xfId="697" xr:uid="{00000000-0005-0000-0000-0000FC020000}"/>
    <cellStyle name="Normal 9 3 5 2" xfId="3630" xr:uid="{84A1FFC0-1ED9-40FC-967F-272A66CF1EE5}"/>
    <cellStyle name="Normal 9 3 6" xfId="2246" xr:uid="{22D0BE96-4F8F-44D9-8F54-F047A2D1D968}"/>
    <cellStyle name="Normal 9 3 7" xfId="3406" xr:uid="{A6425A6C-DDB2-4186-8125-B9099A96904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2 2 2" xfId="3796" xr:uid="{0968C2D3-B044-485E-8306-ECC9A8E56788}"/>
    <cellStyle name="Normal 9 4 2 2 3" xfId="3587" xr:uid="{30303187-02C3-4FD6-A7D5-252B208EA388}"/>
    <cellStyle name="Normal 9 4 2 3" xfId="758" xr:uid="{00000000-0005-0000-0000-000001030000}"/>
    <cellStyle name="Normal 9 4 2 3 2" xfId="3691" xr:uid="{B71248E9-3166-4BB5-8D13-FC4D0C960F1C}"/>
    <cellStyle name="Normal 9 4 2 4" xfId="3477" xr:uid="{3690515D-9ED1-46AC-A79E-8DADD2BC11F1}"/>
    <cellStyle name="Normal 9 4 3" xfId="601" xr:uid="{00000000-0005-0000-0000-000002030000}"/>
    <cellStyle name="Normal 9 4 3 2" xfId="812" xr:uid="{00000000-0005-0000-0000-000003030000}"/>
    <cellStyle name="Normal 9 4 3 2 2" xfId="3744" xr:uid="{87175B12-2751-4F4D-84D7-D46F5F349485}"/>
    <cellStyle name="Normal 9 4 3 3" xfId="3535" xr:uid="{1A9B582F-73B5-44ED-BBF4-1239C280FFDB}"/>
    <cellStyle name="Normal 9 4 4" xfId="706" xr:uid="{00000000-0005-0000-0000-000004030000}"/>
    <cellStyle name="Normal 9 4 4 2" xfId="3639" xr:uid="{B0737F44-069F-42AF-8F1C-49BDE9E2C7C7}"/>
    <cellStyle name="Normal 9 4 5" xfId="2197" xr:uid="{F213F258-85A6-4046-9766-159BA016304C}"/>
    <cellStyle name="Normal 9 4 5 2" xfId="4688" xr:uid="{6B62FB5B-C3C2-45C4-B4B8-CE9CD55B1D6F}"/>
    <cellStyle name="Normal 9 4 6" xfId="3420" xr:uid="{513FA57B-3F3B-4D36-A513-41877D82B62E}"/>
    <cellStyle name="Normal 9 5" xfId="471" xr:uid="{00000000-0005-0000-0000-000005030000}"/>
    <cellStyle name="Normal 9 5 2" xfId="627" xr:uid="{00000000-0005-0000-0000-000006030000}"/>
    <cellStyle name="Normal 9 5 2 2" xfId="838" xr:uid="{00000000-0005-0000-0000-000007030000}"/>
    <cellStyle name="Normal 9 5 2 2 2" xfId="3770" xr:uid="{3ED8BA25-D338-4185-9E3A-7AC677B3D959}"/>
    <cellStyle name="Normal 9 5 2 3" xfId="3561" xr:uid="{CAF3910C-3C73-4B0C-9020-350BACC5BADE}"/>
    <cellStyle name="Normal 9 5 3" xfId="732" xr:uid="{00000000-0005-0000-0000-000008030000}"/>
    <cellStyle name="Normal 9 5 3 2" xfId="3665" xr:uid="{69FF6728-1514-40E2-A664-672E3DF2FADD}"/>
    <cellStyle name="Normal 9 5 4" xfId="3451" xr:uid="{D4655214-5F36-4E68-8781-E8E32FE1340F}"/>
    <cellStyle name="Normal 9 6" xfId="575" xr:uid="{00000000-0005-0000-0000-000009030000}"/>
    <cellStyle name="Normal 9 6 2" xfId="786" xr:uid="{00000000-0005-0000-0000-00000A030000}"/>
    <cellStyle name="Normal 9 6 2 2" xfId="3718" xr:uid="{00863C62-8759-4778-8D49-4844D4895836}"/>
    <cellStyle name="Normal 9 6 3" xfId="3509" xr:uid="{A4D8B3B0-444D-4748-AE1F-BDF3DEA5BFE0}"/>
    <cellStyle name="Normal 9 7" xfId="680" xr:uid="{00000000-0005-0000-0000-00000B030000}"/>
    <cellStyle name="Normal 9 7 2" xfId="3613" xr:uid="{DE222856-D0F5-48B1-B0BC-CCFFC6503D32}"/>
    <cellStyle name="Normal 9 8" xfId="1540" xr:uid="{24C5FA95-B10B-4820-A5E7-CE0B32E4875A}"/>
    <cellStyle name="Normal 9 9" xfId="3379" xr:uid="{3347AC9C-8B0B-457B-BEC0-6AAD3BD19263}"/>
    <cellStyle name="Normal 90" xfId="5686" xr:uid="{F4E5E8F2-147D-4B6F-9F09-790067395BEA}"/>
    <cellStyle name="Normal_Funding Shift Table Sample" xfId="67" xr:uid="{00000000-0005-0000-0000-00000C030000}"/>
    <cellStyle name="Note" xfId="68" builtinId="10" customBuiltin="1"/>
    <cellStyle name="Note 2" xfId="186" xr:uid="{00000000-0005-0000-0000-00000E030000}"/>
    <cellStyle name="Note 2 10" xfId="1541" xr:uid="{6017623B-0087-4DF9-945F-8181E1C8AB0A}"/>
    <cellStyle name="Note 2 10 2" xfId="4128" xr:uid="{28A87D49-FC7F-409A-8E79-74A9FE841C8C}"/>
    <cellStyle name="Note 2 11" xfId="3369" xr:uid="{B33D2EA3-F76A-4F9D-BA9D-1168E78A9142}"/>
    <cellStyle name="Note 2 2" xfId="1542" xr:uid="{74101AC9-D6BB-4657-8E35-78EF3D6EBA41}"/>
    <cellStyle name="Note 2 2 2" xfId="1543" xr:uid="{610E0649-5209-48AB-9CCE-AC054EA499EA}"/>
    <cellStyle name="Note 2 2 3" xfId="2247" xr:uid="{0430E893-0B5A-4D96-8C92-CD285EA7EF6E}"/>
    <cellStyle name="Note 2 2 3 2" xfId="3083" xr:uid="{5B7C99FA-E620-4C4D-B3AE-186C2C4E0182}"/>
    <cellStyle name="Note 2 2 3 2 2" xfId="5457" xr:uid="{80A982F6-47BD-4B99-B7F6-975825BB9173}"/>
    <cellStyle name="Note 2 2 3 3" xfId="3160" xr:uid="{FC163AA7-7B1C-4FD4-9AE7-891C68D4DDF5}"/>
    <cellStyle name="Note 2 2 3 3 2" xfId="5534" xr:uid="{EC11D850-475C-4EF6-933A-B1739B981895}"/>
    <cellStyle name="Note 2 2 3 4" xfId="4714" xr:uid="{4C3D5B67-FF7E-4742-BFB4-E132B9AFF480}"/>
    <cellStyle name="Note 2 2 4" xfId="2203" xr:uid="{F90C3ADD-3E30-4BD0-A7FA-D2D581D69F1D}"/>
    <cellStyle name="Note 2 2 4 2" xfId="4693" xr:uid="{63DA5137-022A-4D04-B689-6D35D2778D84}"/>
    <cellStyle name="Note 2 2 5" xfId="3210" xr:uid="{9DB6F5A5-0373-43C7-9A9B-86074C170CC7}"/>
    <cellStyle name="Note 2 2 5 2" xfId="5584" xr:uid="{E4812A82-FCC7-493D-B6DF-53CC072396EE}"/>
    <cellStyle name="Note 2 2 6" xfId="3306" xr:uid="{F95AA93A-4B3E-4624-B879-3A93FB5584F4}"/>
    <cellStyle name="Note 2 2 6 2" xfId="5680" xr:uid="{6928B00D-57D7-42D5-9ADA-822B3EDB06EA}"/>
    <cellStyle name="Note 2 2 7" xfId="4129" xr:uid="{EE9A03A0-2B98-4609-B37C-91D293D873E2}"/>
    <cellStyle name="Note 2 3" xfId="1544" xr:uid="{0645C1D6-5AD2-46FF-BF23-2DA6F7FAB7E9}"/>
    <cellStyle name="Note 2 3 2" xfId="3289" xr:uid="{5E301530-BA99-425E-9CB3-F17ABE9B97EE}"/>
    <cellStyle name="Note 2 3 2 2" xfId="5663" xr:uid="{1596C3B2-3222-4D16-89DD-BE028F9882F6}"/>
    <cellStyle name="Note 2 3 3" xfId="3305" xr:uid="{34AB6321-F0EC-4FCD-BF44-2AA822B372C2}"/>
    <cellStyle name="Note 2 3 3 2" xfId="5679" xr:uid="{13EE637E-805C-4338-9EE1-F2274CED4EF6}"/>
    <cellStyle name="Note 2 3 4" xfId="4130" xr:uid="{04913B86-D469-42EB-86EE-081ACEA403A6}"/>
    <cellStyle name="Note 2 4" xfId="1545" xr:uid="{1EAA1B1F-EC7E-4069-A206-D4A0A88FEA78}"/>
    <cellStyle name="Note 2 5" xfId="1546" xr:uid="{EABA095D-DB2E-4DFC-91E5-1FC903C36FE5}"/>
    <cellStyle name="Note 2 6" xfId="1547" xr:uid="{90A2C7B6-CD83-45B3-9A65-C73B7D6BD6E8}"/>
    <cellStyle name="Note 2 6 2" xfId="1973" xr:uid="{2003B62F-18C8-4764-A6E5-B6AF8231496A}"/>
    <cellStyle name="Note 2 6 2 2" xfId="2811" xr:uid="{70B0806F-E723-401F-8B4B-65A8E6CC5463}"/>
    <cellStyle name="Note 2 6 2 2 2" xfId="5246" xr:uid="{7CD24403-34FD-492E-9D3E-7F6D8685EEF4}"/>
    <cellStyle name="Note 2 6 2 3" xfId="4490" xr:uid="{AAB13C91-5A28-4815-B677-7076A705DEC3}"/>
    <cellStyle name="Note 2 6 3" xfId="2564" xr:uid="{032EE847-CA45-42B4-9F0B-1622EC1C1455}"/>
    <cellStyle name="Note 2 6 3 2" xfId="4999" xr:uid="{3D36B7A3-03D1-463F-AC64-EA1CD3A9590A}"/>
    <cellStyle name="Note 2 6 4" xfId="4131" xr:uid="{2BBDD420-393A-44B0-9C7A-75B626AC9E44}"/>
    <cellStyle name="Note 2 7" xfId="1803" xr:uid="{100940DF-780D-474C-967A-FCD47220126F}"/>
    <cellStyle name="Note 2 7 2" xfId="2641" xr:uid="{24ECF1FB-E188-4C3B-B897-2B8801A7A91C}"/>
    <cellStyle name="Note 2 7 2 2" xfId="5076" xr:uid="{4B2BE97C-8CC9-43ED-BC9E-07D76FE3EC6F}"/>
    <cellStyle name="Note 2 7 3" xfId="4320" xr:uid="{E4989896-F636-4CF2-8C66-A87AD117999D}"/>
    <cellStyle name="Note 2 8" xfId="2213" xr:uid="{00CD06D3-37B7-41F8-BC9A-5C51953D146F}"/>
    <cellStyle name="Note 2 8 2" xfId="4703" xr:uid="{9DAC332C-563B-4338-878F-3A8B4DF098A8}"/>
    <cellStyle name="Note 2 9" xfId="2563" xr:uid="{699D5530-6D92-432A-942C-76A25756B943}"/>
    <cellStyle name="Note 2 9 2" xfId="4998" xr:uid="{B3FA4D67-C686-4AA9-A9C2-29D386C6CA81}"/>
    <cellStyle name="Note 3" xfId="232" xr:uid="{00000000-0005-0000-0000-00000F030000}"/>
    <cellStyle name="Note 3 2" xfId="2968" xr:uid="{4A229F60-125B-4B8B-A7CE-A088A18AAFA5}"/>
    <cellStyle name="Note 3 2 2" xfId="5403" xr:uid="{F12FD567-A71F-4AE8-A6A9-17AE71B6EA8F}"/>
    <cellStyle name="Note 3 3" xfId="2130" xr:uid="{1A1B6121-D8F8-47C7-A8E2-14D921387F04}"/>
    <cellStyle name="Note 3 3 2" xfId="4647" xr:uid="{0D8B4CF8-6895-44BE-959A-F2EA42CA7A35}"/>
    <cellStyle name="Note 3 4" xfId="3375" xr:uid="{31628E5C-CB82-4707-96B5-B9843368ED39}"/>
    <cellStyle name="Note 4" xfId="278" xr:uid="{00000000-0005-0000-0000-000010030000}"/>
    <cellStyle name="Note 4 2" xfId="2159" xr:uid="{DE8DFE35-9B4C-461A-9270-8ECAFEE000C9}"/>
    <cellStyle name="Note 4 2 2" xfId="4660" xr:uid="{69A4029C-5F16-477A-9912-26FA212D48B3}"/>
    <cellStyle name="Note 4 3" xfId="3382" xr:uid="{95846E07-7F97-4E10-A014-EF5834578C30}"/>
    <cellStyle name="Note 5" xfId="327" xr:uid="{00000000-0005-0000-0000-000011030000}"/>
    <cellStyle name="Note 5 2" xfId="2173" xr:uid="{2274DBE0-5402-4F9D-A085-23875B90B9BB}"/>
    <cellStyle name="Note 5 2 2" xfId="4674" xr:uid="{D6D703A9-0112-4A92-A259-17077F883674}"/>
    <cellStyle name="Note 5 3" xfId="3391" xr:uid="{239F1857-685F-46E5-BEDA-285BB0EFCE41}"/>
    <cellStyle name="Note 6" xfId="391" xr:uid="{00000000-0005-0000-0000-000012030000}"/>
    <cellStyle name="Note 6 2" xfId="3041" xr:uid="{3F6746C8-F563-4E56-9BBA-CB064F8F92AE}"/>
    <cellStyle name="Note 6 2 2" xfId="5416" xr:uid="{D4B5EA21-2747-43B6-97F5-7203D3581C19}"/>
    <cellStyle name="Note 6 3" xfId="3414" xr:uid="{1536D08F-8F1B-48E7-9880-B20AE838BDB2}"/>
    <cellStyle name="Note 7" xfId="462" xr:uid="{00000000-0005-0000-0000-000013030000}"/>
    <cellStyle name="Note 7 2" xfId="2283" xr:uid="{111DE793-311B-421A-AD6B-DAAD01151306}"/>
    <cellStyle name="Note 7 2 2" xfId="4718" xr:uid="{8EB83275-1F12-4407-83F5-9A48F133C009}"/>
    <cellStyle name="Note 7 3" xfId="3445" xr:uid="{A70D53B6-81EC-46B1-9606-A04D9A549B31}"/>
    <cellStyle name="Note 8" xfId="566" xr:uid="{00000000-0005-0000-0000-000014030000}"/>
    <cellStyle name="Note 8 2" xfId="3503" xr:uid="{1D63B326-ED04-4CAA-945E-F855D7E9DE13}"/>
    <cellStyle name="Note 9" xfId="3316" xr:uid="{A57DF1FF-9DF2-440F-80B0-D90D0746E7BA}"/>
    <cellStyle name="Output" xfId="69" builtinId="21" customBuiltin="1"/>
    <cellStyle name="Output 10" xfId="3317" xr:uid="{CBB1D51C-4A51-4533-8B54-4A9CB8BD2961}"/>
    <cellStyle name="Output 2" xfId="187" xr:uid="{00000000-0005-0000-0000-000016030000}"/>
    <cellStyle name="Output 2 2" xfId="1549" xr:uid="{12332D61-2B52-4831-BDEB-9EB7A1EC4913}"/>
    <cellStyle name="Output 2 2 2" xfId="3082" xr:uid="{DCDC1C11-96FD-4E91-BF2E-D2719E759957}"/>
    <cellStyle name="Output 2 2 2 2" xfId="5456" xr:uid="{D4C744B8-4F27-4527-A920-636BC4162EF9}"/>
    <cellStyle name="Output 2 2 3" xfId="3134" xr:uid="{5B15CAFE-0139-4819-9FB4-2EB9BE49E2F3}"/>
    <cellStyle name="Output 2 2 3 2" xfId="5508" xr:uid="{AE2D56D2-ABCD-48ED-A9A2-35203977C317}"/>
    <cellStyle name="Output 2 2 4" xfId="4133" xr:uid="{DE94FC5B-F13D-44D4-8896-FF53222D5A50}"/>
    <cellStyle name="Output 2 3" xfId="3140" xr:uid="{4C75D20A-9A0C-4A20-85E5-76A759550F36}"/>
    <cellStyle name="Output 2 3 2" xfId="5514" xr:uid="{00AF7FC9-8CF7-4F06-B373-CD30B61A0713}"/>
    <cellStyle name="Output 2 4" xfId="3304" xr:uid="{46995F99-A8C1-4C47-8966-B59D09B1C165}"/>
    <cellStyle name="Output 2 4 2" xfId="5678" xr:uid="{9A5F289F-551B-4BDC-BA59-296E69B92F20}"/>
    <cellStyle name="Output 2 5" xfId="1548" xr:uid="{32837C36-1F56-484A-85CA-6C75B2E2C5DD}"/>
    <cellStyle name="Output 2 5 2" xfId="4132" xr:uid="{16A3633F-F7B1-47B2-AE62-140AA808AB4E}"/>
    <cellStyle name="Output 2 6" xfId="3370" xr:uid="{BAE2167A-AC6B-4DCE-9D82-0F4FC361A60A}"/>
    <cellStyle name="Output 3" xfId="233" xr:uid="{00000000-0005-0000-0000-000017030000}"/>
    <cellStyle name="Output 3 2" xfId="3376" xr:uid="{59AA6366-B6A4-4AE3-A2C4-EB8B910AAB39}"/>
    <cellStyle name="Output 4" xfId="279" xr:uid="{00000000-0005-0000-0000-000018030000}"/>
    <cellStyle name="Output 4 2" xfId="3383" xr:uid="{054C86AC-3002-4984-B767-C6634A32A54F}"/>
    <cellStyle name="Output 5" xfId="328" xr:uid="{00000000-0005-0000-0000-000019030000}"/>
    <cellStyle name="Output 5 2" xfId="3392" xr:uid="{18B54599-EA6F-4DD0-9DE9-C6DF2888D5FB}"/>
    <cellStyle name="Output 6" xfId="392" xr:uid="{00000000-0005-0000-0000-00001A030000}"/>
    <cellStyle name="Output 6 2" xfId="3415" xr:uid="{DB5398E8-DC74-4FAA-B14E-551D74CC7465}"/>
    <cellStyle name="Output 7" xfId="463" xr:uid="{00000000-0005-0000-0000-00001B030000}"/>
    <cellStyle name="Output 7 2" xfId="3446" xr:uid="{7432EEE5-A8D1-4FFB-970F-3DB4B67CB586}"/>
    <cellStyle name="Output 8" xfId="567" xr:uid="{00000000-0005-0000-0000-00001C030000}"/>
    <cellStyle name="Output 8 2" xfId="3504" xr:uid="{19D0B7CE-8134-4C7F-ACFD-CB6AE30E9BC6}"/>
    <cellStyle name="Output 9" xfId="987" xr:uid="{11AA6DC3-C581-4351-9A44-4F69B969AE09}"/>
    <cellStyle name="Percent" xfId="145" builtinId="5"/>
    <cellStyle name="Percent 10" xfId="1550" xr:uid="{D4DAB724-0A52-4A8E-AE02-61CB1B942485}"/>
    <cellStyle name="Percent 11" xfId="1551" xr:uid="{96C15CF8-9C43-4056-94B3-8007305697BC}"/>
    <cellStyle name="Percent 12" xfId="1552" xr:uid="{1C3DFD2B-827F-43B9-8799-31539230043D}"/>
    <cellStyle name="Percent 12 2" xfId="1553" xr:uid="{496127BC-A9D3-4B0E-AEBB-CEE4CAA1E761}"/>
    <cellStyle name="Percent 12 2 2" xfId="1554" xr:uid="{73CBFB8B-5066-4512-973B-651C955D8747}"/>
    <cellStyle name="Percent 12 3" xfId="1555" xr:uid="{B8DAE92C-771A-4418-BA20-0CE3A19594EF}"/>
    <cellStyle name="Percent 13" xfId="1556" xr:uid="{093453F1-3FDC-438B-8AA2-BD42B6A050FC}"/>
    <cellStyle name="Percent 13 2" xfId="1557" xr:uid="{BCE45CC4-3FF4-4087-90A4-D325958D9BBE}"/>
    <cellStyle name="Percent 14" xfId="1558" xr:uid="{088413F3-70D5-4434-9375-DCB005C2F4EF}"/>
    <cellStyle name="Percent 14 2" xfId="1559" xr:uid="{D4C252CE-DDE7-4F90-94BE-16757D141604}"/>
    <cellStyle name="Percent 15" xfId="1560" xr:uid="{F1DE624D-A2A7-4BB8-AF86-3F9E6ABB79D4}"/>
    <cellStyle name="Percent 15 2" xfId="1561" xr:uid="{98EBE407-CDCA-44BF-BBBB-9D9E5E5FD5A0}"/>
    <cellStyle name="Percent 16" xfId="1562" xr:uid="{6A4B7953-9EAE-4C67-8D25-388C24756C53}"/>
    <cellStyle name="Percent 16 2" xfId="1563" xr:uid="{76D0A8B6-D0C6-4C89-84D9-8C5A29DCACB8}"/>
    <cellStyle name="Percent 17" xfId="1564" xr:uid="{264B25C4-BDB1-4AEA-BE63-820037100440}"/>
    <cellStyle name="Percent 18" xfId="1565" xr:uid="{B3E59EF5-A9CF-434F-BB45-B44AAB034452}"/>
    <cellStyle name="Percent 2" xfId="70" xr:uid="{00000000-0005-0000-0000-00001E030000}"/>
    <cellStyle name="Percent 2 2" xfId="71" xr:uid="{00000000-0005-0000-0000-00001F030000}"/>
    <cellStyle name="Percent 2 2 2" xfId="1566" xr:uid="{3BB80B32-5647-4806-A86B-AC6DD6AACD7E}"/>
    <cellStyle name="Percent 2 2 3" xfId="1567" xr:uid="{3140239D-B432-4886-9633-66EEC9D1FA66}"/>
    <cellStyle name="Percent 2 2 4" xfId="1568" xr:uid="{341C110B-7E75-40E8-B154-D43BF167E460}"/>
    <cellStyle name="Percent 2 3" xfId="1569" xr:uid="{42F3B543-A991-431F-827E-CE56533D98F1}"/>
    <cellStyle name="Percent 2 3 2" xfId="1570" xr:uid="{1762FFA0-0BC1-4D99-A42C-1236A45D2EFD}"/>
    <cellStyle name="Percent 2 3 2 2" xfId="1571" xr:uid="{C79EB223-5805-426C-BB35-7706E5F7597B}"/>
    <cellStyle name="Percent 2 3 3" xfId="1572" xr:uid="{14113FDF-0D0A-4991-87B9-61C0A751C36B}"/>
    <cellStyle name="Percent 2 3 3 2" xfId="1573" xr:uid="{296DB058-A12A-4D86-BCD4-6A01A94CF388}"/>
    <cellStyle name="Percent 2 4" xfId="1574" xr:uid="{FCB857C3-51DD-4BEB-9E4A-1A73B4A2C531}"/>
    <cellStyle name="Percent 2 5" xfId="1575" xr:uid="{BCF03A6B-E5C7-44CA-AD3D-01456C3F2080}"/>
    <cellStyle name="Percent 2 6" xfId="1576" xr:uid="{3EFA2C8F-4E21-4BC9-B66E-B994FF7AB4FD}"/>
    <cellStyle name="Percent 2 7" xfId="1577" xr:uid="{6CFF4594-FD1E-46BC-BC49-74118D216CDB}"/>
    <cellStyle name="Percent 3" xfId="191" xr:uid="{00000000-0005-0000-0000-000020030000}"/>
    <cellStyle name="Percent 3 10" xfId="2565" xr:uid="{C78B9181-CB62-4D64-B701-D49EE1F9C918}"/>
    <cellStyle name="Percent 3 10 2" xfId="5000" xr:uid="{3CDC7995-77B5-49DC-B5AB-04AE36380683}"/>
    <cellStyle name="Percent 3 11" xfId="1578" xr:uid="{B88823E0-EA18-4E24-9830-B3B396632CA9}"/>
    <cellStyle name="Percent 3 11 2" xfId="4134" xr:uid="{54537BF8-1E4F-473C-A877-EB3085990C35}"/>
    <cellStyle name="Percent 3 2" xfId="1579" xr:uid="{999F96B5-2D6E-41B4-9734-419FAB92BD08}"/>
    <cellStyle name="Percent 3 3" xfId="1580" xr:uid="{2402D017-3F67-4BEB-B220-B9D90D240FBF}"/>
    <cellStyle name="Percent 3 4" xfId="1581" xr:uid="{E67718D6-67A6-4F3A-9DB3-4927D2C9BCAE}"/>
    <cellStyle name="Percent 3 5" xfId="1582" xr:uid="{4899E5ED-BC0C-408D-8CF5-7EB4169D4511}"/>
    <cellStyle name="Percent 3 6" xfId="1583" xr:uid="{0A25B061-394A-4B6F-8AED-4E869DB1CB9E}"/>
    <cellStyle name="Percent 3 7" xfId="1584" xr:uid="{0A63A3A5-9DBA-46BB-B317-E2274C733E7A}"/>
    <cellStyle name="Percent 3 7 2" xfId="1976" xr:uid="{92B89357-DFC8-4944-A889-0C99E39A4CCE}"/>
    <cellStyle name="Percent 3 7 2 2" xfId="2814" xr:uid="{EB7CC9A9-80E7-407E-A512-D5B423597609}"/>
    <cellStyle name="Percent 3 7 2 2 2" xfId="5249" xr:uid="{BA5286C2-C26E-45D0-9B67-8EDA42308595}"/>
    <cellStyle name="Percent 3 7 2 3" xfId="4493" xr:uid="{F9453441-6C11-4430-B033-5B0C4814E830}"/>
    <cellStyle name="Percent 3 7 3" xfId="2566" xr:uid="{31451742-7DC6-435C-B8B5-0303B32A3B89}"/>
    <cellStyle name="Percent 3 7 3 2" xfId="5001" xr:uid="{4059C6FB-9602-4D2C-A5F0-527EC38031B0}"/>
    <cellStyle name="Percent 3 7 4" xfId="4135" xr:uid="{5406BE76-76F4-4525-B47C-1F2AF98C990C}"/>
    <cellStyle name="Percent 3 8" xfId="1806" xr:uid="{20162927-A4C9-4D3E-BAC6-B316ADBBD940}"/>
    <cellStyle name="Percent 3 8 2" xfId="2644" xr:uid="{893CFA10-C85B-43C7-B2EA-6520240172C9}"/>
    <cellStyle name="Percent 3 8 2 2" xfId="5079" xr:uid="{E46F3D6C-6071-4543-BFDD-596224B7EF33}"/>
    <cellStyle name="Percent 3 8 3" xfId="4323" xr:uid="{F7E19EFC-333A-497F-A843-11FD33B6E3CB}"/>
    <cellStyle name="Percent 3 9" xfId="2215" xr:uid="{DEB76B9B-C753-4465-B22D-0DFE2C6F6013}"/>
    <cellStyle name="Percent 3 9 2" xfId="4705" xr:uid="{9E070AE3-5D4C-45F8-89D9-A29E4DF486ED}"/>
    <cellStyle name="Percent 4" xfId="237" xr:uid="{00000000-0005-0000-0000-000021030000}"/>
    <cellStyle name="Percent 4 2" xfId="1586" xr:uid="{E845FFA4-9F7A-4B13-A76E-E1DA8DDB8BF0}"/>
    <cellStyle name="Percent 4 3" xfId="1587" xr:uid="{65A582C6-7ABD-4D83-A7D2-DB14811CF821}"/>
    <cellStyle name="Percent 4 3 2" xfId="1588" xr:uid="{88B2A3E9-270C-4E66-A923-27A996B2E20C}"/>
    <cellStyle name="Percent 4 4" xfId="1589" xr:uid="{2A3ED891-65B2-4ABD-AA44-53F2E393EEE0}"/>
    <cellStyle name="Percent 4 5" xfId="1585" xr:uid="{A7C45049-355A-4F2B-94DF-3A477E616705}"/>
    <cellStyle name="Percent 5" xfId="283" xr:uid="{00000000-0005-0000-0000-000022030000}"/>
    <cellStyle name="Percent 5 2" xfId="1591" xr:uid="{1047F16F-B11C-42DF-B940-B3DD631E10F7}"/>
    <cellStyle name="Percent 5 3" xfId="1590" xr:uid="{86EDFBF1-C033-44B2-B06D-D72CF190409F}"/>
    <cellStyle name="Percent 6" xfId="332" xr:uid="{00000000-0005-0000-0000-000023030000}"/>
    <cellStyle name="Percent 6 2" xfId="1592" xr:uid="{4BE2B2F8-FDD8-43D9-8E57-A5FB435B64DC}"/>
    <cellStyle name="Percent 7" xfId="396" xr:uid="{00000000-0005-0000-0000-000024030000}"/>
    <cellStyle name="Percent 7 2" xfId="1593" xr:uid="{B81E2ED5-C055-4176-BA1D-50A910B3D2A3}"/>
    <cellStyle name="Percent 8" xfId="467" xr:uid="{00000000-0005-0000-0000-000025030000}"/>
    <cellStyle name="Percent 8 2" xfId="1594" xr:uid="{B4D578DB-71B3-4788-988D-28411C0B2491}"/>
    <cellStyle name="Percent 9" xfId="571" xr:uid="{00000000-0005-0000-0000-000026030000}"/>
    <cellStyle name="Percent 9 2" xfId="1595" xr:uid="{B103B797-D880-487F-B144-E6FF9F61D911}"/>
    <cellStyle name="Percent 9 2 2" xfId="1596" xr:uid="{1723523E-9338-4974-B02A-FD6AC26F7DEF}"/>
    <cellStyle name="Percent 9 3" xfId="1597" xr:uid="{18F2D73E-10B7-4342-AB35-9BA5E880F549}"/>
    <cellStyle name="SAPBEXaggData" xfId="72" xr:uid="{00000000-0005-0000-0000-000027030000}"/>
    <cellStyle name="SAPBEXaggData 2" xfId="1599" xr:uid="{8246A67F-2A2E-4183-A796-E0211397F995}"/>
    <cellStyle name="SAPBEXaggData 2 2" xfId="1600" xr:uid="{D598F2F7-2BC3-4315-B0EA-FB2B2CB63970}"/>
    <cellStyle name="SAPBEXaggData 2 2 2" xfId="1601" xr:uid="{A928C33D-E4B1-4272-A26E-29EAD33D305B}"/>
    <cellStyle name="SAPBEXaggData 2 2 2 2" xfId="3110" xr:uid="{F00A338C-4D75-4652-B483-FB53E17E402C}"/>
    <cellStyle name="SAPBEXaggData 2 2 2 2 2" xfId="5484" xr:uid="{DBE70EDC-47E1-4687-9061-BBE5C4816D37}"/>
    <cellStyle name="SAPBEXaggData 2 2 2 3" xfId="3191" xr:uid="{52A4C16A-2013-4D9A-A647-047877D1DE65}"/>
    <cellStyle name="SAPBEXaggData 2 2 2 3 2" xfId="5565" xr:uid="{BFBB723A-B761-4FFE-928A-2E3C443D2683}"/>
    <cellStyle name="SAPBEXaggData 2 2 2 4" xfId="4139" xr:uid="{4F266409-3C0E-454B-B0D6-B8F29F36B483}"/>
    <cellStyle name="SAPBEXaggData 2 2 3" xfId="3070" xr:uid="{13B672F4-90F9-412C-BD17-1BA21522297F}"/>
    <cellStyle name="SAPBEXaggData 2 2 3 2" xfId="5444" xr:uid="{65192020-07B6-4D1D-A72D-525C54A91E20}"/>
    <cellStyle name="SAPBEXaggData 2 2 4" xfId="3103" xr:uid="{DF52D1D5-9E00-4C7E-8FEF-C0C6E9D7BEF9}"/>
    <cellStyle name="SAPBEXaggData 2 2 4 2" xfId="5477" xr:uid="{F483D353-B1BB-4EF3-BB8A-ECF612A0E987}"/>
    <cellStyle name="SAPBEXaggData 2 2 5" xfId="4138" xr:uid="{EB642C2F-5076-477A-97E5-47B9DFDEE99E}"/>
    <cellStyle name="SAPBEXaggData 2 3" xfId="1602" xr:uid="{500FFBCD-24C1-458B-9F59-B59DAF1DAE96}"/>
    <cellStyle name="SAPBEXaggData 2 3 2" xfId="3273" xr:uid="{F4229EF9-3DD2-4F90-8C8C-90C0CDEBFD49}"/>
    <cellStyle name="SAPBEXaggData 2 3 2 2" xfId="5647" xr:uid="{7009EA8F-71D5-4055-85C3-6C2F63768DF9}"/>
    <cellStyle name="SAPBEXaggData 2 3 3" xfId="3293" xr:uid="{6BB1E32A-778B-4B86-8D88-B9C2B0D402CA}"/>
    <cellStyle name="SAPBEXaggData 2 3 3 2" xfId="5667" xr:uid="{F2B05211-4A1B-4136-BDEC-DCD9D6CF7C4E}"/>
    <cellStyle name="SAPBEXaggData 2 3 4" xfId="4140" xr:uid="{D9DA38A4-E8CC-43CD-A684-79178C3A5A46}"/>
    <cellStyle name="SAPBEXaggData 2 4" xfId="3287" xr:uid="{6CFF288F-39BB-434A-8C98-2805E73512EE}"/>
    <cellStyle name="SAPBEXaggData 2 4 2" xfId="5661" xr:uid="{DEAAA1D5-1179-4A19-8CCB-201A61EE22AB}"/>
    <cellStyle name="SAPBEXaggData 2 5" xfId="3206" xr:uid="{644FED61-BA6B-4A5E-AA33-6205814F5D8F}"/>
    <cellStyle name="SAPBEXaggData 2 5 2" xfId="5580" xr:uid="{9DBDE194-0D4B-4B47-A15A-093BFABE871B}"/>
    <cellStyle name="SAPBEXaggData 2 6" xfId="4137" xr:uid="{023123F2-D554-413C-984E-644933CF42A0}"/>
    <cellStyle name="SAPBEXaggData 3" xfId="3245" xr:uid="{728242AD-8B5D-4E50-BBB5-B065C83FF2EE}"/>
    <cellStyle name="SAPBEXaggData 3 2" xfId="5619" xr:uid="{84766C5C-B799-45B9-8F0A-9F842BA30F89}"/>
    <cellStyle name="SAPBEXaggData 4" xfId="3201" xr:uid="{A77C71DD-4570-4BAC-9C05-724CB39E2C5E}"/>
    <cellStyle name="SAPBEXaggData 4 2" xfId="5575" xr:uid="{1A6B2210-328F-4D79-A842-641DFC43E3FA}"/>
    <cellStyle name="SAPBEXaggData 5" xfId="1598" xr:uid="{E1FF5564-FEF7-4C2A-9B27-BBAE215AFEFF}"/>
    <cellStyle name="SAPBEXaggData 5 2" xfId="4136" xr:uid="{F7A6A2A7-C3E2-4725-AE5C-6736EB5069F5}"/>
    <cellStyle name="SAPBEXaggData 6" xfId="3318" xr:uid="{A1A3278E-9E35-4E74-9D0D-25C38B42A77C}"/>
    <cellStyle name="SAPBEXaggDataEmph" xfId="73" xr:uid="{00000000-0005-0000-0000-000028030000}"/>
    <cellStyle name="SAPBEXaggDataEmph 2" xfId="1604" xr:uid="{C041ED9C-9F28-4468-B5C1-72D22BA10D02}"/>
    <cellStyle name="SAPBEXaggDataEmph 2 2" xfId="3190" xr:uid="{C46E27BB-C29E-48C2-868A-A6DAA4F6D3C0}"/>
    <cellStyle name="SAPBEXaggDataEmph 2 2 2" xfId="5564" xr:uid="{844CB2D9-1EE6-4817-BB36-D769C731DFF0}"/>
    <cellStyle name="SAPBEXaggDataEmph 2 3" xfId="3192" xr:uid="{28E75EBD-981B-4129-AF7C-B29C2D926D14}"/>
    <cellStyle name="SAPBEXaggDataEmph 2 3 2" xfId="5566" xr:uid="{F97D6117-ABE4-4BAF-B5F7-AB2499AB0109}"/>
    <cellStyle name="SAPBEXaggDataEmph 2 4" xfId="4142" xr:uid="{0DC72068-C25E-4E3C-9251-6C15159176D7}"/>
    <cellStyle name="SAPBEXaggDataEmph 3" xfId="3099" xr:uid="{C7C2DC3E-DA4E-49E4-B079-0049D0BC31C3}"/>
    <cellStyle name="SAPBEXaggDataEmph 3 2" xfId="5473" xr:uid="{A73ECF67-2D64-4138-B95C-A4086A07E8DB}"/>
    <cellStyle name="SAPBEXaggDataEmph 4" xfId="3049" xr:uid="{7BA57EA1-81D4-4E58-8420-89E45FC00D4D}"/>
    <cellStyle name="SAPBEXaggDataEmph 4 2" xfId="5423" xr:uid="{011434C3-E39E-441B-BB67-47F30F550629}"/>
    <cellStyle name="SAPBEXaggDataEmph 5" xfId="1603" xr:uid="{881C820C-6178-48F3-8E60-54F1F6C97600}"/>
    <cellStyle name="SAPBEXaggDataEmph 5 2" xfId="4141" xr:uid="{0F7DEEB8-A957-4B2A-B49F-EE0767B7FD5E}"/>
    <cellStyle name="SAPBEXaggDataEmph 6" xfId="3319" xr:uid="{46A96FB7-8A79-4D24-8975-823AC9262E59}"/>
    <cellStyle name="SAPBEXaggItem" xfId="74" xr:uid="{00000000-0005-0000-0000-000029030000}"/>
    <cellStyle name="SAPBEXaggItem 2" xfId="1606" xr:uid="{7BFCD200-A5E0-4675-ACF8-F6B9DA2DE596}"/>
    <cellStyle name="SAPBEXaggItem 2 2" xfId="1607" xr:uid="{E655ACAC-0E18-4853-A15C-1BC8852DACB6}"/>
    <cellStyle name="SAPBEXaggItem 2 2 2" xfId="3195" xr:uid="{42BED1E7-B47C-4E0F-A1FB-F12223F5957D}"/>
    <cellStyle name="SAPBEXaggItem 2 2 2 2" xfId="5569" xr:uid="{DBE799E3-ADBC-4E79-BA70-C050A26E8879}"/>
    <cellStyle name="SAPBEXaggItem 2 2 3" xfId="3275" xr:uid="{52BC7399-2DCD-43D4-96B1-2DD8659D8774}"/>
    <cellStyle name="SAPBEXaggItem 2 2 3 2" xfId="5649" xr:uid="{E420124E-4610-4233-8B29-59EDF2680EB2}"/>
    <cellStyle name="SAPBEXaggItem 2 2 4" xfId="4145" xr:uid="{5C29070E-F1E8-490C-8847-3F8DF5547EEF}"/>
    <cellStyle name="SAPBEXaggItem 2 3" xfId="1608" xr:uid="{0D70B0D1-0AB2-4DCD-BBBD-EEF863038142}"/>
    <cellStyle name="SAPBEXaggItem 2 3 2" xfId="3119" xr:uid="{96313354-8F6E-4030-A465-08A04381CA26}"/>
    <cellStyle name="SAPBEXaggItem 2 3 2 2" xfId="5493" xr:uid="{FA8070C6-6E1B-4F25-AE36-17DEAA1350BB}"/>
    <cellStyle name="SAPBEXaggItem 2 3 3" xfId="3218" xr:uid="{52A69C1D-CF43-4B46-AE33-262E1E8B76AB}"/>
    <cellStyle name="SAPBEXaggItem 2 3 3 2" xfId="5592" xr:uid="{29D4EF10-01B4-43F7-81D5-5B10C58610FC}"/>
    <cellStyle name="SAPBEXaggItem 2 3 4" xfId="4146" xr:uid="{1C368E5E-B80E-42CE-A288-3FDA046728A1}"/>
    <cellStyle name="SAPBEXaggItem 2 4" xfId="3286" xr:uid="{90EB2062-5725-4275-9176-EA15E68E4BD0}"/>
    <cellStyle name="SAPBEXaggItem 2 4 2" xfId="5660" xr:uid="{FA9EE14D-2338-4AE3-AA21-DB940E6ED584}"/>
    <cellStyle name="SAPBEXaggItem 2 5" xfId="3288" xr:uid="{6146BE98-F930-40D7-83DD-818D855143CE}"/>
    <cellStyle name="SAPBEXaggItem 2 5 2" xfId="5662" xr:uid="{8B3F4782-086B-479B-BAEA-3420964B4F35}"/>
    <cellStyle name="SAPBEXaggItem 2 6" xfId="4144" xr:uid="{9D1AC21F-57AB-485F-B393-25A843DF3014}"/>
    <cellStyle name="SAPBEXaggItem 3" xfId="3128" xr:uid="{832246E8-D2F0-4761-9E6F-60BDD76BE216}"/>
    <cellStyle name="SAPBEXaggItem 3 2" xfId="5502" xr:uid="{B57EF528-8F46-41E2-A79D-6C9E289E450D}"/>
    <cellStyle name="SAPBEXaggItem 4" xfId="3126" xr:uid="{F26EE3E6-78C9-4121-AE8A-C4A698B326F1}"/>
    <cellStyle name="SAPBEXaggItem 4 2" xfId="5500" xr:uid="{973FFD63-A2BF-457D-B5FA-7A55097211B9}"/>
    <cellStyle name="SAPBEXaggItem 5" xfId="1605" xr:uid="{56610863-AF68-4AE6-BF11-A4BD265899BB}"/>
    <cellStyle name="SAPBEXaggItem 5 2" xfId="4143" xr:uid="{CA9C29E7-39D9-452F-9A08-5888D95BF865}"/>
    <cellStyle name="SAPBEXaggItem 6" xfId="3320" xr:uid="{6545D050-61C3-41DF-BAD4-880E28702F82}"/>
    <cellStyle name="SAPBEXaggItemX" xfId="75" xr:uid="{00000000-0005-0000-0000-00002A030000}"/>
    <cellStyle name="SAPBEXaggItemX 2" xfId="925" xr:uid="{94140530-6253-443E-BEEF-2F6537F93C3D}"/>
    <cellStyle name="SAPBEXaggItemX 2 2" xfId="3059" xr:uid="{E1E2A984-7B7E-4BF0-914F-0E0475E4691D}"/>
    <cellStyle name="SAPBEXaggItemX 2 2 2" xfId="5433" xr:uid="{E0C5529B-3CE8-4559-9B41-9C76E399B148}"/>
    <cellStyle name="SAPBEXaggItemX 2 3" xfId="3292" xr:uid="{8C7FE456-BCBD-40C2-9D1E-07210A2B7076}"/>
    <cellStyle name="SAPBEXaggItemX 2 3 2" xfId="5666" xr:uid="{A805003E-4087-4830-B8EA-9CA32375D000}"/>
    <cellStyle name="SAPBEXaggItemX 2 4" xfId="1610" xr:uid="{79F2AB99-60C5-4453-812C-D9484583766E}"/>
    <cellStyle name="SAPBEXaggItemX 2 4 2" xfId="4148" xr:uid="{B0F65E54-90AE-4EBC-B81E-2A8963630F80}"/>
    <cellStyle name="SAPBEXaggItemX 2 5" xfId="3829" xr:uid="{4B00D63F-371D-4C3A-B16B-3B5E2D0DB7EB}"/>
    <cellStyle name="SAPBEXaggItemX 3" xfId="3256" xr:uid="{BEAAB0CF-0165-445B-ACC7-D34A21FE21D0}"/>
    <cellStyle name="SAPBEXaggItemX 3 2" xfId="5630" xr:uid="{45AF94A7-A16A-4178-9C6D-52F05B31EE56}"/>
    <cellStyle name="SAPBEXaggItemX 4" xfId="3055" xr:uid="{A311F2D3-7405-4FC7-B9CA-0078AD4F458D}"/>
    <cellStyle name="SAPBEXaggItemX 4 2" xfId="5429" xr:uid="{3B8F74AF-85B7-4747-993A-11DAA99F0030}"/>
    <cellStyle name="SAPBEXaggItemX 5" xfId="1609" xr:uid="{FF30BE45-0C67-4CD2-9708-14B84A38B8C2}"/>
    <cellStyle name="SAPBEXaggItemX 5 2" xfId="4147" xr:uid="{CF56A25A-D487-49EA-9176-70A567EDAA9A}"/>
    <cellStyle name="SAPBEXaggItemX 6" xfId="3321" xr:uid="{C764CD59-E567-4474-95F6-6FB115264233}"/>
    <cellStyle name="SAPBEXchaText" xfId="76" xr:uid="{00000000-0005-0000-0000-00002B030000}"/>
    <cellStyle name="SAPBEXchaText 2" xfId="1612" xr:uid="{84FB8BC1-2706-46F0-A936-B722561534E7}"/>
    <cellStyle name="SAPBEXchaText 2 2" xfId="1613" xr:uid="{D21F7AEE-D36A-4319-ACC4-58BC7C887E37}"/>
    <cellStyle name="SAPBEXchaText 2 2 2" xfId="3089" xr:uid="{7AE4E3BE-5910-4127-8673-A5C841D7D275}"/>
    <cellStyle name="SAPBEXchaText 2 2 2 2" xfId="5463" xr:uid="{77D4952D-97AD-4E5C-9A91-CCD344A2CFBC}"/>
    <cellStyle name="SAPBEXchaText 2 2 3" xfId="3149" xr:uid="{18AE778D-965A-4980-9673-7706BC315CC5}"/>
    <cellStyle name="SAPBEXchaText 2 2 3 2" xfId="5523" xr:uid="{F9ADA6E4-4AA7-49B2-B814-247486CEF7D9}"/>
    <cellStyle name="SAPBEXchaText 2 2 4" xfId="4151" xr:uid="{8EE5AA18-5DC0-47E7-B707-AD76953C8CF0}"/>
    <cellStyle name="SAPBEXchaText 2 3" xfId="1614" xr:uid="{8FFE5D26-7913-4563-8BE2-5527E54DD550}"/>
    <cellStyle name="SAPBEXchaText 2 3 2" xfId="3177" xr:uid="{33E7CD87-A4DB-466A-9CAC-C5297343D0DD}"/>
    <cellStyle name="SAPBEXchaText 2 3 2 2" xfId="5551" xr:uid="{867AD6F0-1A2B-4DA2-A081-F51D36FF9367}"/>
    <cellStyle name="SAPBEXchaText 2 3 3" xfId="3135" xr:uid="{9A8C1388-A755-45A6-912B-457B4D74FAF8}"/>
    <cellStyle name="SAPBEXchaText 2 3 3 2" xfId="5509" xr:uid="{FD04C7DC-A1F2-4BA0-9128-44A4F88A1457}"/>
    <cellStyle name="SAPBEXchaText 2 3 4" xfId="4152" xr:uid="{09FABA00-C27F-42D7-A19B-14BA5800A1D4}"/>
    <cellStyle name="SAPBEXchaText 2 4" xfId="3183" xr:uid="{2B17602C-0541-4D71-94D4-150C8794DA3D}"/>
    <cellStyle name="SAPBEXchaText 2 4 2" xfId="5557" xr:uid="{6AF9C5DC-8C15-4A69-AB35-07BE80B27894}"/>
    <cellStyle name="SAPBEXchaText 2 5" xfId="3166" xr:uid="{39AEFDB2-3B1C-4232-A2C4-572257BD3634}"/>
    <cellStyle name="SAPBEXchaText 2 5 2" xfId="5540" xr:uid="{4D538514-9A55-49D0-8797-7503CCA045FE}"/>
    <cellStyle name="SAPBEXchaText 2 6" xfId="4150" xr:uid="{B1F53302-C89F-41DB-A6A2-3CE5DFECC3CC}"/>
    <cellStyle name="SAPBEXchaText 3" xfId="3200" xr:uid="{98A03DA7-1924-4C0F-8EB3-A9254319D46B}"/>
    <cellStyle name="SAPBEXchaText 3 2" xfId="5574" xr:uid="{311822A1-E793-4B88-BDF9-827BC9709DC1}"/>
    <cellStyle name="SAPBEXchaText 4" xfId="3153" xr:uid="{06A7AF2E-BCE0-4615-BAF0-79F94D6EC11B}"/>
    <cellStyle name="SAPBEXchaText 4 2" xfId="5527" xr:uid="{7AE3AE90-87E4-40B3-B6E6-00B248463BB5}"/>
    <cellStyle name="SAPBEXchaText 5" xfId="1611" xr:uid="{A97E2B4A-7B68-4429-9D31-5E2783B1DFCD}"/>
    <cellStyle name="SAPBEXchaText 5 2" xfId="4149" xr:uid="{15A715FD-D5C5-444B-8AC9-394851DA9B05}"/>
    <cellStyle name="SAPBEXchaText_BW Data" xfId="1615" xr:uid="{7FFAB1AD-AA1B-4BF8-BB16-DBD9B148D02D}"/>
    <cellStyle name="SAPBEXexcBad7" xfId="77" xr:uid="{00000000-0005-0000-0000-00002C030000}"/>
    <cellStyle name="SAPBEXexcBad7 2" xfId="128" xr:uid="{00000000-0005-0000-0000-00002D030000}"/>
    <cellStyle name="SAPBEXexcBad7 2 2" xfId="1618" xr:uid="{DD63D90E-9B66-4028-97E9-A8746000F7B5}"/>
    <cellStyle name="SAPBEXexcBad7 2 2 2" xfId="3173" xr:uid="{CEFA27C0-CE54-4660-B23E-7EC6EB3A3EEB}"/>
    <cellStyle name="SAPBEXexcBad7 2 2 2 2" xfId="5547" xr:uid="{7411AE61-FC7B-48E9-B0BC-D46F5DC07A61}"/>
    <cellStyle name="SAPBEXexcBad7 2 2 3" xfId="3133" xr:uid="{8AB29BB9-2152-49A9-A6A8-0DD25EF6B026}"/>
    <cellStyle name="SAPBEXexcBad7 2 2 3 2" xfId="5507" xr:uid="{61B90D7C-DF2B-45EC-86D5-120C7FF2775A}"/>
    <cellStyle name="SAPBEXexcBad7 2 2 4" xfId="4155" xr:uid="{9D6E77E2-30C0-40C1-BA1D-345C96F9CF44}"/>
    <cellStyle name="SAPBEXexcBad7 2 3" xfId="1619" xr:uid="{B440BB55-A191-412F-ABD4-6DA0F247668A}"/>
    <cellStyle name="SAPBEXexcBad7 2 3 2" xfId="3176" xr:uid="{E6138790-1B52-4FC8-B7BA-72F0D822A019}"/>
    <cellStyle name="SAPBEXexcBad7 2 3 2 2" xfId="5550" xr:uid="{70BE522E-8A45-4DAC-A3EE-4915A67F9144}"/>
    <cellStyle name="SAPBEXexcBad7 2 3 3" xfId="3291" xr:uid="{A3A266D0-C75B-42AF-823E-465BEB283F26}"/>
    <cellStyle name="SAPBEXexcBad7 2 3 3 2" xfId="5665" xr:uid="{60955CC2-D649-4D2D-AA09-4D2FF2E821E7}"/>
    <cellStyle name="SAPBEXexcBad7 2 3 4" xfId="4156" xr:uid="{987077A3-10D1-42B4-9A63-B0F637CD92FE}"/>
    <cellStyle name="SAPBEXexcBad7 2 4" xfId="3260" xr:uid="{27F249D8-5F00-40F1-87E3-C3300D3D2620}"/>
    <cellStyle name="SAPBEXexcBad7 2 4 2" xfId="5634" xr:uid="{0EB3FBF2-891A-40E5-A74D-0791191C6F48}"/>
    <cellStyle name="SAPBEXexcBad7 2 5" xfId="3272" xr:uid="{C0A00A8B-00F3-4202-B398-6491A2BE9DD7}"/>
    <cellStyle name="SAPBEXexcBad7 2 5 2" xfId="5646" xr:uid="{95BAFCD6-3C36-4E04-B826-56876F7D4221}"/>
    <cellStyle name="SAPBEXexcBad7 2 6" xfId="1617" xr:uid="{11C11065-CC76-433C-B359-D6C2715CC790}"/>
    <cellStyle name="SAPBEXexcBad7 2 6 2" xfId="4154" xr:uid="{33493737-0BDA-4A08-BAC2-855059C49793}"/>
    <cellStyle name="SAPBEXexcBad7 2 7" xfId="3350" xr:uid="{DB8192A9-36DA-4E21-B9D6-0EB98F93B140}"/>
    <cellStyle name="SAPBEXexcBad7 3" xfId="3211" xr:uid="{F3C8E92E-8819-4743-BCE1-0AD817F7E52E}"/>
    <cellStyle name="SAPBEXexcBad7 3 2" xfId="5585" xr:uid="{D83B2F63-A4D9-4A4D-B4BD-92F41DDA1AB5}"/>
    <cellStyle name="SAPBEXexcBad7 4" xfId="3088" xr:uid="{7A13A822-974D-4F2D-84C1-7207B518D1F4}"/>
    <cellStyle name="SAPBEXexcBad7 4 2" xfId="5462" xr:uid="{497401D4-B6F1-4A06-8A07-E8417FDE595A}"/>
    <cellStyle name="SAPBEXexcBad7 5" xfId="1616" xr:uid="{3A61B751-877F-441F-B6DC-F467DDD1AD75}"/>
    <cellStyle name="SAPBEXexcBad7 5 2" xfId="4153" xr:uid="{DEC08A06-B179-4047-89B8-420D1DDA9E84}"/>
    <cellStyle name="SAPBEXexcBad7 6" xfId="3322" xr:uid="{CF411293-02E2-4A9F-9C7C-58FE16E4684F}"/>
    <cellStyle name="SAPBEXexcBad8" xfId="78" xr:uid="{00000000-0005-0000-0000-00002E030000}"/>
    <cellStyle name="SAPBEXexcBad8 2" xfId="129" xr:uid="{00000000-0005-0000-0000-00002F030000}"/>
    <cellStyle name="SAPBEXexcBad8 2 2" xfId="1622" xr:uid="{13380745-8945-4C2C-834F-4F345A49BDA1}"/>
    <cellStyle name="SAPBEXexcBad8 2 2 2" xfId="3175" xr:uid="{643C3F85-DEC1-4961-AE16-30B86F2BFDBA}"/>
    <cellStyle name="SAPBEXexcBad8 2 2 2 2" xfId="5549" xr:uid="{B1ABA2D2-93C2-40AE-AAAB-386D2535201F}"/>
    <cellStyle name="SAPBEXexcBad8 2 2 3" xfId="3178" xr:uid="{2F09CD3F-CCCF-4864-AEA1-8FD637D63063}"/>
    <cellStyle name="SAPBEXexcBad8 2 2 3 2" xfId="5552" xr:uid="{F6FD215B-1C99-4C6B-A384-BD9CBBFB678D}"/>
    <cellStyle name="SAPBEXexcBad8 2 2 4" xfId="4159" xr:uid="{7E807083-A3A4-419E-BB19-73B9EA627026}"/>
    <cellStyle name="SAPBEXexcBad8 2 3" xfId="1623" xr:uid="{F07D32CC-997D-4CCD-8AB5-D8E1AE1FF1F3}"/>
    <cellStyle name="SAPBEXexcBad8 2 3 2" xfId="3255" xr:uid="{2D5676DF-AD12-4C52-AD2E-5035FD2CA0CB}"/>
    <cellStyle name="SAPBEXexcBad8 2 3 2 2" xfId="5629" xr:uid="{412FD524-FACE-4FF5-BF2C-AA44D9CD2504}"/>
    <cellStyle name="SAPBEXexcBad8 2 3 3" xfId="3122" xr:uid="{23BDE68F-7F44-416C-A9DA-B39651F352B0}"/>
    <cellStyle name="SAPBEXexcBad8 2 3 3 2" xfId="5496" xr:uid="{013D7F11-DD6B-41FE-8763-6C02AD668650}"/>
    <cellStyle name="SAPBEXexcBad8 2 3 4" xfId="4160" xr:uid="{C45F7CBD-23B9-4222-BDE8-7453E0E27361}"/>
    <cellStyle name="SAPBEXexcBad8 2 4" xfId="3263" xr:uid="{DF67F1D5-9768-4AF7-B64D-74F16281090B}"/>
    <cellStyle name="SAPBEXexcBad8 2 4 2" xfId="5637" xr:uid="{3083C649-65AB-4DA9-9307-939AADAC22A5}"/>
    <cellStyle name="SAPBEXexcBad8 2 5" xfId="3232" xr:uid="{84D2290F-C3A7-4364-8181-AFC6E88EEE71}"/>
    <cellStyle name="SAPBEXexcBad8 2 5 2" xfId="5606" xr:uid="{12467F6E-DC0A-44C9-B612-F058855E9F81}"/>
    <cellStyle name="SAPBEXexcBad8 2 6" xfId="1621" xr:uid="{2CBC5F18-CC01-441A-9BA4-8850DE3C6A63}"/>
    <cellStyle name="SAPBEXexcBad8 2 6 2" xfId="4158" xr:uid="{6E09DA94-3012-4858-A32B-B828EC76228B}"/>
    <cellStyle name="SAPBEXexcBad8 2 7" xfId="3351" xr:uid="{5AC8E919-2FB5-47CA-953D-28E1A82BFA7A}"/>
    <cellStyle name="SAPBEXexcBad8 3" xfId="3093" xr:uid="{B5F4DB96-7581-421F-BE09-085EC0F0D422}"/>
    <cellStyle name="SAPBEXexcBad8 3 2" xfId="5467" xr:uid="{AB9F3F85-6717-404E-9875-02F0A013653A}"/>
    <cellStyle name="SAPBEXexcBad8 4" xfId="3253" xr:uid="{7F53D327-E6AA-414E-AF67-41CB62F1C57F}"/>
    <cellStyle name="SAPBEXexcBad8 4 2" xfId="5627" xr:uid="{0B5C0A8A-124B-4077-AF1D-FF727237990B}"/>
    <cellStyle name="SAPBEXexcBad8 5" xfId="1620" xr:uid="{7C76A88E-D8F6-437D-B967-FD0321CF2DFC}"/>
    <cellStyle name="SAPBEXexcBad8 5 2" xfId="4157" xr:uid="{C7DAA98C-638B-4F5E-854D-B0AA4EFEF9D0}"/>
    <cellStyle name="SAPBEXexcBad8 6" xfId="3323" xr:uid="{932EE967-FEE0-42A3-90CF-FF69D8228312}"/>
    <cellStyle name="SAPBEXexcBad9" xfId="79" xr:uid="{00000000-0005-0000-0000-000030030000}"/>
    <cellStyle name="SAPBEXexcBad9 2" xfId="130" xr:uid="{00000000-0005-0000-0000-000031030000}"/>
    <cellStyle name="SAPBEXexcBad9 2 2" xfId="1626" xr:uid="{5C4F350D-CCC4-4BF2-986B-FC6598C20584}"/>
    <cellStyle name="SAPBEXexcBad9 2 2 2" xfId="3171" xr:uid="{3929BEA3-AE48-4168-8238-62625FB0BBE2}"/>
    <cellStyle name="SAPBEXexcBad9 2 2 2 2" xfId="5545" xr:uid="{A5417E88-A30B-413D-A8B3-14F7CCDB3C68}"/>
    <cellStyle name="SAPBEXexcBad9 2 2 3" xfId="3220" xr:uid="{C9BBD975-B4ED-4AAF-A4D0-99B1B2C50227}"/>
    <cellStyle name="SAPBEXexcBad9 2 2 3 2" xfId="5594" xr:uid="{86A2F71A-CF4F-4512-BA03-47522EF046CB}"/>
    <cellStyle name="SAPBEXexcBad9 2 2 4" xfId="4163" xr:uid="{8C46B01D-ED6E-43EB-8CDB-B9B63F16EE92}"/>
    <cellStyle name="SAPBEXexcBad9 2 3" xfId="1627" xr:uid="{B02961CA-EFCB-4875-AFAE-C08457194207}"/>
    <cellStyle name="SAPBEXexcBad9 2 3 2" xfId="3046" xr:uid="{D4DB5D2D-EDAD-4D3B-A534-63D2532E558B}"/>
    <cellStyle name="SAPBEXexcBad9 2 3 2 2" xfId="5420" xr:uid="{5E8155E5-CDD7-4E86-BAEC-A3D8A9B1A370}"/>
    <cellStyle name="SAPBEXexcBad9 2 3 3" xfId="3217" xr:uid="{86329FE1-FA2B-4E75-8555-8B5DCC80DCAF}"/>
    <cellStyle name="SAPBEXexcBad9 2 3 3 2" xfId="5591" xr:uid="{5AD12DCD-0CF0-491E-8439-E9D061A0C4D3}"/>
    <cellStyle name="SAPBEXexcBad9 2 3 4" xfId="4164" xr:uid="{1233F1B9-EC1F-454F-9EDF-C6F3D594AD3D}"/>
    <cellStyle name="SAPBEXexcBad9 2 4" xfId="3194" xr:uid="{1940D20D-E2D4-489E-B1D3-F424609D0027}"/>
    <cellStyle name="SAPBEXexcBad9 2 4 2" xfId="5568" xr:uid="{A9A88F24-9620-4FB8-BEB8-95CD181A0074}"/>
    <cellStyle name="SAPBEXexcBad9 2 5" xfId="3143" xr:uid="{6BCA57DD-4702-4E1B-BC80-9F3FF7697D26}"/>
    <cellStyle name="SAPBEXexcBad9 2 5 2" xfId="5517" xr:uid="{F666FAFA-9EDB-4E87-8656-595D8A3ECD1C}"/>
    <cellStyle name="SAPBEXexcBad9 2 6" xfId="1625" xr:uid="{47586EEB-70F0-4882-B95A-2A769B61D794}"/>
    <cellStyle name="SAPBEXexcBad9 2 6 2" xfId="4162" xr:uid="{D4C04A88-2D1E-4ADD-BD3E-82331B95125B}"/>
    <cellStyle name="SAPBEXexcBad9 2 7" xfId="3352" xr:uid="{4FE3963E-E0AF-4E87-87E8-CABFADC44818}"/>
    <cellStyle name="SAPBEXexcBad9 3" xfId="3156" xr:uid="{A05ACD26-1CF0-4752-821E-66F478506893}"/>
    <cellStyle name="SAPBEXexcBad9 3 2" xfId="5530" xr:uid="{BA3D6E38-222A-4412-84A7-E491E380C6C8}"/>
    <cellStyle name="SAPBEXexcBad9 4" xfId="3243" xr:uid="{9BAED454-5EFB-4E5B-9CFE-4FDFA10E8EB9}"/>
    <cellStyle name="SAPBEXexcBad9 4 2" xfId="5617" xr:uid="{83D6D51E-A760-42F9-8E21-CBA14523FC2B}"/>
    <cellStyle name="SAPBEXexcBad9 5" xfId="1624" xr:uid="{5066F295-F30D-4B4C-AF46-3D02AA7F123C}"/>
    <cellStyle name="SAPBEXexcBad9 5 2" xfId="4161" xr:uid="{94F4AA66-8C36-4E3B-B7F8-774B1C791D49}"/>
    <cellStyle name="SAPBEXexcBad9 6" xfId="3324" xr:uid="{D4ED05C1-BDCF-4308-9919-E829128B71C0}"/>
    <cellStyle name="SAPBEXexcCritical4" xfId="80" xr:uid="{00000000-0005-0000-0000-000032030000}"/>
    <cellStyle name="SAPBEXexcCritical4 2" xfId="131" xr:uid="{00000000-0005-0000-0000-000033030000}"/>
    <cellStyle name="SAPBEXexcCritical4 2 2" xfId="1630" xr:uid="{E92D181D-F0AC-42C1-9D58-0527A7D0B764}"/>
    <cellStyle name="SAPBEXexcCritical4 2 2 2" xfId="3187" xr:uid="{241E9D0C-B01D-4533-B837-CA7B96B730BA}"/>
    <cellStyle name="SAPBEXexcCritical4 2 2 2 2" xfId="5561" xr:uid="{88DFEE4F-006F-4B71-A29B-D04428E23793}"/>
    <cellStyle name="SAPBEXexcCritical4 2 2 3" xfId="3279" xr:uid="{41D66534-15D0-4034-A7DC-8453030307C9}"/>
    <cellStyle name="SAPBEXexcCritical4 2 2 3 2" xfId="5653" xr:uid="{857770B3-AE97-4ECC-A6B5-A206681A7034}"/>
    <cellStyle name="SAPBEXexcCritical4 2 2 4" xfId="4167" xr:uid="{E44A9745-B29B-4CB7-BB55-853AC1F00305}"/>
    <cellStyle name="SAPBEXexcCritical4 2 3" xfId="1631" xr:uid="{10D59B6A-608F-4E0B-8EB9-046D8EEBFC21}"/>
    <cellStyle name="SAPBEXexcCritical4 2 3 2" xfId="3064" xr:uid="{8966A808-A7DA-4CF9-B3A9-B1FDDE7FB29B}"/>
    <cellStyle name="SAPBEXexcCritical4 2 3 2 2" xfId="5438" xr:uid="{AF7E31BA-01E8-494B-85C1-B15180C6AE6B}"/>
    <cellStyle name="SAPBEXexcCritical4 2 3 3" xfId="3058" xr:uid="{AF78A8B6-35C7-4136-9FE8-46F501FF0A92}"/>
    <cellStyle name="SAPBEXexcCritical4 2 3 3 2" xfId="5432" xr:uid="{DCD4D7C8-2336-449C-A138-CEFAF0D0F075}"/>
    <cellStyle name="SAPBEXexcCritical4 2 3 4" xfId="4168" xr:uid="{E5A4F7F9-47D1-46D8-8950-F853021F12A3}"/>
    <cellStyle name="SAPBEXexcCritical4 2 4" xfId="3157" xr:uid="{C265D26E-82EE-4E15-B6AC-2AB6FE9865E1}"/>
    <cellStyle name="SAPBEXexcCritical4 2 4 2" xfId="5531" xr:uid="{E67FE5A0-9FB1-4D3A-87DB-30628BC43A10}"/>
    <cellStyle name="SAPBEXexcCritical4 2 5" xfId="3131" xr:uid="{6E9BD25D-CA92-4C64-9A46-13F61EFAD820}"/>
    <cellStyle name="SAPBEXexcCritical4 2 5 2" xfId="5505" xr:uid="{E4EDA921-CCC2-4053-A3D7-417D260945DC}"/>
    <cellStyle name="SAPBEXexcCritical4 2 6" xfId="1629" xr:uid="{1EF9C3D3-1C30-4722-A998-9835764EF207}"/>
    <cellStyle name="SAPBEXexcCritical4 2 6 2" xfId="4166" xr:uid="{B8780D74-E7E2-4FCD-A007-B8AC3A775119}"/>
    <cellStyle name="SAPBEXexcCritical4 2 7" xfId="3353" xr:uid="{BAF03FC3-D881-49D3-B882-DBFEB58BD0EA}"/>
    <cellStyle name="SAPBEXexcCritical4 3" xfId="3117" xr:uid="{D04F99AD-0B26-4CC0-846F-700B31D6007A}"/>
    <cellStyle name="SAPBEXexcCritical4 3 2" xfId="5491" xr:uid="{2DE948B0-BB2E-43E8-94E9-D742A384BE4C}"/>
    <cellStyle name="SAPBEXexcCritical4 4" xfId="3084" xr:uid="{A09043AB-8DE8-4C4C-845E-69BEB47AAA5D}"/>
    <cellStyle name="SAPBEXexcCritical4 4 2" xfId="5458" xr:uid="{CD356C44-A11B-4DC8-BE69-FC1728F6FE4F}"/>
    <cellStyle name="SAPBEXexcCritical4 5" xfId="1628" xr:uid="{6C11D61F-CCF3-4C6C-B295-E691AD9A335C}"/>
    <cellStyle name="SAPBEXexcCritical4 5 2" xfId="4165" xr:uid="{6912ED93-F1AF-40E2-818C-FC32C021AC0B}"/>
    <cellStyle name="SAPBEXexcCritical4 6" xfId="3325" xr:uid="{05A865A3-C0F3-4CB0-B8DF-8A8A906A6701}"/>
    <cellStyle name="SAPBEXexcCritical5" xfId="81" xr:uid="{00000000-0005-0000-0000-000034030000}"/>
    <cellStyle name="SAPBEXexcCritical5 2" xfId="132" xr:uid="{00000000-0005-0000-0000-000035030000}"/>
    <cellStyle name="SAPBEXexcCritical5 2 2" xfId="1634" xr:uid="{4E3EC300-E844-44B7-BF16-E60E448A91E2}"/>
    <cellStyle name="SAPBEXexcCritical5 2 2 2" xfId="3170" xr:uid="{535A7E0D-4708-4E12-AB09-A96068CA4669}"/>
    <cellStyle name="SAPBEXexcCritical5 2 2 2 2" xfId="5544" xr:uid="{CBCA7948-A564-4896-BCA2-4E1496059957}"/>
    <cellStyle name="SAPBEXexcCritical5 2 2 3" xfId="3268" xr:uid="{639076DC-F045-46B7-8A64-C408B796BA5A}"/>
    <cellStyle name="SAPBEXexcCritical5 2 2 3 2" xfId="5642" xr:uid="{75452D6C-C1F9-4FC2-AF3F-0A18D43B7822}"/>
    <cellStyle name="SAPBEXexcCritical5 2 2 4" xfId="4171" xr:uid="{6F0E7D19-4BB2-42ED-993A-037B0F5288D9}"/>
    <cellStyle name="SAPBEXexcCritical5 2 3" xfId="1635" xr:uid="{0444B89F-6AAD-4FFD-9380-24C96D8E632A}"/>
    <cellStyle name="SAPBEXexcCritical5 2 3 2" xfId="3181" xr:uid="{8DA2C76D-3603-43E3-B9B9-9A3A3EAAD459}"/>
    <cellStyle name="SAPBEXexcCritical5 2 3 2 2" xfId="5555" xr:uid="{66DCDC63-C60F-4A0C-9B58-096EC37A38F0}"/>
    <cellStyle name="SAPBEXexcCritical5 2 3 3" xfId="3186" xr:uid="{91A26455-F53A-4D4F-8568-EEBB3671584F}"/>
    <cellStyle name="SAPBEXexcCritical5 2 3 3 2" xfId="5560" xr:uid="{BB235A62-A872-499F-8AE0-1627B36683E4}"/>
    <cellStyle name="SAPBEXexcCritical5 2 3 4" xfId="4172" xr:uid="{48E59927-4CB3-4BD9-A84A-E7DA9F989D41}"/>
    <cellStyle name="SAPBEXexcCritical5 2 4" xfId="3120" xr:uid="{7DA2E082-ABA2-4B0B-B5DD-046FB52CFF04}"/>
    <cellStyle name="SAPBEXexcCritical5 2 4 2" xfId="5494" xr:uid="{A0DA2A8D-BA17-4C5A-9094-6DC095307C70}"/>
    <cellStyle name="SAPBEXexcCritical5 2 5" xfId="3202" xr:uid="{3E60FAA2-355A-4F2B-A11E-936342ABBA02}"/>
    <cellStyle name="SAPBEXexcCritical5 2 5 2" xfId="5576" xr:uid="{EBDBC85F-99C6-41F8-8ED6-AEB952F8EFA9}"/>
    <cellStyle name="SAPBEXexcCritical5 2 6" xfId="1633" xr:uid="{76AF7256-7E04-42B0-B1CB-A1B62B2D939E}"/>
    <cellStyle name="SAPBEXexcCritical5 2 6 2" xfId="4170" xr:uid="{B1805BE6-974B-43C2-B9D1-F73A59E535B0}"/>
    <cellStyle name="SAPBEXexcCritical5 2 7" xfId="3354" xr:uid="{E91D675A-FEAB-4503-8719-C1F7F976F02A}"/>
    <cellStyle name="SAPBEXexcCritical5 3" xfId="3278" xr:uid="{B9776818-624A-4106-9868-0C1A0C4AD335}"/>
    <cellStyle name="SAPBEXexcCritical5 3 2" xfId="5652" xr:uid="{DEFF48EB-FE88-4DA5-AC8F-9D597FF444F7}"/>
    <cellStyle name="SAPBEXexcCritical5 4" xfId="3066" xr:uid="{6F98B9B1-EB13-4F84-84CE-5132936C4AFA}"/>
    <cellStyle name="SAPBEXexcCritical5 4 2" xfId="5440" xr:uid="{E812C69D-D1CA-4285-BAE4-D98FC6EF1B0A}"/>
    <cellStyle name="SAPBEXexcCritical5 5" xfId="1632" xr:uid="{520696D9-1288-4A60-AB3D-7A8520C9C81B}"/>
    <cellStyle name="SAPBEXexcCritical5 5 2" xfId="4169" xr:uid="{FD613DE3-A09B-4BF8-ADA0-5D3646439CFD}"/>
    <cellStyle name="SAPBEXexcCritical5 6" xfId="3326" xr:uid="{71A5B541-1EEB-4070-AD63-148411EE0493}"/>
    <cellStyle name="SAPBEXexcCritical6" xfId="82" xr:uid="{00000000-0005-0000-0000-000036030000}"/>
    <cellStyle name="SAPBEXexcCritical6 2" xfId="133" xr:uid="{00000000-0005-0000-0000-000037030000}"/>
    <cellStyle name="SAPBEXexcCritical6 2 2" xfId="1638" xr:uid="{5FB35506-5396-4FFC-9D16-04B678A10D1D}"/>
    <cellStyle name="SAPBEXexcCritical6 2 2 2" xfId="3048" xr:uid="{4F5BA76D-AED3-4011-AB4D-23AF2B0C54F9}"/>
    <cellStyle name="SAPBEXexcCritical6 2 2 2 2" xfId="5422" xr:uid="{1B0F262A-1ACE-46D7-8653-270D6F271017}"/>
    <cellStyle name="SAPBEXexcCritical6 2 2 3" xfId="3138" xr:uid="{91DB0BFB-B6F2-43AF-B9D7-6DEDC46C1789}"/>
    <cellStyle name="SAPBEXexcCritical6 2 2 3 2" xfId="5512" xr:uid="{A7DE4DAD-5FD5-4F11-89A9-786577012A36}"/>
    <cellStyle name="SAPBEXexcCritical6 2 2 4" xfId="4175" xr:uid="{9EEA5C87-E582-46D5-85CE-14567D98BB23}"/>
    <cellStyle name="SAPBEXexcCritical6 2 3" xfId="1639" xr:uid="{AA9489A8-F72C-4664-A223-F36D56B4804F}"/>
    <cellStyle name="SAPBEXexcCritical6 2 3 2" xfId="3074" xr:uid="{D8C71C81-57F3-4977-BCF1-3B6BDBC8CEFE}"/>
    <cellStyle name="SAPBEXexcCritical6 2 3 2 2" xfId="5448" xr:uid="{DF9960BA-FC1C-4F5C-8785-211211EBEE97}"/>
    <cellStyle name="SAPBEXexcCritical6 2 3 3" xfId="3051" xr:uid="{FC0A2E2B-027B-4878-BDE3-E5EB94D8453F}"/>
    <cellStyle name="SAPBEXexcCritical6 2 3 3 2" xfId="5425" xr:uid="{4A1225AA-3993-40DD-B2F2-690BD9DA1259}"/>
    <cellStyle name="SAPBEXexcCritical6 2 3 4" xfId="4176" xr:uid="{E1470DD5-8C3F-4186-9979-E5BA65E53E1D}"/>
    <cellStyle name="SAPBEXexcCritical6 2 4" xfId="3106" xr:uid="{B258FCF1-CF81-45FF-8856-75FCD82EBD51}"/>
    <cellStyle name="SAPBEXexcCritical6 2 4 2" xfId="5480" xr:uid="{4BE7666C-0A92-4DA0-9830-804EA3D1F538}"/>
    <cellStyle name="SAPBEXexcCritical6 2 5" xfId="3071" xr:uid="{B397E12C-61C1-4BF4-A31D-7DB15391DD9F}"/>
    <cellStyle name="SAPBEXexcCritical6 2 5 2" xfId="5445" xr:uid="{3B720C15-A9EE-44C5-A9F4-1E1D0FF563B9}"/>
    <cellStyle name="SAPBEXexcCritical6 2 6" xfId="1637" xr:uid="{DBADD464-E9D8-4FFA-8C6F-6C9E07397993}"/>
    <cellStyle name="SAPBEXexcCritical6 2 6 2" xfId="4174" xr:uid="{EF77C0BF-B3D8-49BC-9475-2130886E812B}"/>
    <cellStyle name="SAPBEXexcCritical6 2 7" xfId="3355" xr:uid="{998FC712-C609-4936-9B4D-E40B22C74833}"/>
    <cellStyle name="SAPBEXexcCritical6 3" xfId="3209" xr:uid="{6120F2CA-1115-4675-B1BA-F246C8B822EC}"/>
    <cellStyle name="SAPBEXexcCritical6 3 2" xfId="5583" xr:uid="{A25D4061-B44C-4432-A64D-7A68609ADD44}"/>
    <cellStyle name="SAPBEXexcCritical6 4" xfId="3169" xr:uid="{CE2F60A9-6DC1-41E2-AFCF-AF6F320C4523}"/>
    <cellStyle name="SAPBEXexcCritical6 4 2" xfId="5543" xr:uid="{8C943CDE-9301-4D99-A7AA-0BAFE7E47A3B}"/>
    <cellStyle name="SAPBEXexcCritical6 5" xfId="1636" xr:uid="{42AAD9FE-5F43-4F0B-856A-815D1319F75D}"/>
    <cellStyle name="SAPBEXexcCritical6 5 2" xfId="4173" xr:uid="{7D368F3B-6A25-4C2D-A9E3-97338C5453CB}"/>
    <cellStyle name="SAPBEXexcCritical6 6" xfId="3327" xr:uid="{FC118B92-247B-4304-8199-5EA193755A9C}"/>
    <cellStyle name="SAPBEXexcGood1" xfId="83" xr:uid="{00000000-0005-0000-0000-000038030000}"/>
    <cellStyle name="SAPBEXexcGood1 2" xfId="134" xr:uid="{00000000-0005-0000-0000-000039030000}"/>
    <cellStyle name="SAPBEXexcGood1 2 2" xfId="1642" xr:uid="{CCCF8DD3-48A9-48E2-9B13-FED6DC2EAB88}"/>
    <cellStyle name="SAPBEXexcGood1 2 2 2" xfId="3168" xr:uid="{8DD7E45E-2712-4C63-8FCD-3B641107FB68}"/>
    <cellStyle name="SAPBEXexcGood1 2 2 2 2" xfId="5542" xr:uid="{7A3207AC-843B-4A02-8080-65882766DBAD}"/>
    <cellStyle name="SAPBEXexcGood1 2 2 3" xfId="3250" xr:uid="{3A462838-BEAD-47B2-92C8-962EF0BB8034}"/>
    <cellStyle name="SAPBEXexcGood1 2 2 3 2" xfId="5624" xr:uid="{8B397900-3B47-4955-A20C-5C08FC27847D}"/>
    <cellStyle name="SAPBEXexcGood1 2 2 4" xfId="4179" xr:uid="{8A937F81-A36D-437A-99BB-EBE8FE639102}"/>
    <cellStyle name="SAPBEXexcGood1 2 3" xfId="1643" xr:uid="{4E0ACAC5-6094-48CB-9F1F-DEB6B6399A8B}"/>
    <cellStyle name="SAPBEXexcGood1 2 3 2" xfId="3269" xr:uid="{17283035-CAFC-4D01-8F1B-5321BB5B72F4}"/>
    <cellStyle name="SAPBEXexcGood1 2 3 2 2" xfId="5643" xr:uid="{D7F1286B-75A0-4FBB-83A6-CA4F7A220BE5}"/>
    <cellStyle name="SAPBEXexcGood1 2 3 3" xfId="3236" xr:uid="{07AF9F8C-8D92-4B42-9763-2477AB3960EB}"/>
    <cellStyle name="SAPBEXexcGood1 2 3 3 2" xfId="5610" xr:uid="{06E7995B-46B6-47E1-A9D0-17642BD5454F}"/>
    <cellStyle name="SAPBEXexcGood1 2 3 4" xfId="4180" xr:uid="{AAACA7D2-73D3-42C7-828C-C3E887500A36}"/>
    <cellStyle name="SAPBEXexcGood1 2 4" xfId="3076" xr:uid="{BA228D25-8D11-4FA9-9745-E16A0C0CB133}"/>
    <cellStyle name="SAPBEXexcGood1 2 4 2" xfId="5450" xr:uid="{F0C52F41-1034-43E6-B1D0-BF85CFB9ECF7}"/>
    <cellStyle name="SAPBEXexcGood1 2 5" xfId="3212" xr:uid="{B460CD2F-80BC-4E54-BDEB-F4904EF1E9E2}"/>
    <cellStyle name="SAPBEXexcGood1 2 5 2" xfId="5586" xr:uid="{8C5A2DDD-73CF-4458-BD02-99F0B50DA563}"/>
    <cellStyle name="SAPBEXexcGood1 2 6" xfId="1641" xr:uid="{0E826CEF-3713-44D0-B5EB-803196A32B33}"/>
    <cellStyle name="SAPBEXexcGood1 2 6 2" xfId="4178" xr:uid="{81227BD5-F338-4492-89C2-A0A0B2143FCC}"/>
    <cellStyle name="SAPBEXexcGood1 2 7" xfId="3356" xr:uid="{A95EBBEC-4CFC-47C3-9528-FEBEDA759BBC}"/>
    <cellStyle name="SAPBEXexcGood1 3" xfId="3249" xr:uid="{7F68F78E-2F43-4C6C-988E-2CCFC1F91307}"/>
    <cellStyle name="SAPBEXexcGood1 3 2" xfId="5623" xr:uid="{FC46A674-54CA-4143-8066-4A73CBDDB29A}"/>
    <cellStyle name="SAPBEXexcGood1 4" xfId="3127" xr:uid="{B0318D05-E042-40AF-AE42-2308ACCE50A3}"/>
    <cellStyle name="SAPBEXexcGood1 4 2" xfId="5501" xr:uid="{BBF72E8A-950E-4FA1-AB34-FAFDFC5A3E87}"/>
    <cellStyle name="SAPBEXexcGood1 5" xfId="1640" xr:uid="{6544DC32-F387-41D8-9B3E-EB9BF2725F9B}"/>
    <cellStyle name="SAPBEXexcGood1 5 2" xfId="4177" xr:uid="{8F7CF46A-A543-458A-B91C-4663283BCDCD}"/>
    <cellStyle name="SAPBEXexcGood1 6" xfId="3328" xr:uid="{46ECF049-B470-46FC-9AA4-922561F79820}"/>
    <cellStyle name="SAPBEXexcGood2" xfId="84" xr:uid="{00000000-0005-0000-0000-00003A030000}"/>
    <cellStyle name="SAPBEXexcGood2 2" xfId="135" xr:uid="{00000000-0005-0000-0000-00003B030000}"/>
    <cellStyle name="SAPBEXexcGood2 2 2" xfId="1646" xr:uid="{B056D4DD-07CF-4183-A50B-DD778ED03B78}"/>
    <cellStyle name="SAPBEXexcGood2 2 2 2" xfId="3154" xr:uid="{1F34EF5A-A9CF-435D-963D-81F45DA5E8B9}"/>
    <cellStyle name="SAPBEXexcGood2 2 2 2 2" xfId="5528" xr:uid="{2F1DC876-2FE1-4477-89AC-0B8A8A1F9AF4}"/>
    <cellStyle name="SAPBEXexcGood2 2 2 3" xfId="3118" xr:uid="{FE8306C3-A9C1-4246-9161-697E30C9FB54}"/>
    <cellStyle name="SAPBEXexcGood2 2 2 3 2" xfId="5492" xr:uid="{6CEA24C8-452A-42AA-BF8C-7BFD7F5C77DF}"/>
    <cellStyle name="SAPBEXexcGood2 2 2 4" xfId="4183" xr:uid="{CAD4FA70-642F-4AA9-801E-9F4CFD90D89A}"/>
    <cellStyle name="SAPBEXexcGood2 2 3" xfId="1647" xr:uid="{2473FCFE-E1DC-453F-8181-03FD9E3BDE54}"/>
    <cellStyle name="SAPBEXexcGood2 2 3 2" xfId="3270" xr:uid="{B2174A8E-A5DD-4A69-8530-1AAA321F4D91}"/>
    <cellStyle name="SAPBEXexcGood2 2 3 2 2" xfId="5644" xr:uid="{03815C29-5547-4285-8D8B-FCAF5F0A8AEB}"/>
    <cellStyle name="SAPBEXexcGood2 2 3 3" xfId="3225" xr:uid="{5777397E-8956-4ADC-9053-991FB2497404}"/>
    <cellStyle name="SAPBEXexcGood2 2 3 3 2" xfId="5599" xr:uid="{9471E41C-02D7-432F-87E7-74C5E70C42F1}"/>
    <cellStyle name="SAPBEXexcGood2 2 3 4" xfId="4184" xr:uid="{E2274566-BCF0-4D83-8C4C-F95873F11BD6}"/>
    <cellStyle name="SAPBEXexcGood2 2 4" xfId="3129" xr:uid="{4E4D8A40-14DB-4FDE-B241-D5E1A3BEAF28}"/>
    <cellStyle name="SAPBEXexcGood2 2 4 2" xfId="5503" xr:uid="{670FF6B5-69F2-42C9-9929-158B075ADB03}"/>
    <cellStyle name="SAPBEXexcGood2 2 5" xfId="3087" xr:uid="{8E4F3D60-E7E9-42FA-ADF5-7CAD1946D1A9}"/>
    <cellStyle name="SAPBEXexcGood2 2 5 2" xfId="5461" xr:uid="{75DF8946-298F-4072-92FB-FF3A14AB3371}"/>
    <cellStyle name="SAPBEXexcGood2 2 6" xfId="1645" xr:uid="{E5C11307-DEB0-4D1E-8A3F-851ABD93C9E2}"/>
    <cellStyle name="SAPBEXexcGood2 2 6 2" xfId="4182" xr:uid="{AF210221-3C4E-4AB8-85A3-109E598AFB23}"/>
    <cellStyle name="SAPBEXexcGood2 2 7" xfId="3357" xr:uid="{24267C96-15E6-4B6E-ABED-0955E740FB20}"/>
    <cellStyle name="SAPBEXexcGood2 3" xfId="3267" xr:uid="{6125C4BE-304B-499E-BEB6-74E44473E6C9}"/>
    <cellStyle name="SAPBEXexcGood2 3 2" xfId="5641" xr:uid="{11F3D0C2-1EBA-47CB-BF32-CD5222C15CAF}"/>
    <cellStyle name="SAPBEXexcGood2 4" xfId="3205" xr:uid="{6A59D1C4-82F1-478C-AD0F-0CA4FBBC8A9E}"/>
    <cellStyle name="SAPBEXexcGood2 4 2" xfId="5579" xr:uid="{DEB77ED5-5F7A-48F7-B604-6D321B1A6B3E}"/>
    <cellStyle name="SAPBEXexcGood2 5" xfId="1644" xr:uid="{C01ECB1E-F108-4707-BAA2-21BB02687559}"/>
    <cellStyle name="SAPBEXexcGood2 5 2" xfId="4181" xr:uid="{03DCBBEE-DE8B-4501-A57D-0C486E4B67A0}"/>
    <cellStyle name="SAPBEXexcGood2 6" xfId="3329" xr:uid="{906DAD6D-5458-4A1C-9568-BF2F558808ED}"/>
    <cellStyle name="SAPBEXexcGood3" xfId="85" xr:uid="{00000000-0005-0000-0000-00003C030000}"/>
    <cellStyle name="SAPBEXexcGood3 2" xfId="136" xr:uid="{00000000-0005-0000-0000-00003D030000}"/>
    <cellStyle name="SAPBEXexcGood3 2 2" xfId="1650" xr:uid="{A4D61156-F851-4404-970E-002F2FCD6746}"/>
    <cellStyle name="SAPBEXexcGood3 2 2 2" xfId="3282" xr:uid="{50320BD0-FF99-40DE-9491-AC71E0B71E54}"/>
    <cellStyle name="SAPBEXexcGood3 2 2 2 2" xfId="5656" xr:uid="{1A300843-3EEA-4A94-AE9A-06AE82F0B7B1}"/>
    <cellStyle name="SAPBEXexcGood3 2 2 3" xfId="3251" xr:uid="{E331FDCF-DEE1-4B87-AF4F-33BBDDE408DD}"/>
    <cellStyle name="SAPBEXexcGood3 2 2 3 2" xfId="5625" xr:uid="{22983CC6-C5A5-4DD1-A64C-BEE7DFDF0BB0}"/>
    <cellStyle name="SAPBEXexcGood3 2 2 4" xfId="4187" xr:uid="{66839DB0-6299-40AB-849C-DA1991A2CBB9}"/>
    <cellStyle name="SAPBEXexcGood3 2 3" xfId="1651" xr:uid="{7E1C8BD4-697A-40D3-BD28-0513C712BF87}"/>
    <cellStyle name="SAPBEXexcGood3 2 3 2" xfId="3246" xr:uid="{980396A0-5E14-4DAA-ADD7-B32E9CD680E2}"/>
    <cellStyle name="SAPBEXexcGood3 2 3 2 2" xfId="5620" xr:uid="{62B57022-0278-4C34-823D-5546C67FC23F}"/>
    <cellStyle name="SAPBEXexcGood3 2 3 3" xfId="3124" xr:uid="{846BD0DA-2A4F-4A27-A3D1-222BABF0A339}"/>
    <cellStyle name="SAPBEXexcGood3 2 3 3 2" xfId="5498" xr:uid="{FAC9D116-4CA1-42DA-9178-33804783C0F2}"/>
    <cellStyle name="SAPBEXexcGood3 2 3 4" xfId="4188" xr:uid="{7FE7AC29-2509-4136-A931-9F26A5504DB7}"/>
    <cellStyle name="SAPBEXexcGood3 2 4" xfId="3063" xr:uid="{31E110BC-DAA4-4F81-82B2-0DC73FDD6A7A}"/>
    <cellStyle name="SAPBEXexcGood3 2 4 2" xfId="5437" xr:uid="{320CB6DB-26E7-4714-833B-5015D8DFB608}"/>
    <cellStyle name="SAPBEXexcGood3 2 5" xfId="3115" xr:uid="{5EF2567F-B64C-4B48-9894-B9E058A273D4}"/>
    <cellStyle name="SAPBEXexcGood3 2 5 2" xfId="5489" xr:uid="{B621CCF8-9A0A-4F35-88D5-C7A5D5B7D421}"/>
    <cellStyle name="SAPBEXexcGood3 2 6" xfId="1649" xr:uid="{E35BCF35-6DC0-4F6D-86AE-A309F77FA97A}"/>
    <cellStyle name="SAPBEXexcGood3 2 6 2" xfId="4186" xr:uid="{C3CCB38D-0EAA-4A66-B430-D78697D94A59}"/>
    <cellStyle name="SAPBEXexcGood3 2 7" xfId="3358" xr:uid="{FB6E062E-B69F-4A81-8BE5-6E8646FD04C4}"/>
    <cellStyle name="SAPBEXexcGood3 3" xfId="3069" xr:uid="{6407E7F9-5EB6-4C10-BAFD-1C8AF442B495}"/>
    <cellStyle name="SAPBEXexcGood3 3 2" xfId="5443" xr:uid="{7BE3B646-06D3-4111-8367-DAE5937D5B70}"/>
    <cellStyle name="SAPBEXexcGood3 4" xfId="3164" xr:uid="{1CC7D2F6-EB72-4CBD-BD6B-1D8CE0A52C24}"/>
    <cellStyle name="SAPBEXexcGood3 4 2" xfId="5538" xr:uid="{3EF6B874-47E8-427C-A9EB-42BBF0D6E69C}"/>
    <cellStyle name="SAPBEXexcGood3 5" xfId="1648" xr:uid="{8F14273A-1D45-488C-B08E-57660CD41D2B}"/>
    <cellStyle name="SAPBEXexcGood3 5 2" xfId="4185" xr:uid="{F48DE49A-F62A-42B6-BA3B-32456A3FC4AB}"/>
    <cellStyle name="SAPBEXexcGood3 6" xfId="3330" xr:uid="{BC41B650-A88D-45EE-BB95-9115F42084AC}"/>
    <cellStyle name="SAPBEXfilterDrill" xfId="86" xr:uid="{00000000-0005-0000-0000-00003E030000}"/>
    <cellStyle name="SAPBEXfilterDrill 2" xfId="1653" xr:uid="{AA0948EE-2C35-48BE-B8DA-B4A3832DF3DE}"/>
    <cellStyle name="SAPBEXfilterDrill 2 2" xfId="1654" xr:uid="{8709A415-A95F-4A84-9C6C-568443C19589}"/>
    <cellStyle name="SAPBEXfilterDrill 2 2 2" xfId="3222" xr:uid="{5352647C-02F9-4C50-BA02-4FC69A4DDCBD}"/>
    <cellStyle name="SAPBEXfilterDrill 2 2 2 2" xfId="5596" xr:uid="{7053E96B-B29C-4C17-99B1-1310557A8857}"/>
    <cellStyle name="SAPBEXfilterDrill 2 2 3" xfId="3101" xr:uid="{3B442078-63BE-4AEE-96D0-E928A0737388}"/>
    <cellStyle name="SAPBEXfilterDrill 2 2 3 2" xfId="5475" xr:uid="{3BE18AD4-45DF-40F0-8004-4CE00D4BA6C5}"/>
    <cellStyle name="SAPBEXfilterDrill 2 2 4" xfId="4191" xr:uid="{ED18476B-5750-4FEE-AC15-FA08093A0C11}"/>
    <cellStyle name="SAPBEXfilterDrill 2 3" xfId="1655" xr:uid="{E4714BA9-B7CE-431B-90D2-7B5837BD2C35}"/>
    <cellStyle name="SAPBEXfilterDrill 2 3 2" xfId="3047" xr:uid="{46AD5C18-16D2-4345-9C19-F0F99E64C55C}"/>
    <cellStyle name="SAPBEXfilterDrill 2 3 2 2" xfId="5421" xr:uid="{4CFBF9A6-C1D9-4125-A32B-9A5CA1555E83}"/>
    <cellStyle name="SAPBEXfilterDrill 2 3 3" xfId="3174" xr:uid="{09822ECA-A373-4A99-9E60-20A853CC7107}"/>
    <cellStyle name="SAPBEXfilterDrill 2 3 3 2" xfId="5548" xr:uid="{F4975F0F-C316-4060-8D00-12E354E303FA}"/>
    <cellStyle name="SAPBEXfilterDrill 2 3 4" xfId="4192" xr:uid="{0E786D51-0CA6-4F4F-A83A-22CC4F26AFAD}"/>
    <cellStyle name="SAPBEXfilterDrill 2 4" xfId="3136" xr:uid="{DF46AE6B-73F0-43A0-8548-4B85734E9A24}"/>
    <cellStyle name="SAPBEXfilterDrill 2 4 2" xfId="5510" xr:uid="{86D29935-3708-485A-ADBB-D1B1CBB7E7FE}"/>
    <cellStyle name="SAPBEXfilterDrill 2 5" xfId="3112" xr:uid="{C076FA5F-BF2D-4DF0-8B92-561EB2BD1C7D}"/>
    <cellStyle name="SAPBEXfilterDrill 2 5 2" xfId="5486" xr:uid="{2EDD4B0B-D394-4E56-8ED2-183668E6949C}"/>
    <cellStyle name="SAPBEXfilterDrill 2 6" xfId="4190" xr:uid="{55961F2E-9553-4299-87A9-E9B3900164F2}"/>
    <cellStyle name="SAPBEXfilterDrill 3" xfId="3075" xr:uid="{442107BC-4A92-4792-B707-2B4E74AC37AC}"/>
    <cellStyle name="SAPBEXfilterDrill 3 2" xfId="5449" xr:uid="{422B98E0-FC46-4A04-A67E-727A455A4FA3}"/>
    <cellStyle name="SAPBEXfilterDrill 4" xfId="3204" xr:uid="{512064FE-81AE-4DED-AC66-7294DEF7C46A}"/>
    <cellStyle name="SAPBEXfilterDrill 4 2" xfId="5578" xr:uid="{83853B67-C0F6-435C-8610-61C05FD90FD2}"/>
    <cellStyle name="SAPBEXfilterDrill 5" xfId="1652" xr:uid="{CA55BA2E-CB05-434B-99BA-681A7FBE4E84}"/>
    <cellStyle name="SAPBEXfilterDrill 5 2" xfId="4189" xr:uid="{80BBCFE2-E247-44FE-852B-23A842F0CC61}"/>
    <cellStyle name="SAPBEXfilterItem" xfId="87" xr:uid="{00000000-0005-0000-0000-00003F030000}"/>
    <cellStyle name="SAPBEXfilterItem 2" xfId="137" xr:uid="{00000000-0005-0000-0000-000040030000}"/>
    <cellStyle name="SAPBEXfilterItem 2 2" xfId="3196" xr:uid="{26DDC478-4B83-40C9-A39F-3DFB8178C2FD}"/>
    <cellStyle name="SAPBEXfilterItem 2 2 2" xfId="5570" xr:uid="{CB3B5C81-7E4D-4A85-99A3-A3E07ACDBA76}"/>
    <cellStyle name="SAPBEXfilterItem 2 3" xfId="3198" xr:uid="{18D34F26-06AC-4E81-8EBB-36EE3DB2368F}"/>
    <cellStyle name="SAPBEXfilterItem 2 3 2" xfId="5572" xr:uid="{773F0752-3C13-4350-8BA2-F84B3FA426BB}"/>
    <cellStyle name="SAPBEXfilterItem 2 4" xfId="1657" xr:uid="{B3C68D2B-7FF0-4A4F-BE6C-452FFD3B9A86}"/>
    <cellStyle name="SAPBEXfilterItem 2 4 2" xfId="4194" xr:uid="{BADF643C-7B1F-47DC-AAD9-36DBF43F6CB7}"/>
    <cellStyle name="SAPBEXfilterItem 3" xfId="3056" xr:uid="{55CFED75-56D0-456E-A9BC-2CB3D061E5F6}"/>
    <cellStyle name="SAPBEXfilterItem 3 2" xfId="5430" xr:uid="{0B6E4E49-5243-468F-827D-FFF4F5855A6D}"/>
    <cellStyle name="SAPBEXfilterItem 4" xfId="1656" xr:uid="{7BC29FEA-E576-4E4F-B57E-5D6DE5502520}"/>
    <cellStyle name="SAPBEXfilterItem 4 2" xfId="4193" xr:uid="{2B7614F3-829F-48A3-B1AB-23DA9A31AB70}"/>
    <cellStyle name="SAPBEXfilterText" xfId="88" xr:uid="{00000000-0005-0000-0000-000041030000}"/>
    <cellStyle name="SAPBEXfilterText 2" xfId="1659" xr:uid="{2EAFFB29-3F08-4266-9241-CF3B4D1C05DF}"/>
    <cellStyle name="SAPBEXfilterText 2 2" xfId="3203" xr:uid="{EBF5D647-6FFC-4536-B73D-A6D2CE56CD38}"/>
    <cellStyle name="SAPBEXfilterText 2 2 2" xfId="5577" xr:uid="{5DE59176-53CC-48B1-86F4-19B02BA80C12}"/>
    <cellStyle name="SAPBEXfilterText 2 3" xfId="3280" xr:uid="{202CDC45-E8FE-4DD6-B36E-5ABA6ED71F2F}"/>
    <cellStyle name="SAPBEXfilterText 2 3 2" xfId="5654" xr:uid="{CF9B5040-88CA-4ABE-802C-1089F4EA4FB3}"/>
    <cellStyle name="SAPBEXfilterText 2 4" xfId="4195" xr:uid="{74510BFB-F991-44D6-937A-B7CA0C9CCE57}"/>
    <cellStyle name="SAPBEXfilterText 3" xfId="1658" xr:uid="{2EFFD2FB-4EFF-4BB5-9ECE-E19E93844D9E}"/>
    <cellStyle name="SAPBEXformats" xfId="89" xr:uid="{00000000-0005-0000-0000-000042030000}"/>
    <cellStyle name="SAPBEXformats 2" xfId="138" xr:uid="{00000000-0005-0000-0000-000043030000}"/>
    <cellStyle name="SAPBEXformats 2 2" xfId="1662" xr:uid="{B940E059-2B50-4168-B331-DDEAB57A1B61}"/>
    <cellStyle name="SAPBEXformats 2 2 2" xfId="3240" xr:uid="{5EC3A3D7-F8FF-4731-8DC3-F171D47924F4}"/>
    <cellStyle name="SAPBEXformats 2 2 2 2" xfId="5614" xr:uid="{61461216-0E43-4C68-9E3D-2A464F6EF117}"/>
    <cellStyle name="SAPBEXformats 2 2 3" xfId="3223" xr:uid="{C685FAC2-D748-4A2A-BF82-05F7B49B2697}"/>
    <cellStyle name="SAPBEXformats 2 2 3 2" xfId="5597" xr:uid="{DB843D10-7BB6-46F8-BD10-DBC323980825}"/>
    <cellStyle name="SAPBEXformats 2 2 4" xfId="4198" xr:uid="{F4FC0D95-A6F1-466D-915D-3C1B6D079996}"/>
    <cellStyle name="SAPBEXformats 2 3" xfId="1663" xr:uid="{4ECBCEA1-C1DE-43CA-9D78-A002EE25FEF8}"/>
    <cellStyle name="SAPBEXformats 2 3 2" xfId="3155" xr:uid="{23FFB165-B6F0-4581-893D-729ED88952E7}"/>
    <cellStyle name="SAPBEXformats 2 3 2 2" xfId="5529" xr:uid="{060C118E-308D-4055-917C-98A4F4C339CA}"/>
    <cellStyle name="SAPBEXformats 2 3 3" xfId="3237" xr:uid="{892E4439-009D-4C49-9C82-117EE0905FB5}"/>
    <cellStyle name="SAPBEXformats 2 3 3 2" xfId="5611" xr:uid="{6998E6D8-AF2C-4DFA-966E-8D67361B595B}"/>
    <cellStyle name="SAPBEXformats 2 3 4" xfId="4199" xr:uid="{C4B4DB4D-ABE7-4AAB-A923-70CE0ED01437}"/>
    <cellStyle name="SAPBEXformats 2 4" xfId="3091" xr:uid="{4EE5D656-9808-4C75-8783-D09910C08B48}"/>
    <cellStyle name="SAPBEXformats 2 4 2" xfId="5465" xr:uid="{4E9E46AD-0A06-40FC-87CE-0D746DF72377}"/>
    <cellStyle name="SAPBEXformats 2 5" xfId="3182" xr:uid="{9E6AC1C4-FDF9-439F-9C11-65E3810FBF29}"/>
    <cellStyle name="SAPBEXformats 2 5 2" xfId="5556" xr:uid="{2258ED9B-459A-4C28-B529-2EA1F86BE229}"/>
    <cellStyle name="SAPBEXformats 2 6" xfId="1661" xr:uid="{917D38CA-E680-4611-95E8-770B9227277A}"/>
    <cellStyle name="SAPBEXformats 2 6 2" xfId="4197" xr:uid="{6DD99085-EBE9-42BF-8306-8DF0051632E8}"/>
    <cellStyle name="SAPBEXformats 2 7" xfId="3359" xr:uid="{67282BB5-1606-4917-8684-1E5585FD27D7}"/>
    <cellStyle name="SAPBEXformats 3" xfId="3092" xr:uid="{F8490C7C-FD25-42A3-932C-E6CF57BAE55A}"/>
    <cellStyle name="SAPBEXformats 3 2" xfId="5466" xr:uid="{7942C92D-6291-4D06-8DD7-3654AEE528B9}"/>
    <cellStyle name="SAPBEXformats 4" xfId="3185" xr:uid="{099559A9-2D0B-434F-A77C-A1E934A5D2B3}"/>
    <cellStyle name="SAPBEXformats 4 2" xfId="5559" xr:uid="{70B640DA-1EB5-4CDA-9988-1B2528A5DC34}"/>
    <cellStyle name="SAPBEXformats 5" xfId="1660" xr:uid="{EAD56A5B-43C3-43B1-8B8E-3A885F87B1DF}"/>
    <cellStyle name="SAPBEXformats 5 2" xfId="4196" xr:uid="{5D64FC15-9DCE-4B9B-BF08-FD3B17C1DEF7}"/>
    <cellStyle name="SAPBEXformats 6" xfId="3331" xr:uid="{5FCAA5D1-3DD9-4D9A-BD23-0F19E7716CF7}"/>
    <cellStyle name="SAPBEXheaderItem" xfId="90" xr:uid="{00000000-0005-0000-0000-000044030000}"/>
    <cellStyle name="SAPBEXheaderItem 2" xfId="1665" xr:uid="{7BCED91B-E93B-4279-A022-5C096C0E258B}"/>
    <cellStyle name="SAPBEXheaderItem 2 2" xfId="1666" xr:uid="{A110E022-D11E-420C-866B-F2A9DA8C20D3}"/>
    <cellStyle name="SAPBEXheaderItem 2 2 2" xfId="3125" xr:uid="{CDBB871A-AE43-4D8C-9720-6AE11DF21208}"/>
    <cellStyle name="SAPBEXheaderItem 2 2 2 2" xfId="5499" xr:uid="{FF42C634-587E-449C-93A8-14D549956B01}"/>
    <cellStyle name="SAPBEXheaderItem 2 2 3" xfId="3277" xr:uid="{CEF6A255-19E9-4B31-B11E-448113DEA785}"/>
    <cellStyle name="SAPBEXheaderItem 2 2 3 2" xfId="5651" xr:uid="{35074C82-2305-49C0-9B70-96C6DD9640A9}"/>
    <cellStyle name="SAPBEXheaderItem 2 2 4" xfId="4202" xr:uid="{03F1D92C-A186-4D33-9DBA-3690E7E5274C}"/>
    <cellStyle name="SAPBEXheaderItem 2 3" xfId="1667" xr:uid="{73365FD4-F9FB-4AD2-BE01-15C597FDED53}"/>
    <cellStyle name="SAPBEXheaderItem 2 3 2" xfId="3121" xr:uid="{AD57CECD-DB90-43DE-942B-3E41AFAD88EA}"/>
    <cellStyle name="SAPBEXheaderItem 2 3 2 2" xfId="5495" xr:uid="{76278D70-69E2-4A9D-AE43-8A3F7EADA814}"/>
    <cellStyle name="SAPBEXheaderItem 2 3 3" xfId="3096" xr:uid="{40DAB32C-61C6-447C-86D5-175D4A8DB09C}"/>
    <cellStyle name="SAPBEXheaderItem 2 3 3 2" xfId="5470" xr:uid="{7D75FC85-98F1-4FAF-B742-1A13BE3B8185}"/>
    <cellStyle name="SAPBEXheaderItem 2 3 4" xfId="4203" xr:uid="{A9A9D296-7004-4036-A68A-16F192BC8166}"/>
    <cellStyle name="SAPBEXheaderItem 2 4" xfId="3146" xr:uid="{8EBE583F-0268-48B3-ABB7-26D48B03AA82}"/>
    <cellStyle name="SAPBEXheaderItem 2 4 2" xfId="5520" xr:uid="{D97CD8EA-F0D9-49B1-9DEE-28B7053DCEF8}"/>
    <cellStyle name="SAPBEXheaderItem 2 5" xfId="3079" xr:uid="{82072485-BD4E-442E-BEDF-A8749C5A7F18}"/>
    <cellStyle name="SAPBEXheaderItem 2 5 2" xfId="5453" xr:uid="{310C2548-118F-4D52-AF32-53416FB1B3FB}"/>
    <cellStyle name="SAPBEXheaderItem 2 6" xfId="4201" xr:uid="{0056D81F-A7E7-4DDE-979C-1DB9460DDFBD}"/>
    <cellStyle name="SAPBEXheaderItem 3" xfId="3235" xr:uid="{D53ABB5E-3643-42E6-9B21-08EEA69DE1EA}"/>
    <cellStyle name="SAPBEXheaderItem 3 2" xfId="5609" xr:uid="{3FA59EDC-C35D-492A-A1E5-E2C345BEE200}"/>
    <cellStyle name="SAPBEXheaderItem 4" xfId="3158" xr:uid="{3DB807E6-BD30-4779-92F2-3B6DCECDC804}"/>
    <cellStyle name="SAPBEXheaderItem 4 2" xfId="5532" xr:uid="{6474D8F1-7D40-4021-AE98-F47F34D6C3A3}"/>
    <cellStyle name="SAPBEXheaderItem 5" xfId="1664" xr:uid="{3FC98029-37DE-49A6-AC7E-ABAEE4420013}"/>
    <cellStyle name="SAPBEXheaderItem 5 2" xfId="4200" xr:uid="{76086955-234F-4136-9B84-B2A917BAB332}"/>
    <cellStyle name="SAPBEXheaderText" xfId="91" xr:uid="{00000000-0005-0000-0000-000045030000}"/>
    <cellStyle name="SAPBEXheaderText 2" xfId="1669" xr:uid="{0E4D9BB7-34C9-4A28-82FD-D244AA8F9CA5}"/>
    <cellStyle name="SAPBEXheaderText 2 2" xfId="1670" xr:uid="{A3FEF62C-79E7-430A-B5C7-5CCE5033C9C2}"/>
    <cellStyle name="SAPBEXheaderText 2 2 2" xfId="3283" xr:uid="{842DAEAC-72B0-4CF8-8AD6-72689CFC7EF5}"/>
    <cellStyle name="SAPBEXheaderText 2 2 2 2" xfId="5657" xr:uid="{414D8BB8-CFD0-4093-ABE5-B230F01524A8}"/>
    <cellStyle name="SAPBEXheaderText 2 2 3" xfId="3130" xr:uid="{9A8FBC6B-CCFC-4273-B4B0-3A71ACAE7F34}"/>
    <cellStyle name="SAPBEXheaderText 2 2 3 2" xfId="5504" xr:uid="{68B6D192-6265-4206-B800-6461CE810633}"/>
    <cellStyle name="SAPBEXheaderText 2 2 4" xfId="4206" xr:uid="{73159E38-3E44-42D4-90F8-7CE32DDD6D65}"/>
    <cellStyle name="SAPBEXheaderText 2 3" xfId="1671" xr:uid="{FEA0F069-5E53-45FC-B583-57DCFC6F8D64}"/>
    <cellStyle name="SAPBEXheaderText 2 3 2" xfId="3285" xr:uid="{A25D66E2-9BCA-4761-95A1-FFC09244C22A}"/>
    <cellStyle name="SAPBEXheaderText 2 3 2 2" xfId="5659" xr:uid="{CF1ECA2C-9F8B-4C2A-80D8-7DE6C27F9706}"/>
    <cellStyle name="SAPBEXheaderText 2 3 3" xfId="3123" xr:uid="{ED5E1908-D043-40D6-B3FE-C7C82E1ED9ED}"/>
    <cellStyle name="SAPBEXheaderText 2 3 3 2" xfId="5497" xr:uid="{C6C4D615-4000-4D89-B223-4571C24EC008}"/>
    <cellStyle name="SAPBEXheaderText 2 3 4" xfId="4207" xr:uid="{AA5DFB8A-CF90-4295-BECD-2D4FC8662B8A}"/>
    <cellStyle name="SAPBEXheaderText 2 4" xfId="3233" xr:uid="{1DB7A1FF-F92F-4D76-B70B-C94F977E8EDB}"/>
    <cellStyle name="SAPBEXheaderText 2 4 2" xfId="5607" xr:uid="{2F5E3676-ECC9-4ECC-BBD0-60C24C6B4617}"/>
    <cellStyle name="SAPBEXheaderText 2 5" xfId="3221" xr:uid="{7D6BF8C5-3C2A-483B-9B40-F49916D94FD9}"/>
    <cellStyle name="SAPBEXheaderText 2 5 2" xfId="5595" xr:uid="{6B268ADE-4B28-4829-A717-CD84B50FF19D}"/>
    <cellStyle name="SAPBEXheaderText 2 6" xfId="4205" xr:uid="{E6342F36-CE35-47B4-981D-E57A7C13B659}"/>
    <cellStyle name="SAPBEXheaderText 3" xfId="3144" xr:uid="{7B55D53C-9EA3-4CF5-8157-D2F5E09B5BC5}"/>
    <cellStyle name="SAPBEXheaderText 3 2" xfId="5518" xr:uid="{4AABACDB-15FD-4D53-81ED-54DEF692B57A}"/>
    <cellStyle name="SAPBEXheaderText 4" xfId="3073" xr:uid="{FD02BF4F-842A-408B-8730-FBFD970C2019}"/>
    <cellStyle name="SAPBEXheaderText 4 2" xfId="5447" xr:uid="{5BB37F44-B6EC-4B48-883B-1C857B6C8E7E}"/>
    <cellStyle name="SAPBEXheaderText 5" xfId="1668" xr:uid="{6B0897FD-BAE9-4299-B132-3D800C1B68F2}"/>
    <cellStyle name="SAPBEXheaderText 5 2" xfId="4204" xr:uid="{941FF39E-0ACD-4884-9315-BD8014E4EBCF}"/>
    <cellStyle name="SAPBEXHLevel0" xfId="92" xr:uid="{00000000-0005-0000-0000-000046030000}"/>
    <cellStyle name="SAPBEXHLevel0 2" xfId="933" xr:uid="{138A92E3-7D55-4952-AEFB-C1782E9DFF2F}"/>
    <cellStyle name="SAPBEXHLevel0 2 2" xfId="1674" xr:uid="{36D9D267-5281-46A4-A1DA-573AF10B6BAA}"/>
    <cellStyle name="SAPBEXHLevel0 2 2 2" xfId="3276" xr:uid="{2B5579B0-D920-4A1E-9D1F-6CAA37193063}"/>
    <cellStyle name="SAPBEXHLevel0 2 2 2 2" xfId="5650" xr:uid="{67C54598-EA0C-4A8E-8E78-522D91B16776}"/>
    <cellStyle name="SAPBEXHLevel0 2 2 3" xfId="3065" xr:uid="{E914C898-D2BD-4BBF-BB68-AB6CC65734FD}"/>
    <cellStyle name="SAPBEXHLevel0 2 2 3 2" xfId="5439" xr:uid="{22420A2A-5B0E-4498-81BF-C3FCF8DF09C6}"/>
    <cellStyle name="SAPBEXHLevel0 2 2 4" xfId="4210" xr:uid="{4D2D2032-CD87-4438-A872-7A01B9E76135}"/>
    <cellStyle name="SAPBEXHLevel0 2 3" xfId="1675" xr:uid="{B27FC2F0-F263-4D18-879B-CF196FB0A6DE}"/>
    <cellStyle name="SAPBEXHLevel0 2 3 2" xfId="3057" xr:uid="{157B5CCA-3C69-47DC-9831-7EB07731AB6B}"/>
    <cellStyle name="SAPBEXHLevel0 2 3 2 2" xfId="5431" xr:uid="{98DD41C2-3EF9-48BA-9CEF-3CE9FEAAC7D4}"/>
    <cellStyle name="SAPBEXHLevel0 2 3 3" xfId="3067" xr:uid="{F6C17396-4025-4F47-9D88-B4D2F7AC8553}"/>
    <cellStyle name="SAPBEXHLevel0 2 3 3 2" xfId="5441" xr:uid="{6AF87A54-8310-4CD2-916C-989E45D03941}"/>
    <cellStyle name="SAPBEXHLevel0 2 3 4" xfId="4211" xr:uid="{1E425DBC-497B-488F-B450-7A39EE11CEF7}"/>
    <cellStyle name="SAPBEXHLevel0 2 4" xfId="3163" xr:uid="{C7A02F57-6BF0-4D0F-A1EF-52AB2D4AC8AD}"/>
    <cellStyle name="SAPBEXHLevel0 2 4 2" xfId="5537" xr:uid="{F15E12A2-C7BA-4164-B6E5-0AED0D55DCBC}"/>
    <cellStyle name="SAPBEXHLevel0 2 5" xfId="3234" xr:uid="{37AA15B5-E5C6-44D9-BCE9-E15CB5D70551}"/>
    <cellStyle name="SAPBEXHLevel0 2 5 2" xfId="5608" xr:uid="{546F3025-87DE-42C2-9D8D-8166404DE6A6}"/>
    <cellStyle name="SAPBEXHLevel0 2 6" xfId="1673" xr:uid="{4FFD3559-416C-4418-913E-589139F47BC8}"/>
    <cellStyle name="SAPBEXHLevel0 2 6 2" xfId="4209" xr:uid="{1E34678E-500A-48BF-A05B-21D1AC0CA4C2}"/>
    <cellStyle name="SAPBEXHLevel0 2 7" xfId="3831" xr:uid="{10861CCE-96AA-436F-8123-73632B7080AE}"/>
    <cellStyle name="SAPBEXHLevel0 3" xfId="3054" xr:uid="{5482EA0F-F472-4C49-9A3B-40D951BDFCC5}"/>
    <cellStyle name="SAPBEXHLevel0 3 2" xfId="5428" xr:uid="{E371F977-85F5-4832-B8D4-A1DB094B50F7}"/>
    <cellStyle name="SAPBEXHLevel0 4" xfId="3086" xr:uid="{7D43D4A9-CF33-4142-92D2-E01DEE52393D}"/>
    <cellStyle name="SAPBEXHLevel0 4 2" xfId="5460" xr:uid="{CE9E4384-1910-450D-B6D8-4CEDE851F24F}"/>
    <cellStyle name="SAPBEXHLevel0 5" xfId="1672" xr:uid="{260F3BE1-1942-46A2-A562-B5B766064538}"/>
    <cellStyle name="SAPBEXHLevel0 5 2" xfId="4208" xr:uid="{A23D882A-90AE-4A45-AF82-1161667287CC}"/>
    <cellStyle name="SAPBEXHLevel0 6" xfId="3332" xr:uid="{F3F976E6-7CF9-44FB-8D7E-4ADF0B963DA8}"/>
    <cellStyle name="SAPBEXHLevel0X" xfId="93" xr:uid="{00000000-0005-0000-0000-000047030000}"/>
    <cellStyle name="SAPBEXHLevel0X 2" xfId="934" xr:uid="{813EE4E2-02AD-4BA4-B4E0-FB3EBA2FA67B}"/>
    <cellStyle name="SAPBEXHLevel0X 2 2" xfId="3224" xr:uid="{8F8CCF87-FF13-4FCF-8670-1B867124CC4C}"/>
    <cellStyle name="SAPBEXHLevel0X 2 2 2" xfId="5598" xr:uid="{93707180-4E41-4695-86AA-9258B552ACEA}"/>
    <cellStyle name="SAPBEXHLevel0X 2 3" xfId="3219" xr:uid="{D8C54BDF-2670-4CE5-B37F-B38527CA0278}"/>
    <cellStyle name="SAPBEXHLevel0X 2 3 2" xfId="5593" xr:uid="{41B27FAC-2F4B-454D-9C00-FDFE2E2788FB}"/>
    <cellStyle name="SAPBEXHLevel0X 2 4" xfId="1677" xr:uid="{32B63010-329F-4D76-8A7F-9FD229022CDF}"/>
    <cellStyle name="SAPBEXHLevel0X 2 4 2" xfId="4213" xr:uid="{3A448438-42D0-413C-AAA4-3538A5A2A881}"/>
    <cellStyle name="SAPBEXHLevel0X 2 5" xfId="3832" xr:uid="{59FDBCFC-53B4-4141-BECF-756F00B25457}"/>
    <cellStyle name="SAPBEXHLevel0X 3" xfId="3199" xr:uid="{EEAFB0A1-DEB3-4A98-875C-62B4CB6B81A9}"/>
    <cellStyle name="SAPBEXHLevel0X 3 2" xfId="5573" xr:uid="{2F620243-F1BE-4A4B-A50C-BAC29950D417}"/>
    <cellStyle name="SAPBEXHLevel0X 4" xfId="3193" xr:uid="{DCBA5B0E-57AA-4F1F-944D-44CB4BBA7ECC}"/>
    <cellStyle name="SAPBEXHLevel0X 4 2" xfId="5567" xr:uid="{FD762F34-C532-4821-AF39-F44AD444FB20}"/>
    <cellStyle name="SAPBEXHLevel0X 5" xfId="1676" xr:uid="{2B51D8E9-D1A4-403B-B2D6-36E138A0549F}"/>
    <cellStyle name="SAPBEXHLevel0X 5 2" xfId="4212" xr:uid="{B2398A4B-4FBD-4021-B9DF-43FE3BE8297B}"/>
    <cellStyle name="SAPBEXHLevel0X 6" xfId="3333" xr:uid="{3CA242C7-29FF-43C4-93C8-8237320BEBB9}"/>
    <cellStyle name="SAPBEXHLevel1" xfId="94" xr:uid="{00000000-0005-0000-0000-000048030000}"/>
    <cellStyle name="SAPBEXHLevel1 2" xfId="935" xr:uid="{1E5748E1-CCDE-447F-A92D-3D37BD09F332}"/>
    <cellStyle name="SAPBEXHLevel1 2 2" xfId="1680" xr:uid="{C106B658-C5B2-4B1E-B2C3-D9120C3D9AC1}"/>
    <cellStyle name="SAPBEXHLevel1 2 2 2" xfId="3188" xr:uid="{A8E64A5C-F606-4A78-8DF1-F7A3EC7F9343}"/>
    <cellStyle name="SAPBEXHLevel1 2 2 2 2" xfId="5562" xr:uid="{C05670E2-8557-4329-A35F-B2CB9C8977B3}"/>
    <cellStyle name="SAPBEXHLevel1 2 2 3" xfId="3216" xr:uid="{D96BDD4F-CBA9-41F6-AFCD-C9E5F4E88061}"/>
    <cellStyle name="SAPBEXHLevel1 2 2 3 2" xfId="5590" xr:uid="{4B98FEE1-E63E-42DE-A728-A17C2392D67A}"/>
    <cellStyle name="SAPBEXHLevel1 2 2 4" xfId="4216" xr:uid="{C503C903-EF2D-4CE5-8CF0-60915A1849C1}"/>
    <cellStyle name="SAPBEXHLevel1 2 3" xfId="1681" xr:uid="{81F47840-BE41-487F-8D39-AC08035EE070}"/>
    <cellStyle name="SAPBEXHLevel1 2 3 2" xfId="3061" xr:uid="{DC77A17B-E078-43F2-8B44-84E2BEF2B92B}"/>
    <cellStyle name="SAPBEXHLevel1 2 3 2 2" xfId="5435" xr:uid="{847C2E62-C60A-41D5-A260-087FD74DB7A6}"/>
    <cellStyle name="SAPBEXHLevel1 2 3 3" xfId="3179" xr:uid="{1B4A4CE9-03F6-48EE-8A89-03514D11A30B}"/>
    <cellStyle name="SAPBEXHLevel1 2 3 3 2" xfId="5553" xr:uid="{FAFFB840-C00D-40FE-8EAB-3713BF2DAB3E}"/>
    <cellStyle name="SAPBEXHLevel1 2 3 4" xfId="4217" xr:uid="{D0219CC4-9FFA-41D3-8883-6E6FD828D63E}"/>
    <cellStyle name="SAPBEXHLevel1 2 4" xfId="3226" xr:uid="{8ABAB0FD-D553-443E-A739-3BCA558E441E}"/>
    <cellStyle name="SAPBEXHLevel1 2 4 2" xfId="5600" xr:uid="{85407F7F-98BC-40E0-8AC7-AF5B0FB7678A}"/>
    <cellStyle name="SAPBEXHLevel1 2 5" xfId="3072" xr:uid="{6A09DDA2-6E4D-409D-962E-F08B34156114}"/>
    <cellStyle name="SAPBEXHLevel1 2 5 2" xfId="5446" xr:uid="{F44605D7-3459-4E22-A41F-008BA6B8B497}"/>
    <cellStyle name="SAPBEXHLevel1 2 6" xfId="1679" xr:uid="{B67C742D-F57F-428E-985D-E5EAFEE208DC}"/>
    <cellStyle name="SAPBEXHLevel1 2 6 2" xfId="4215" xr:uid="{828776C1-509B-4ABE-8BED-4F6EBF21ED2B}"/>
    <cellStyle name="SAPBEXHLevel1 2 7" xfId="3833" xr:uid="{B103F903-BAE2-4AE8-8E68-8E73ED73E25F}"/>
    <cellStyle name="SAPBEXHLevel1 3" xfId="3281" xr:uid="{BA804709-4A62-4CB3-BA1A-E9A6DDE4BCBF}"/>
    <cellStyle name="SAPBEXHLevel1 3 2" xfId="5655" xr:uid="{91C5EA0F-4F11-4D36-B0E1-B0B387E9720B}"/>
    <cellStyle name="SAPBEXHLevel1 4" xfId="3242" xr:uid="{F31E819A-0659-483B-8D96-6110D3190870}"/>
    <cellStyle name="SAPBEXHLevel1 4 2" xfId="5616" xr:uid="{2907E35E-5ECF-44ED-B12D-F1703BC9ECB3}"/>
    <cellStyle name="SAPBEXHLevel1 5" xfId="1678" xr:uid="{62258D7D-8031-45D0-90DB-1C1F40C782D3}"/>
    <cellStyle name="SAPBEXHLevel1 5 2" xfId="4214" xr:uid="{2F4A9481-9E6A-4F97-B4F3-B169FE04D6AA}"/>
    <cellStyle name="SAPBEXHLevel1 6" xfId="3334" xr:uid="{F2DE6417-491D-41F8-8ED7-F4751EAE75B6}"/>
    <cellStyle name="SAPBEXHLevel1X" xfId="95" xr:uid="{00000000-0005-0000-0000-000049030000}"/>
    <cellStyle name="SAPBEXHLevel1X 2" xfId="936" xr:uid="{4198AE00-CB9B-4A91-9629-87766F783E40}"/>
    <cellStyle name="SAPBEXHLevel1X 2 2" xfId="3132" xr:uid="{F6549A4C-F75A-40FC-A0C6-95A2F56842B1}"/>
    <cellStyle name="SAPBEXHLevel1X 2 2 2" xfId="5506" xr:uid="{DBBAAEF4-E339-4A4D-B28A-9A21B98FBBE6}"/>
    <cellStyle name="SAPBEXHLevel1X 2 3" xfId="3102" xr:uid="{D401DEA8-3682-4F5A-9E5C-43DD484DBCA8}"/>
    <cellStyle name="SAPBEXHLevel1X 2 3 2" xfId="5476" xr:uid="{72EDAC8F-2CC7-405D-99EB-8802383E58E4}"/>
    <cellStyle name="SAPBEXHLevel1X 2 4" xfId="1683" xr:uid="{EB5E3A6F-DCF9-4D74-81D2-AB8762A7BC6A}"/>
    <cellStyle name="SAPBEXHLevel1X 2 4 2" xfId="4219" xr:uid="{EDDE5062-6C15-42B9-B5CE-E96F8A9505E0}"/>
    <cellStyle name="SAPBEXHLevel1X 2 5" xfId="3834" xr:uid="{294E6A77-0425-410C-9907-794F42C9D273}"/>
    <cellStyle name="SAPBEXHLevel1X 3" xfId="3085" xr:uid="{F2A2836D-3FDF-4231-8FF4-02AB8ECB1EBB}"/>
    <cellStyle name="SAPBEXHLevel1X 3 2" xfId="5459" xr:uid="{11497F1E-4B8C-4C24-8875-966C5931BC66}"/>
    <cellStyle name="SAPBEXHLevel1X 4" xfId="3264" xr:uid="{63D45063-636F-489B-8378-B22C4F0AD139}"/>
    <cellStyle name="SAPBEXHLevel1X 4 2" xfId="5638" xr:uid="{A795B233-653E-4C8E-97E1-17B9B016D817}"/>
    <cellStyle name="SAPBEXHLevel1X 5" xfId="1682" xr:uid="{7AA82E9D-E1D7-4196-894E-EC1CD17581F1}"/>
    <cellStyle name="SAPBEXHLevel1X 5 2" xfId="4218" xr:uid="{BEE03B4C-2FC9-42A2-BBFE-5AC636401789}"/>
    <cellStyle name="SAPBEXHLevel1X 6" xfId="3335" xr:uid="{31D5C3FD-8E9E-4C29-BAAE-3A20BBE22289}"/>
    <cellStyle name="SAPBEXHLevel2" xfId="96" xr:uid="{00000000-0005-0000-0000-00004A030000}"/>
    <cellStyle name="SAPBEXHLevel2 2" xfId="937" xr:uid="{112184E3-3731-4B01-B8BE-C6F1F802D2B8}"/>
    <cellStyle name="SAPBEXHLevel2 2 2" xfId="1686" xr:uid="{714145B0-5052-4C76-BFCA-3BD9D4B8FFBF}"/>
    <cellStyle name="SAPBEXHLevel2 2 2 2" xfId="3189" xr:uid="{EE676274-4697-4607-9CAF-9A1815999F54}"/>
    <cellStyle name="SAPBEXHLevel2 2 2 2 2" xfId="5563" xr:uid="{E88E69B4-FF6E-41D8-B889-A040036B4841}"/>
    <cellStyle name="SAPBEXHLevel2 2 2 3" xfId="3266" xr:uid="{3EF86291-25F5-4611-B950-C58FB3E48C6B}"/>
    <cellStyle name="SAPBEXHLevel2 2 2 3 2" xfId="5640" xr:uid="{B2316DDC-4572-4D63-A615-7C32308608E1}"/>
    <cellStyle name="SAPBEXHLevel2 2 2 4" xfId="4222" xr:uid="{5E128F58-B43F-405F-AF9B-25445ADE457F}"/>
    <cellStyle name="SAPBEXHLevel2 2 3" xfId="1687" xr:uid="{F3A6212E-BBDC-41EB-AE04-C8C0D8FB7DD3}"/>
    <cellStyle name="SAPBEXHLevel2 2 3 2" xfId="3152" xr:uid="{7BC8A612-3A88-44FD-BD08-93C1BB2DEDD8}"/>
    <cellStyle name="SAPBEXHLevel2 2 3 2 2" xfId="5526" xr:uid="{CC58880A-7E69-4CE8-B8DF-ECA3DD796FF0}"/>
    <cellStyle name="SAPBEXHLevel2 2 3 3" xfId="3077" xr:uid="{1C8FA20C-B05D-4A71-9B83-0926A2EB85AF}"/>
    <cellStyle name="SAPBEXHLevel2 2 3 3 2" xfId="5451" xr:uid="{26D2DD2A-35B5-426D-A957-E3D7B259203A}"/>
    <cellStyle name="SAPBEXHLevel2 2 3 4" xfId="4223" xr:uid="{3520AE4C-F75E-4B47-8A17-AEAE975D1F34}"/>
    <cellStyle name="SAPBEXHLevel2 2 4" xfId="3094" xr:uid="{2187196E-C82C-47D1-84EA-3DF46AABC06A}"/>
    <cellStyle name="SAPBEXHLevel2 2 4 2" xfId="5468" xr:uid="{9CA45251-E5ED-47E0-923A-EFAFF46F275D}"/>
    <cellStyle name="SAPBEXHLevel2 2 5" xfId="3197" xr:uid="{12B87643-93D9-4BF2-8E1C-D6B4D2EAD30F}"/>
    <cellStyle name="SAPBEXHLevel2 2 5 2" xfId="5571" xr:uid="{DD81B9A2-E5BB-4969-B408-3F39E5E837D3}"/>
    <cellStyle name="SAPBEXHLevel2 2 6" xfId="1685" xr:uid="{2D80E795-DAC9-46F1-B95C-C10036BC1501}"/>
    <cellStyle name="SAPBEXHLevel2 2 6 2" xfId="4221" xr:uid="{864D8988-4A80-4744-925F-84A66B7DB089}"/>
    <cellStyle name="SAPBEXHLevel2 2 7" xfId="3835" xr:uid="{B1D10EC1-6262-4B66-BCF4-60A8275FB038}"/>
    <cellStyle name="SAPBEXHLevel2 3" xfId="3258" xr:uid="{CD214021-66A2-4D77-9F80-FA952FB153DD}"/>
    <cellStyle name="SAPBEXHLevel2 3 2" xfId="5632" xr:uid="{D7C5CDA5-0410-4CFC-813C-D37681F2C024}"/>
    <cellStyle name="SAPBEXHLevel2 4" xfId="3214" xr:uid="{4461AEE9-A85A-443E-BE2A-40891D7BE9F5}"/>
    <cellStyle name="SAPBEXHLevel2 4 2" xfId="5588" xr:uid="{B9348CC0-2B83-4E8D-9CBF-6FA39A089771}"/>
    <cellStyle name="SAPBEXHLevel2 5" xfId="1684" xr:uid="{2D1B3528-73AD-4F5B-98F1-AAD6A1F325EB}"/>
    <cellStyle name="SAPBEXHLevel2 5 2" xfId="4220" xr:uid="{7C4C8ED6-4497-4B77-A1DB-F86071B08271}"/>
    <cellStyle name="SAPBEXHLevel2 6" xfId="3336" xr:uid="{5A6C6A95-81A8-4D56-BF1B-C1457391BA84}"/>
    <cellStyle name="SAPBEXHLevel2X" xfId="97" xr:uid="{00000000-0005-0000-0000-00004B030000}"/>
    <cellStyle name="SAPBEXHLevel2X 2" xfId="938" xr:uid="{A67F28C8-8B88-4CF6-963E-478BFA3751FA}"/>
    <cellStyle name="SAPBEXHLevel2X 2 2" xfId="3231" xr:uid="{C1CA2D7D-33F5-4B52-B31C-3511AAFC3784}"/>
    <cellStyle name="SAPBEXHLevel2X 2 2 2" xfId="5605" xr:uid="{21CD9EE5-8364-4A53-B3F3-D89BF0D4E24F}"/>
    <cellStyle name="SAPBEXHLevel2X 2 3" xfId="3161" xr:uid="{47EB5110-FB10-4FB0-B4FB-DAD9B141F86B}"/>
    <cellStyle name="SAPBEXHLevel2X 2 3 2" xfId="5535" xr:uid="{1A1DDD78-426F-4A66-8A86-6CAA53908265}"/>
    <cellStyle name="SAPBEXHLevel2X 2 4" xfId="1689" xr:uid="{BDAA82C9-BCFF-408F-9D6B-51E125A3265C}"/>
    <cellStyle name="SAPBEXHLevel2X 2 4 2" xfId="4225" xr:uid="{3EEE0C88-04D1-48C2-AB70-9A4DBE2B576F}"/>
    <cellStyle name="SAPBEXHLevel2X 2 5" xfId="3836" xr:uid="{536E0248-1CD0-4C82-AA71-79C9F5BC9524}"/>
    <cellStyle name="SAPBEXHLevel2X 3" xfId="3139" xr:uid="{BBF79FAF-D7FA-4F3D-AFB8-A253EAB0BBEE}"/>
    <cellStyle name="SAPBEXHLevel2X 3 2" xfId="5513" xr:uid="{7AE0BC09-4275-42CE-9A2C-69CB9FF055DC}"/>
    <cellStyle name="SAPBEXHLevel2X 4" xfId="3167" xr:uid="{85558F91-DA11-4406-A70E-BFF59C320976}"/>
    <cellStyle name="SAPBEXHLevel2X 4 2" xfId="5541" xr:uid="{3903588A-50A4-4DF7-8BD5-D0E427AFC13A}"/>
    <cellStyle name="SAPBEXHLevel2X 5" xfId="1688" xr:uid="{F72307C4-13D2-4B84-8999-A0614543A787}"/>
    <cellStyle name="SAPBEXHLevel2X 5 2" xfId="4224" xr:uid="{10A0FB65-B1F9-4E42-B07C-D2DFFAF910F3}"/>
    <cellStyle name="SAPBEXHLevel2X 6" xfId="3337" xr:uid="{E399A763-B999-45DC-B044-7BA0F070C7AE}"/>
    <cellStyle name="SAPBEXHLevel3" xfId="98" xr:uid="{00000000-0005-0000-0000-00004C030000}"/>
    <cellStyle name="SAPBEXHLevel3 2" xfId="939" xr:uid="{7777D467-0747-40AA-9F66-1D866D47CBF4}"/>
    <cellStyle name="SAPBEXHLevel3 2 2" xfId="1692" xr:uid="{C5AB1ED3-EB95-4D64-A7BF-F3FA712E0883}"/>
    <cellStyle name="SAPBEXHLevel3 2 2 2" xfId="3053" xr:uid="{0A628118-39AB-46FC-B219-0D99E3BC4D1B}"/>
    <cellStyle name="SAPBEXHLevel3 2 2 2 2" xfId="5427" xr:uid="{93879C2C-F563-468A-8A9C-BC3E5484DED3}"/>
    <cellStyle name="SAPBEXHLevel3 2 2 3" xfId="3090" xr:uid="{7835B5FF-CBBC-471F-841D-A7E421953FC2}"/>
    <cellStyle name="SAPBEXHLevel3 2 2 3 2" xfId="5464" xr:uid="{851E7CB1-8D52-4AA5-8A2D-83DE5397B6D0}"/>
    <cellStyle name="SAPBEXHLevel3 2 2 4" xfId="4228" xr:uid="{73056ECB-676D-4AEB-A9AE-35D66F75E7DA}"/>
    <cellStyle name="SAPBEXHLevel3 2 3" xfId="1693" xr:uid="{EEC42B18-8434-4A9C-8573-47B77FB10DB1}"/>
    <cellStyle name="SAPBEXHLevel3 2 3 2" xfId="3147" xr:uid="{79AA4573-92F1-4125-AA13-F58437461D4A}"/>
    <cellStyle name="SAPBEXHLevel3 2 3 2 2" xfId="5521" xr:uid="{D22F378C-6803-49C8-A65C-8C589D64BDB1}"/>
    <cellStyle name="SAPBEXHLevel3 2 3 3" xfId="3215" xr:uid="{20608DAD-DC2E-468B-8444-938DDE98C1C1}"/>
    <cellStyle name="SAPBEXHLevel3 2 3 3 2" xfId="5589" xr:uid="{4182BC22-81C1-4912-86D0-C9AB0990D2E6}"/>
    <cellStyle name="SAPBEXHLevel3 2 3 4" xfId="4229" xr:uid="{9BE93428-DA7B-44DA-8326-9D51E208A732}"/>
    <cellStyle name="SAPBEXHLevel3 2 4" xfId="3238" xr:uid="{F81D12E0-72B9-4A7C-A99E-4C90C4A6772A}"/>
    <cellStyle name="SAPBEXHLevel3 2 4 2" xfId="5612" xr:uid="{42A12FBD-EA5F-4104-8BCB-C9494ADE8ED5}"/>
    <cellStyle name="SAPBEXHLevel3 2 5" xfId="3248" xr:uid="{C7E5924D-95F4-4D23-B446-41703BF07A32}"/>
    <cellStyle name="SAPBEXHLevel3 2 5 2" xfId="5622" xr:uid="{51442A61-18FB-4A3E-AAE5-57BEA19ADC2E}"/>
    <cellStyle name="SAPBEXHLevel3 2 6" xfId="1691" xr:uid="{38D6B4A2-C277-49D6-A7DD-DF7D6215FF46}"/>
    <cellStyle name="SAPBEXHLevel3 2 6 2" xfId="4227" xr:uid="{7F763750-FAE2-4BBA-BD0C-A2E9785C09D9}"/>
    <cellStyle name="SAPBEXHLevel3 2 7" xfId="3837" xr:uid="{07C7C0F2-0DEE-4008-A72F-A12B43223F81}"/>
    <cellStyle name="SAPBEXHLevel3 3" xfId="3050" xr:uid="{194FD71D-4B6A-45DD-B082-5E5267BCB116}"/>
    <cellStyle name="SAPBEXHLevel3 3 2" xfId="5424" xr:uid="{8CA14961-AB86-4EF5-BCA4-2D0AC3043194}"/>
    <cellStyle name="SAPBEXHLevel3 4" xfId="3252" xr:uid="{3002B438-73DC-41D3-ABBB-FA217E67C2B0}"/>
    <cellStyle name="SAPBEXHLevel3 4 2" xfId="5626" xr:uid="{12BFA2FC-A92D-4A71-9E1D-57BAC462DB0A}"/>
    <cellStyle name="SAPBEXHLevel3 5" xfId="1690" xr:uid="{8B81F412-77FC-4173-9B40-8D37A3A8E7E9}"/>
    <cellStyle name="SAPBEXHLevel3 5 2" xfId="4226" xr:uid="{EF6B7FAF-9FF3-4BD9-A1CD-D459ADE22901}"/>
    <cellStyle name="SAPBEXHLevel3 6" xfId="3338" xr:uid="{3F68943A-8C04-43FC-82FE-EBBB74874617}"/>
    <cellStyle name="SAPBEXHLevel3X" xfId="99" xr:uid="{00000000-0005-0000-0000-00004D030000}"/>
    <cellStyle name="SAPBEXHLevel3X 2" xfId="940" xr:uid="{16EE4387-87B1-4194-BBF1-16E8DA5257CE}"/>
    <cellStyle name="SAPBEXHLevel3X 2 2" xfId="3137" xr:uid="{062B4B9E-5E32-4305-9261-4C98C71F730F}"/>
    <cellStyle name="SAPBEXHLevel3X 2 2 2" xfId="5511" xr:uid="{36F4BC2A-99F3-4C12-B398-8794E5ED9AB8}"/>
    <cellStyle name="SAPBEXHLevel3X 2 3" xfId="3062" xr:uid="{B74864E9-5A7E-4129-9466-C1FC17D3F159}"/>
    <cellStyle name="SAPBEXHLevel3X 2 3 2" xfId="5436" xr:uid="{86D097EE-7D68-4033-8FD7-B81A03480E59}"/>
    <cellStyle name="SAPBEXHLevel3X 2 4" xfId="1695" xr:uid="{97CC3850-8912-44A7-AECC-9B7D5CBE139B}"/>
    <cellStyle name="SAPBEXHLevel3X 2 4 2" xfId="4231" xr:uid="{5D101530-DF46-4C6E-A20D-A34DB3159139}"/>
    <cellStyle name="SAPBEXHLevel3X 2 5" xfId="3838" xr:uid="{03033A44-CE05-43B4-8820-32A49FF15A53}"/>
    <cellStyle name="SAPBEXHLevel3X 3" xfId="3111" xr:uid="{0BA86707-23F3-4FF7-B9DD-0B363DA9B6C7}"/>
    <cellStyle name="SAPBEXHLevel3X 3 2" xfId="5485" xr:uid="{4021B919-FFF4-4F2C-A1F1-C027A61EC350}"/>
    <cellStyle name="SAPBEXHLevel3X 4" xfId="3150" xr:uid="{E96530CB-15B7-4064-A42B-A5CC62FB4C40}"/>
    <cellStyle name="SAPBEXHLevel3X 4 2" xfId="5524" xr:uid="{A691ACCD-A71D-4A43-B6D2-40725994FEBA}"/>
    <cellStyle name="SAPBEXHLevel3X 5" xfId="1694" xr:uid="{59CD1ED2-1588-4CDF-B9BC-DE2D6DB8967E}"/>
    <cellStyle name="SAPBEXHLevel3X 5 2" xfId="4230" xr:uid="{28BFA658-AD8E-4870-BF1C-9275F7F801FC}"/>
    <cellStyle name="SAPBEXHLevel3X 6" xfId="3339" xr:uid="{D86B91FE-C9AE-479B-BF00-715290AB56AA}"/>
    <cellStyle name="SAPBEXinputData" xfId="100" xr:uid="{00000000-0005-0000-0000-00004E030000}"/>
    <cellStyle name="SAPBEXinputData 10" xfId="2567" xr:uid="{AAF63542-08EA-4DE3-B8EC-4EEC7ECD119E}"/>
    <cellStyle name="SAPBEXinputData 10 2" xfId="5002" xr:uid="{40BBF454-2344-42D9-8BDD-C08AFCFE26F5}"/>
    <cellStyle name="SAPBEXinputData 11" xfId="1696" xr:uid="{1A579113-A5AE-4617-B77A-69AB844094E5}"/>
    <cellStyle name="SAPBEXinputData 11 2" xfId="4232" xr:uid="{3922B5AA-7000-45D0-A53E-C0274740EBF3}"/>
    <cellStyle name="SAPBEXinputData 2" xfId="941" xr:uid="{0148C0AB-2C94-485E-8FA3-50BFBF1A297C}"/>
    <cellStyle name="SAPBEXinputData 2 2" xfId="1697" xr:uid="{6FC52AA1-B276-4D4A-BF9A-EEE5C27D1103}"/>
    <cellStyle name="SAPBEXinputData 3" xfId="1698" xr:uid="{B1194430-3E4E-4135-917A-1C0AE77D20E6}"/>
    <cellStyle name="SAPBEXinputData 3 2" xfId="1699" xr:uid="{04F2F544-8439-4F37-8E79-33428810D98E}"/>
    <cellStyle name="SAPBEXinputData 3 2 2" xfId="1700" xr:uid="{7C25E428-B92B-49A9-BB73-C492C79F518F}"/>
    <cellStyle name="SAPBEXinputData 3 2 2 2" xfId="1701" xr:uid="{B8E33FD1-AF59-4792-BDB9-20A1EB58F4CF}"/>
    <cellStyle name="SAPBEXinputData 3 2 2 2 2" xfId="1702" xr:uid="{1F25D1F0-D7A5-4FB0-958E-0FF43633001C}"/>
    <cellStyle name="SAPBEXinputData 3 2 2 2 2 2" xfId="2099" xr:uid="{C0A9C0AD-64AE-4D49-A50B-4F2890F833E8}"/>
    <cellStyle name="SAPBEXinputData 3 2 2 2 2 2 2" xfId="2937" xr:uid="{B57229BB-9EF3-4DC3-A3B9-0DF9F263BF37}"/>
    <cellStyle name="SAPBEXinputData 3 2 2 2 2 2 2 2" xfId="5372" xr:uid="{DDCEC28C-1640-40A5-A37C-36B58BBAE962}"/>
    <cellStyle name="SAPBEXinputData 3 2 2 2 2 2 3" xfId="4616" xr:uid="{C0CAE623-7AB2-4916-8DAE-6397F20999A4}"/>
    <cellStyle name="SAPBEXinputData 3 2 2 2 2 3" xfId="2572" xr:uid="{DDF15937-116F-432B-9703-DA44E538CD8C}"/>
    <cellStyle name="SAPBEXinputData 3 2 2 2 2 3 2" xfId="5007" xr:uid="{FD562959-C2F8-40A4-A6F8-1C87B4175A9E}"/>
    <cellStyle name="SAPBEXinputData 3 2 2 2 2 4" xfId="4237" xr:uid="{277F3E23-D12E-4FA7-9EA7-9A0C20DD5BE4}"/>
    <cellStyle name="SAPBEXinputData 3 2 2 2 3" xfId="1929" xr:uid="{49B078E0-2BC9-4B68-AA2D-1BF2B55605CA}"/>
    <cellStyle name="SAPBEXinputData 3 2 2 2 3 2" xfId="2767" xr:uid="{96195523-41E3-4534-8D1C-3B8A9D18A796}"/>
    <cellStyle name="SAPBEXinputData 3 2 2 2 3 2 2" xfId="5202" xr:uid="{45D6AB71-934F-441F-8E21-3CC6BC25ECD9}"/>
    <cellStyle name="SAPBEXinputData 3 2 2 2 3 3" xfId="4446" xr:uid="{5014F3C8-4235-4236-88C1-5BCE6198C13E}"/>
    <cellStyle name="SAPBEXinputData 3 2 2 2 4" xfId="2571" xr:uid="{4F49B3A6-CE7E-4BB1-84C6-F1422AD08AD9}"/>
    <cellStyle name="SAPBEXinputData 3 2 2 2 4 2" xfId="5006" xr:uid="{6A8EBEBB-3E4D-46EB-A061-C8E5F2EB75AC}"/>
    <cellStyle name="SAPBEXinputData 3 2 2 2 5" xfId="4236" xr:uid="{4BBABC54-B07C-4B9F-8B98-4AD95E165BAD}"/>
    <cellStyle name="SAPBEXinputData 3 2 2 3" xfId="1703" xr:uid="{17893D3B-CD40-4749-9F28-188A502AA394}"/>
    <cellStyle name="SAPBEXinputData 3 2 2 3 2" xfId="1704" xr:uid="{0FD30FC4-EE41-4FE7-A1C9-B17D013D38B6}"/>
    <cellStyle name="SAPBEXinputData 3 2 2 3 2 2" xfId="2100" xr:uid="{19D45336-758F-4709-9259-396471067A13}"/>
    <cellStyle name="SAPBEXinputData 3 2 2 3 2 2 2" xfId="2938" xr:uid="{73118DEC-DD9F-439B-8A5D-807838BF9A74}"/>
    <cellStyle name="SAPBEXinputData 3 2 2 3 2 2 2 2" xfId="5373" xr:uid="{B0404280-37D3-4F23-B2C8-04BE2818D5B4}"/>
    <cellStyle name="SAPBEXinputData 3 2 2 3 2 2 3" xfId="4617" xr:uid="{A6BEF6DC-749A-4D71-9186-5B9BB8BBEB2C}"/>
    <cellStyle name="SAPBEXinputData 3 2 2 3 2 3" xfId="2574" xr:uid="{E089D064-D85F-48D3-AD62-2DDD538D7EAD}"/>
    <cellStyle name="SAPBEXinputData 3 2 2 3 2 3 2" xfId="5009" xr:uid="{30EF3464-27AF-4BC0-8AB0-298504C27121}"/>
    <cellStyle name="SAPBEXinputData 3 2 2 3 2 4" xfId="4239" xr:uid="{1CD1E717-D5C2-475C-9548-355A0DA68F52}"/>
    <cellStyle name="SAPBEXinputData 3 2 2 3 3" xfId="1930" xr:uid="{E589F60E-E408-40EF-9D5D-2D815D389A79}"/>
    <cellStyle name="SAPBEXinputData 3 2 2 3 3 2" xfId="2768" xr:uid="{71A7BD67-A496-4D25-8D8F-8DD2DE6537D9}"/>
    <cellStyle name="SAPBEXinputData 3 2 2 3 3 2 2" xfId="5203" xr:uid="{CAF18B6C-772A-4814-9127-09308595FD0E}"/>
    <cellStyle name="SAPBEXinputData 3 2 2 3 3 3" xfId="4447" xr:uid="{E289F265-8249-4A53-B1FB-91725068B0C3}"/>
    <cellStyle name="SAPBEXinputData 3 2 2 3 4" xfId="2573" xr:uid="{EA3EEF08-16BD-4672-8273-2462D1EC20A8}"/>
    <cellStyle name="SAPBEXinputData 3 2 2 3 4 2" xfId="5008" xr:uid="{835FEAB2-C8CD-487A-9EBE-5432BA231791}"/>
    <cellStyle name="SAPBEXinputData 3 2 2 3 5" xfId="4238" xr:uid="{5FF0F830-6FBE-4442-B60D-B8B18299EFF3}"/>
    <cellStyle name="SAPBEXinputData 3 2 2 4" xfId="1705" xr:uid="{668D6E70-9F13-464B-BE69-869AF50516A9}"/>
    <cellStyle name="SAPBEXinputData 3 2 2 4 2" xfId="2098" xr:uid="{2CD84618-8D71-48BC-A158-0F8F6B36432E}"/>
    <cellStyle name="SAPBEXinputData 3 2 2 4 2 2" xfId="2936" xr:uid="{463E53C9-C3F2-4D75-B829-A1C263A4E096}"/>
    <cellStyle name="SAPBEXinputData 3 2 2 4 2 2 2" xfId="5371" xr:uid="{3BBED34C-48DD-419B-8884-33839BCE7F34}"/>
    <cellStyle name="SAPBEXinputData 3 2 2 4 2 3" xfId="4615" xr:uid="{C2D32AE8-8BDB-405E-9E58-6301724E09AC}"/>
    <cellStyle name="SAPBEXinputData 3 2 2 4 3" xfId="2575" xr:uid="{99635248-C55F-4E76-A7E0-4B72064230DB}"/>
    <cellStyle name="SAPBEXinputData 3 2 2 4 3 2" xfId="5010" xr:uid="{92230EFB-8ED3-4940-8F2F-C6BFE3AEB6E7}"/>
    <cellStyle name="SAPBEXinputData 3 2 2 4 4" xfId="4240" xr:uid="{F0E69322-ABA2-48BE-BBBA-2ABF2F5AE142}"/>
    <cellStyle name="SAPBEXinputData 3 2 2 5" xfId="1928" xr:uid="{09E99A3D-B8EA-4B58-B0AC-44996109097B}"/>
    <cellStyle name="SAPBEXinputData 3 2 2 5 2" xfId="2766" xr:uid="{47821799-FA36-45BE-AC38-9F0F527D012D}"/>
    <cellStyle name="SAPBEXinputData 3 2 2 5 2 2" xfId="5201" xr:uid="{95B6E774-D7BC-450E-8FD1-C8AE0BCBCAA4}"/>
    <cellStyle name="SAPBEXinputData 3 2 2 5 3" xfId="4445" xr:uid="{5AACCB15-39F8-46E0-A61A-3C698746D268}"/>
    <cellStyle name="SAPBEXinputData 3 2 2 6" xfId="2570" xr:uid="{0A2A4471-46F4-443C-B9E9-695CB7C0620E}"/>
    <cellStyle name="SAPBEXinputData 3 2 2 6 2" xfId="5005" xr:uid="{0A3FE3F9-1DA1-444F-AF10-E57F35D4718A}"/>
    <cellStyle name="SAPBEXinputData 3 2 2 7" xfId="4235" xr:uid="{DAEE97A7-95D4-4661-83C9-BCEA2E4E18A2}"/>
    <cellStyle name="SAPBEXinputData 3 2 3" xfId="1706" xr:uid="{78A5B5CD-52E1-48F1-A1F2-E339A4C07EA4}"/>
    <cellStyle name="SAPBEXinputData 3 2 3 2" xfId="1707" xr:uid="{18A44AE7-20EA-4235-AFCC-EF3746BB92F0}"/>
    <cellStyle name="SAPBEXinputData 3 2 3 2 2" xfId="2101" xr:uid="{CD497E80-4461-4D4D-BD1B-E634A0767D37}"/>
    <cellStyle name="SAPBEXinputData 3 2 3 2 2 2" xfId="2939" xr:uid="{788B0D04-3541-4D0F-BC33-942821D4A027}"/>
    <cellStyle name="SAPBEXinputData 3 2 3 2 2 2 2" xfId="5374" xr:uid="{8F5ED226-3E97-4137-8AEC-9EE5760573A8}"/>
    <cellStyle name="SAPBEXinputData 3 2 3 2 2 3" xfId="4618" xr:uid="{742A945F-3681-44AB-9E0B-358790743963}"/>
    <cellStyle name="SAPBEXinputData 3 2 3 2 3" xfId="2577" xr:uid="{FCC10257-E003-4A50-8083-40E0B47C3C8C}"/>
    <cellStyle name="SAPBEXinputData 3 2 3 2 3 2" xfId="5012" xr:uid="{BC2FE3D1-8385-481A-86DC-2E9E101B3B26}"/>
    <cellStyle name="SAPBEXinputData 3 2 3 2 4" xfId="4242" xr:uid="{66CB0AE3-05C5-4A4B-9BF1-072609AE29FA}"/>
    <cellStyle name="SAPBEXinputData 3 2 3 3" xfId="1931" xr:uid="{39C9F305-08C7-4C07-830C-59EBC22A23AC}"/>
    <cellStyle name="SAPBEXinputData 3 2 3 3 2" xfId="2769" xr:uid="{77B45266-43A8-46A3-910E-3DA7B6CA3299}"/>
    <cellStyle name="SAPBEXinputData 3 2 3 3 2 2" xfId="5204" xr:uid="{35E3867F-BA9E-434E-8528-6F003398E209}"/>
    <cellStyle name="SAPBEXinputData 3 2 3 3 3" xfId="4448" xr:uid="{0525F4D4-60FE-4C76-BBD1-69E662231B57}"/>
    <cellStyle name="SAPBEXinputData 3 2 3 4" xfId="2576" xr:uid="{810C84F1-F424-46AE-ACB8-B5F0DEE1CADC}"/>
    <cellStyle name="SAPBEXinputData 3 2 3 4 2" xfId="5011" xr:uid="{B71B0A76-4AFF-4CCC-90C2-63CA134DE916}"/>
    <cellStyle name="SAPBEXinputData 3 2 3 5" xfId="4241" xr:uid="{18BD5A5F-9317-4F6A-8890-94E0F1611864}"/>
    <cellStyle name="SAPBEXinputData 3 2 4" xfId="1708" xr:uid="{6AF6BF63-7BCB-462B-8232-7BDAE20AE0AF}"/>
    <cellStyle name="SAPBEXinputData 3 2 4 2" xfId="1709" xr:uid="{243A1E57-7656-4E30-BF9D-424C53E55B1E}"/>
    <cellStyle name="SAPBEXinputData 3 2 4 2 2" xfId="2102" xr:uid="{CF7D1051-7367-4054-BFB8-BB906A626636}"/>
    <cellStyle name="SAPBEXinputData 3 2 4 2 2 2" xfId="2940" xr:uid="{708A2E5D-F964-41B1-B67E-C7A128B34DB5}"/>
    <cellStyle name="SAPBEXinputData 3 2 4 2 2 2 2" xfId="5375" xr:uid="{9DE719EC-53A0-4FF9-B27A-FC3CE6AB3593}"/>
    <cellStyle name="SAPBEXinputData 3 2 4 2 2 3" xfId="4619" xr:uid="{67CC101B-8DD3-455B-A949-F67012BB6D15}"/>
    <cellStyle name="SAPBEXinputData 3 2 4 2 3" xfId="2579" xr:uid="{3BEF5AEF-669D-4116-B83F-8AA92404E331}"/>
    <cellStyle name="SAPBEXinputData 3 2 4 2 3 2" xfId="5014" xr:uid="{558987F3-8B21-49F3-9064-106349F1B068}"/>
    <cellStyle name="SAPBEXinputData 3 2 4 2 4" xfId="4244" xr:uid="{191D661A-AB83-4B3B-9DC8-E8B387D29018}"/>
    <cellStyle name="SAPBEXinputData 3 2 4 3" xfId="1932" xr:uid="{33DDD796-3835-4DA9-995F-E1B96575DB61}"/>
    <cellStyle name="SAPBEXinputData 3 2 4 3 2" xfId="2770" xr:uid="{B4F57D7E-B15A-4C22-9C6F-26301AD4503C}"/>
    <cellStyle name="SAPBEXinputData 3 2 4 3 2 2" xfId="5205" xr:uid="{B43F42DA-2899-49FB-A19A-FE100259EDDF}"/>
    <cellStyle name="SAPBEXinputData 3 2 4 3 3" xfId="4449" xr:uid="{3A5728AB-B5F2-4F8E-A106-41B36DA71F3F}"/>
    <cellStyle name="SAPBEXinputData 3 2 4 4" xfId="2578" xr:uid="{A8D59F88-9AB3-4A96-A2EF-D66360185B84}"/>
    <cellStyle name="SAPBEXinputData 3 2 4 4 2" xfId="5013" xr:uid="{29666E23-3035-4B57-A296-EDE2D0DCC1EC}"/>
    <cellStyle name="SAPBEXinputData 3 2 4 5" xfId="4243" xr:uid="{C30B0778-9A29-4E48-A94B-59491973F739}"/>
    <cellStyle name="SAPBEXinputData 3 2 5" xfId="1710" xr:uid="{7AA6126F-332E-40D7-8BA8-994F8E2EDC98}"/>
    <cellStyle name="SAPBEXinputData 3 2 5 2" xfId="2097" xr:uid="{1FF4BD47-D98D-4F6B-9612-765A2ABD413A}"/>
    <cellStyle name="SAPBEXinputData 3 2 5 2 2" xfId="2935" xr:uid="{7823D7AF-2470-4345-B628-926266C299D5}"/>
    <cellStyle name="SAPBEXinputData 3 2 5 2 2 2" xfId="5370" xr:uid="{49B6AD80-CA01-4D4B-BC28-325395101598}"/>
    <cellStyle name="SAPBEXinputData 3 2 5 2 3" xfId="4614" xr:uid="{F3D9255A-0898-4EC6-A276-F8542C3AA563}"/>
    <cellStyle name="SAPBEXinputData 3 2 5 3" xfId="2580" xr:uid="{EC90F5FD-D4F5-4F91-B837-532FAEECA4CB}"/>
    <cellStyle name="SAPBEXinputData 3 2 5 3 2" xfId="5015" xr:uid="{D7158EA9-BBFD-4ED0-9AB4-B331E64F3D29}"/>
    <cellStyle name="SAPBEXinputData 3 2 5 4" xfId="4245" xr:uid="{56424AA1-2A39-4898-BC17-920ECF0DE06F}"/>
    <cellStyle name="SAPBEXinputData 3 2 6" xfId="1927" xr:uid="{2DCAAEF4-3A18-4631-A305-AF391C47E61D}"/>
    <cellStyle name="SAPBEXinputData 3 2 6 2" xfId="2765" xr:uid="{0D56C213-040A-48FF-B6D8-A286984A10AA}"/>
    <cellStyle name="SAPBEXinputData 3 2 6 2 2" xfId="5200" xr:uid="{F22678BA-2B47-4A10-93CA-6F85AA44929F}"/>
    <cellStyle name="SAPBEXinputData 3 2 6 3" xfId="4444" xr:uid="{586B3576-219B-499E-951B-A1A9A16C7C4F}"/>
    <cellStyle name="SAPBEXinputData 3 2 7" xfId="2569" xr:uid="{3C9E0BEB-F2FC-4601-9BD9-9976393D77A1}"/>
    <cellStyle name="SAPBEXinputData 3 2 7 2" xfId="5004" xr:uid="{D324CAF6-7D73-4F48-A1C4-BBCC508D2A2D}"/>
    <cellStyle name="SAPBEXinputData 3 2 8" xfId="4234" xr:uid="{AD23C2D4-DF61-467D-A06F-47EA196AE0E1}"/>
    <cellStyle name="SAPBEXinputData 3 3" xfId="1711" xr:uid="{91996F28-14AE-4835-B37C-0E933BE052B5}"/>
    <cellStyle name="SAPBEXinputData 3 3 2" xfId="1712" xr:uid="{E267E28A-1EB7-41D0-A906-17C08C79854F}"/>
    <cellStyle name="SAPBEXinputData 3 3 2 2" xfId="1713" xr:uid="{CB9CDCEE-BDFF-43C6-BD48-83334761FFFD}"/>
    <cellStyle name="SAPBEXinputData 3 3 2 2 2" xfId="2104" xr:uid="{8DBF22E0-83E6-417B-8705-D819110FF003}"/>
    <cellStyle name="SAPBEXinputData 3 3 2 2 2 2" xfId="2942" xr:uid="{D23364FC-685F-4EC3-828A-EFB00BD9ADA1}"/>
    <cellStyle name="SAPBEXinputData 3 3 2 2 2 2 2" xfId="5377" xr:uid="{BAFA45DD-5923-496F-8CB3-5505177BB969}"/>
    <cellStyle name="SAPBEXinputData 3 3 2 2 2 3" xfId="4621" xr:uid="{F9D30D69-B85D-4EEA-B5B6-E0521D81FE57}"/>
    <cellStyle name="SAPBEXinputData 3 3 2 2 3" xfId="2583" xr:uid="{2FB5F220-EEFB-44FE-98CB-3131F12155B0}"/>
    <cellStyle name="SAPBEXinputData 3 3 2 2 3 2" xfId="5018" xr:uid="{8F5334EF-A364-4879-B512-91B9B4690F50}"/>
    <cellStyle name="SAPBEXinputData 3 3 2 2 4" xfId="4248" xr:uid="{6F812BE6-06CD-44F5-A1EF-6F5520AB757C}"/>
    <cellStyle name="SAPBEXinputData 3 3 2 3" xfId="1934" xr:uid="{1ECFBDC3-44E8-4C5D-A86F-CE39CFCF9D1D}"/>
    <cellStyle name="SAPBEXinputData 3 3 2 3 2" xfId="2772" xr:uid="{F5716692-C209-413B-B8E9-2B44814AF0FD}"/>
    <cellStyle name="SAPBEXinputData 3 3 2 3 2 2" xfId="5207" xr:uid="{22B9B60C-420A-405A-8012-1FF82D90E104}"/>
    <cellStyle name="SAPBEXinputData 3 3 2 3 3" xfId="4451" xr:uid="{B0DAC841-BDC1-4C39-B2C2-2E5B85234BB0}"/>
    <cellStyle name="SAPBEXinputData 3 3 2 4" xfId="2582" xr:uid="{6B97D162-B437-46BE-A40A-228959DE96BA}"/>
    <cellStyle name="SAPBEXinputData 3 3 2 4 2" xfId="5017" xr:uid="{B4EE16FA-5B18-466D-B74F-2E3A564D0EF9}"/>
    <cellStyle name="SAPBEXinputData 3 3 2 5" xfId="4247" xr:uid="{2C137BAA-D27D-40D8-A92B-3A1EF393B717}"/>
    <cellStyle name="SAPBEXinputData 3 3 3" xfId="1714" xr:uid="{2BF9BE9D-4FAB-43CB-855B-C7865BD38BE0}"/>
    <cellStyle name="SAPBEXinputData 3 3 3 2" xfId="1715" xr:uid="{3CAC144B-5D74-428C-82A0-0A24E95A957A}"/>
    <cellStyle name="SAPBEXinputData 3 3 3 2 2" xfId="2105" xr:uid="{8A637E50-982D-4125-B29C-70C494F4B933}"/>
    <cellStyle name="SAPBEXinputData 3 3 3 2 2 2" xfId="2943" xr:uid="{3367BC72-3A10-4B85-9BC7-4C5D793A9A3C}"/>
    <cellStyle name="SAPBEXinputData 3 3 3 2 2 2 2" xfId="5378" xr:uid="{65EDA595-DA97-4DE3-86AC-36228A0416EE}"/>
    <cellStyle name="SAPBEXinputData 3 3 3 2 2 3" xfId="4622" xr:uid="{37DEDC46-02C9-46FC-8A86-CA2F738FB79D}"/>
    <cellStyle name="SAPBEXinputData 3 3 3 2 3" xfId="2585" xr:uid="{79481D60-6783-4AB2-877E-B0985AE06EDC}"/>
    <cellStyle name="SAPBEXinputData 3 3 3 2 3 2" xfId="5020" xr:uid="{6D45E1CF-8888-43FB-8793-406AFBBE6D22}"/>
    <cellStyle name="SAPBEXinputData 3 3 3 2 4" xfId="4250" xr:uid="{B8195268-A1AA-41E2-8AFE-6CFD6772EB91}"/>
    <cellStyle name="SAPBEXinputData 3 3 3 3" xfId="1935" xr:uid="{27ADB23A-A418-4A14-AC22-A4E8A8C4F24C}"/>
    <cellStyle name="SAPBEXinputData 3 3 3 3 2" xfId="2773" xr:uid="{E22F1A86-4D5C-4D34-93B2-953F68ED9945}"/>
    <cellStyle name="SAPBEXinputData 3 3 3 3 2 2" xfId="5208" xr:uid="{990B18E2-238C-45FD-B92A-8E52D5DDC8F3}"/>
    <cellStyle name="SAPBEXinputData 3 3 3 3 3" xfId="4452" xr:uid="{9389F7A5-FD50-412C-A235-6D656FEF72FB}"/>
    <cellStyle name="SAPBEXinputData 3 3 3 4" xfId="2584" xr:uid="{A9A9F4E4-E5C1-4FFF-A799-76F15328A3F7}"/>
    <cellStyle name="SAPBEXinputData 3 3 3 4 2" xfId="5019" xr:uid="{0C85DBA7-7A19-487C-A403-E74C06D9434B}"/>
    <cellStyle name="SAPBEXinputData 3 3 3 5" xfId="4249" xr:uid="{B47C5001-576A-4B60-BAEF-3E57E7B83CE5}"/>
    <cellStyle name="SAPBEXinputData 3 3 4" xfId="1716" xr:uid="{4D408A54-B5ED-40E4-923A-D8467199F613}"/>
    <cellStyle name="SAPBEXinputData 3 3 4 2" xfId="2103" xr:uid="{8F93ED7B-ECC5-4FFB-AE7B-E7D4E848FF5A}"/>
    <cellStyle name="SAPBEXinputData 3 3 4 2 2" xfId="2941" xr:uid="{10465F02-F2E7-4FCE-86CD-FDFAB56EFA2E}"/>
    <cellStyle name="SAPBEXinputData 3 3 4 2 2 2" xfId="5376" xr:uid="{CD5AABA8-A491-4EB0-934B-6654CBAC758E}"/>
    <cellStyle name="SAPBEXinputData 3 3 4 2 3" xfId="4620" xr:uid="{33F07994-5014-4C5A-AF55-ABACB651182D}"/>
    <cellStyle name="SAPBEXinputData 3 3 4 3" xfId="2586" xr:uid="{0AB524D2-C6E2-435F-8C75-99AC390E6EEA}"/>
    <cellStyle name="SAPBEXinputData 3 3 4 3 2" xfId="5021" xr:uid="{C9119ED5-20D8-4A66-B065-2E8F5F87244B}"/>
    <cellStyle name="SAPBEXinputData 3 3 4 4" xfId="4251" xr:uid="{81C586F6-62E9-4A61-9A4B-E447EB4FDA90}"/>
    <cellStyle name="SAPBEXinputData 3 3 5" xfId="1933" xr:uid="{82E14327-FC2E-42F1-A990-3EA35D112C92}"/>
    <cellStyle name="SAPBEXinputData 3 3 5 2" xfId="2771" xr:uid="{5BF0BF84-C591-4C44-AB95-50AE4CE8BA6D}"/>
    <cellStyle name="SAPBEXinputData 3 3 5 2 2" xfId="5206" xr:uid="{298C2A0F-DEE3-4662-A741-6F00991DB950}"/>
    <cellStyle name="SAPBEXinputData 3 3 5 3" xfId="4450" xr:uid="{339EA93A-475F-4BBB-9C15-261CA323E7DA}"/>
    <cellStyle name="SAPBEXinputData 3 3 6" xfId="2581" xr:uid="{762A5257-34DD-4611-B4D5-CB2B981C6F48}"/>
    <cellStyle name="SAPBEXinputData 3 3 6 2" xfId="5016" xr:uid="{6CDF7C48-ED0B-4D6A-8EF2-9C357D48C6E9}"/>
    <cellStyle name="SAPBEXinputData 3 3 7" xfId="4246" xr:uid="{46C5EE81-3784-4312-9B2D-A78D3E92F8DB}"/>
    <cellStyle name="SAPBEXinputData 3 4" xfId="1717" xr:uid="{DED8D001-BFA1-4383-B8A0-E990A6A3E58C}"/>
    <cellStyle name="SAPBEXinputData 3 4 2" xfId="1718" xr:uid="{B93EAE69-F8E5-4083-ABD2-51DB61B3220F}"/>
    <cellStyle name="SAPBEXinputData 3 4 2 2" xfId="2106" xr:uid="{93862EDE-D185-48BB-869D-8D4D6E48F987}"/>
    <cellStyle name="SAPBEXinputData 3 4 2 2 2" xfId="2944" xr:uid="{09729F31-54AD-4830-B976-8EF6367B70A4}"/>
    <cellStyle name="SAPBEXinputData 3 4 2 2 2 2" xfId="5379" xr:uid="{85627A21-6D5A-440D-94FE-11CE132F4A12}"/>
    <cellStyle name="SAPBEXinputData 3 4 2 2 3" xfId="4623" xr:uid="{D2ED13E9-13E2-4399-82E9-9B1FCFBB7CFC}"/>
    <cellStyle name="SAPBEXinputData 3 4 2 3" xfId="2588" xr:uid="{E42E7BEE-5108-493C-9706-BBC294382E90}"/>
    <cellStyle name="SAPBEXinputData 3 4 2 3 2" xfId="5023" xr:uid="{AF21F321-9E16-41E0-968F-5CD90BEC3E8A}"/>
    <cellStyle name="SAPBEXinputData 3 4 2 4" xfId="4253" xr:uid="{A2A23581-F397-4E50-9529-40DC3DCA039D}"/>
    <cellStyle name="SAPBEXinputData 3 4 3" xfId="1936" xr:uid="{F1C7D784-5A72-41BB-8BE1-52DF61EE07FA}"/>
    <cellStyle name="SAPBEXinputData 3 4 3 2" xfId="2774" xr:uid="{701F95A4-0EDA-41F0-B6E2-8FBB9351C097}"/>
    <cellStyle name="SAPBEXinputData 3 4 3 2 2" xfId="5209" xr:uid="{AEE03905-7F0E-461B-B992-E0FBA6D101D8}"/>
    <cellStyle name="SAPBEXinputData 3 4 3 3" xfId="4453" xr:uid="{85C6664D-AA62-46B0-B731-F815F59D857E}"/>
    <cellStyle name="SAPBEXinputData 3 4 4" xfId="2587" xr:uid="{E56333AD-37C3-426D-8AB9-AD73E2B0DAE9}"/>
    <cellStyle name="SAPBEXinputData 3 4 4 2" xfId="5022" xr:uid="{8EB0932C-C033-4E2B-A753-803EC4876EDC}"/>
    <cellStyle name="SAPBEXinputData 3 4 5" xfId="4252" xr:uid="{26DDA670-9357-447E-9137-89B91F7E30E3}"/>
    <cellStyle name="SAPBEXinputData 3 5" xfId="1719" xr:uid="{16BFFB29-3A13-4DF1-BD21-094AE0AEDF19}"/>
    <cellStyle name="SAPBEXinputData 3 5 2" xfId="1720" xr:uid="{498D8D6B-70E9-4394-9E38-DC350F4BDB90}"/>
    <cellStyle name="SAPBEXinputData 3 5 2 2" xfId="2107" xr:uid="{956C48D7-A560-4631-9A69-5990542694D3}"/>
    <cellStyle name="SAPBEXinputData 3 5 2 2 2" xfId="2945" xr:uid="{D000C9E1-9011-4E7D-8907-B6847999FE91}"/>
    <cellStyle name="SAPBEXinputData 3 5 2 2 2 2" xfId="5380" xr:uid="{85C2270B-3E6B-448C-AE79-91032951C3DD}"/>
    <cellStyle name="SAPBEXinputData 3 5 2 2 3" xfId="4624" xr:uid="{F6422E0D-5714-4885-AB46-6625534ECA44}"/>
    <cellStyle name="SAPBEXinputData 3 5 2 3" xfId="2590" xr:uid="{4D66178D-F3EC-45C6-93BD-D35A7A050298}"/>
    <cellStyle name="SAPBEXinputData 3 5 2 3 2" xfId="5025" xr:uid="{146E2E40-16FD-4582-9934-AB09A0D5A769}"/>
    <cellStyle name="SAPBEXinputData 3 5 2 4" xfId="4255" xr:uid="{65B9FAFF-6B30-458E-B065-79B51421F138}"/>
    <cellStyle name="SAPBEXinputData 3 5 3" xfId="1937" xr:uid="{8478C87B-EA67-47D7-8E48-4F864B5B9C06}"/>
    <cellStyle name="SAPBEXinputData 3 5 3 2" xfId="2775" xr:uid="{43B3F61D-8489-4CFF-A08C-3C832FF9D56B}"/>
    <cellStyle name="SAPBEXinputData 3 5 3 2 2" xfId="5210" xr:uid="{2920D18B-4531-49DA-8759-C47BC98B832B}"/>
    <cellStyle name="SAPBEXinputData 3 5 3 3" xfId="4454" xr:uid="{36A81AB0-CD38-4116-B97A-3CA92D0A5B72}"/>
    <cellStyle name="SAPBEXinputData 3 5 4" xfId="2589" xr:uid="{81B53D3E-A5D6-4ADE-9D84-6C400B8B5687}"/>
    <cellStyle name="SAPBEXinputData 3 5 4 2" xfId="5024" xr:uid="{77701A65-87EC-4215-A9F2-C2EDB6E55883}"/>
    <cellStyle name="SAPBEXinputData 3 5 5" xfId="4254" xr:uid="{B700A44E-76B2-4C79-8953-9F63333C1CF6}"/>
    <cellStyle name="SAPBEXinputData 3 6" xfId="1721" xr:uid="{8D92FC36-DCD2-4FE9-895B-4EEC31657FDB}"/>
    <cellStyle name="SAPBEXinputData 3 6 2" xfId="2096" xr:uid="{F4E9A190-476B-4810-AA58-EE2746A72E56}"/>
    <cellStyle name="SAPBEXinputData 3 6 2 2" xfId="2934" xr:uid="{1615206E-F9D2-44E3-AC2D-0A57CEF6212B}"/>
    <cellStyle name="SAPBEXinputData 3 6 2 2 2" xfId="5369" xr:uid="{5C78FA22-6476-4EF1-8E41-25EB80EFD0C3}"/>
    <cellStyle name="SAPBEXinputData 3 6 2 3" xfId="4613" xr:uid="{199D51ED-7836-46FA-A070-BDDE3471703E}"/>
    <cellStyle name="SAPBEXinputData 3 6 3" xfId="2591" xr:uid="{59957EFD-77FF-4D98-88D2-B46D41BAD10A}"/>
    <cellStyle name="SAPBEXinputData 3 6 3 2" xfId="5026" xr:uid="{070F42D5-8280-46E5-B165-E812C6D66884}"/>
    <cellStyle name="SAPBEXinputData 3 6 4" xfId="4256" xr:uid="{2E0E3F1A-DE7D-4519-92D2-F691F534B5F7}"/>
    <cellStyle name="SAPBEXinputData 3 7" xfId="1926" xr:uid="{1DDF0F80-74EA-4C2E-ADDC-0D1D081FB545}"/>
    <cellStyle name="SAPBEXinputData 3 7 2" xfId="2764" xr:uid="{224F7EBB-9B2B-47D3-B3C9-6F7B174F7596}"/>
    <cellStyle name="SAPBEXinputData 3 7 2 2" xfId="5199" xr:uid="{7A972553-56F5-43C5-9E31-5E05AF8CCC14}"/>
    <cellStyle name="SAPBEXinputData 3 7 3" xfId="4443" xr:uid="{AB1FCD97-DDDC-4423-8F0A-4308AE098F3A}"/>
    <cellStyle name="SAPBEXinputData 3 8" xfId="2568" xr:uid="{646A1240-742C-4B5D-86DC-F7A85D1E5C7E}"/>
    <cellStyle name="SAPBEXinputData 3 8 2" xfId="5003" xr:uid="{4CC097A4-D900-4F85-A639-D8358725EBB6}"/>
    <cellStyle name="SAPBEXinputData 3 9" xfId="4233" xr:uid="{258B7CE2-FFEA-43F2-905A-22EFE8695FE8}"/>
    <cellStyle name="SAPBEXinputData 4" xfId="1722" xr:uid="{F86C70C2-D51C-4681-99E7-379267F8BFEF}"/>
    <cellStyle name="SAPBEXinputData 4 2" xfId="1723" xr:uid="{6A0B938B-16EF-4685-9D6D-1A28B283B0DE}"/>
    <cellStyle name="SAPBEXinputData 4 2 2" xfId="1724" xr:uid="{50189E35-EEAD-47DC-B51A-A453604F9694}"/>
    <cellStyle name="SAPBEXinputData 4 2 2 2" xfId="1725" xr:uid="{8F549E5B-8BAD-4B11-A95A-E3A081454539}"/>
    <cellStyle name="SAPBEXinputData 4 2 2 2 2" xfId="2110" xr:uid="{422ABE01-94B9-4E22-A433-E9136F6C82FD}"/>
    <cellStyle name="SAPBEXinputData 4 2 2 2 2 2" xfId="2948" xr:uid="{3A55464A-FFD0-46E2-BA49-F00EDF5F53A8}"/>
    <cellStyle name="SAPBEXinputData 4 2 2 2 2 2 2" xfId="5383" xr:uid="{DB24497E-2015-4BDD-B3F2-A5DB0B5ADDB3}"/>
    <cellStyle name="SAPBEXinputData 4 2 2 2 2 3" xfId="4627" xr:uid="{BA92D004-E528-4614-BACF-AF8F64A2A860}"/>
    <cellStyle name="SAPBEXinputData 4 2 2 2 3" xfId="2595" xr:uid="{2EAE74A1-CDF6-40CF-B62F-3D9D82DB721F}"/>
    <cellStyle name="SAPBEXinputData 4 2 2 2 3 2" xfId="5030" xr:uid="{292861AB-3164-4093-9B3A-7AE83A2FD823}"/>
    <cellStyle name="SAPBEXinputData 4 2 2 2 4" xfId="4260" xr:uid="{BAA1AA0C-540E-4FBE-832F-D88C5A86F70A}"/>
    <cellStyle name="SAPBEXinputData 4 2 2 3" xfId="1940" xr:uid="{88B75914-9B56-46B7-A624-5A08AB9400DA}"/>
    <cellStyle name="SAPBEXinputData 4 2 2 3 2" xfId="2778" xr:uid="{28DAA0EE-37E3-499D-A984-9C70D1C841FF}"/>
    <cellStyle name="SAPBEXinputData 4 2 2 3 2 2" xfId="5213" xr:uid="{05E3E233-41C0-4329-9007-EB15B51CA0FC}"/>
    <cellStyle name="SAPBEXinputData 4 2 2 3 3" xfId="4457" xr:uid="{1AEDFAF7-7841-4500-A278-B35FE117F462}"/>
    <cellStyle name="SAPBEXinputData 4 2 2 4" xfId="2594" xr:uid="{6D0E931D-F845-4D84-8BD1-632459D01994}"/>
    <cellStyle name="SAPBEXinputData 4 2 2 4 2" xfId="5029" xr:uid="{689FBF51-9D30-4597-9729-8A99F80E3553}"/>
    <cellStyle name="SAPBEXinputData 4 2 2 5" xfId="4259" xr:uid="{91D329EF-E3A0-4456-957E-BE1443382FC6}"/>
    <cellStyle name="SAPBEXinputData 4 2 3" xfId="1726" xr:uid="{8DB53F7D-BA0B-4062-9C40-FF820ACA9D40}"/>
    <cellStyle name="SAPBEXinputData 4 2 3 2" xfId="1727" xr:uid="{C6A58774-E25B-42A1-884C-3A22196D08C3}"/>
    <cellStyle name="SAPBEXinputData 4 2 3 2 2" xfId="2111" xr:uid="{77E60597-9230-4339-9597-9482BEE23384}"/>
    <cellStyle name="SAPBEXinputData 4 2 3 2 2 2" xfId="2949" xr:uid="{63721460-05E8-4A6C-8D94-CD85342547E8}"/>
    <cellStyle name="SAPBEXinputData 4 2 3 2 2 2 2" xfId="5384" xr:uid="{75838B51-5ADC-4146-AD65-DDA87FC3A936}"/>
    <cellStyle name="SAPBEXinputData 4 2 3 2 2 3" xfId="4628" xr:uid="{2C4CB1CE-0B61-44C0-B7BD-0B1A0ECFCDD1}"/>
    <cellStyle name="SAPBEXinputData 4 2 3 2 3" xfId="2597" xr:uid="{B1902837-7A3A-40AD-A158-2C138FD38254}"/>
    <cellStyle name="SAPBEXinputData 4 2 3 2 3 2" xfId="5032" xr:uid="{63439BF6-60F9-4D11-9CDE-8D50FFFDEE01}"/>
    <cellStyle name="SAPBEXinputData 4 2 3 2 4" xfId="4262" xr:uid="{AA03456B-05AB-4043-BBDD-1DBA2A689170}"/>
    <cellStyle name="SAPBEXinputData 4 2 3 3" xfId="1941" xr:uid="{B01859D4-A00B-41D3-B2AC-A94E0B54FBB3}"/>
    <cellStyle name="SAPBEXinputData 4 2 3 3 2" xfId="2779" xr:uid="{AC1015E7-4002-4B32-89A2-26B19218282A}"/>
    <cellStyle name="SAPBEXinputData 4 2 3 3 2 2" xfId="5214" xr:uid="{9D05F15A-20D5-4D15-883B-C53AF27664E3}"/>
    <cellStyle name="SAPBEXinputData 4 2 3 3 3" xfId="4458" xr:uid="{DBD4C37F-F051-4CE9-86A9-2693B08F5F99}"/>
    <cellStyle name="SAPBEXinputData 4 2 3 4" xfId="2596" xr:uid="{D4F25CC6-122A-49F4-8288-B1C578DDF1ED}"/>
    <cellStyle name="SAPBEXinputData 4 2 3 4 2" xfId="5031" xr:uid="{CC3D40C8-7B91-4FFE-A87E-4E8F64C45619}"/>
    <cellStyle name="SAPBEXinputData 4 2 3 5" xfId="4261" xr:uid="{3C2FB233-1FED-412A-AA2F-6AB865A28849}"/>
    <cellStyle name="SAPBEXinputData 4 2 4" xfId="1728" xr:uid="{34D7F090-6CC1-47B5-B2F5-CCFB4A0CE391}"/>
    <cellStyle name="SAPBEXinputData 4 2 4 2" xfId="2109" xr:uid="{0F1E612D-452F-46DF-B4EB-A7F9FB9D9198}"/>
    <cellStyle name="SAPBEXinputData 4 2 4 2 2" xfId="2947" xr:uid="{82EE6838-DA26-4DF2-AD0F-66E97F4FF867}"/>
    <cellStyle name="SAPBEXinputData 4 2 4 2 2 2" xfId="5382" xr:uid="{8A855AE8-D107-4622-93E0-9274B57DCB4C}"/>
    <cellStyle name="SAPBEXinputData 4 2 4 2 3" xfId="4626" xr:uid="{B36CB8DA-4543-4C96-9894-B5CA1A2700D2}"/>
    <cellStyle name="SAPBEXinputData 4 2 4 3" xfId="2598" xr:uid="{6915977F-6868-4F0E-A54B-CE51D3E66155}"/>
    <cellStyle name="SAPBEXinputData 4 2 4 3 2" xfId="5033" xr:uid="{68F37A7B-3E4E-4462-B585-6B51669194AF}"/>
    <cellStyle name="SAPBEXinputData 4 2 4 4" xfId="4263" xr:uid="{8DD07F0B-95DA-4D8A-97C6-2279A984147C}"/>
    <cellStyle name="SAPBEXinputData 4 2 5" xfId="1939" xr:uid="{5EB2C34E-A30C-4BC4-8AAC-678F3E9E0313}"/>
    <cellStyle name="SAPBEXinputData 4 2 5 2" xfId="2777" xr:uid="{F7B7B427-AE75-4512-840E-B573F17E34C6}"/>
    <cellStyle name="SAPBEXinputData 4 2 5 2 2" xfId="5212" xr:uid="{6C33964B-DD4D-4849-8395-57388C2CE013}"/>
    <cellStyle name="SAPBEXinputData 4 2 5 3" xfId="4456" xr:uid="{5D6D2D47-CA1E-4A11-BFB4-38C2704A193F}"/>
    <cellStyle name="SAPBEXinputData 4 2 6" xfId="2593" xr:uid="{2BD2FBB2-CE01-4772-9C0A-1C4E0A555D94}"/>
    <cellStyle name="SAPBEXinputData 4 2 6 2" xfId="5028" xr:uid="{22E2781C-3BDE-487C-8882-C5FD7E2F5463}"/>
    <cellStyle name="SAPBEXinputData 4 2 7" xfId="4258" xr:uid="{AEAE8C13-EF09-43B7-BC73-7B68656A8B45}"/>
    <cellStyle name="SAPBEXinputData 4 3" xfId="1729" xr:uid="{BFCCA7AE-8AA1-46BC-B0E3-F92303DFB6EB}"/>
    <cellStyle name="SAPBEXinputData 4 3 2" xfId="1730" xr:uid="{22EAA5F7-03A3-4E85-B740-9E9DB18A47E7}"/>
    <cellStyle name="SAPBEXinputData 4 3 2 2" xfId="2112" xr:uid="{E5A49941-6E9E-4A02-8987-5924A1FE3F16}"/>
    <cellStyle name="SAPBEXinputData 4 3 2 2 2" xfId="2950" xr:uid="{57D30073-9DC2-4ED6-8203-17AFA49BA9C0}"/>
    <cellStyle name="SAPBEXinputData 4 3 2 2 2 2" xfId="5385" xr:uid="{D4F65CA6-9B7E-407F-AE2E-0A3A6E00BF5A}"/>
    <cellStyle name="SAPBEXinputData 4 3 2 2 3" xfId="4629" xr:uid="{5B87D475-F3E2-4888-8D10-F085C75587F8}"/>
    <cellStyle name="SAPBEXinputData 4 3 2 3" xfId="2600" xr:uid="{C8C8EFCE-76E0-4C40-AE54-1640848F4E8E}"/>
    <cellStyle name="SAPBEXinputData 4 3 2 3 2" xfId="5035" xr:uid="{36633675-18A7-40F1-B8F1-CE32215C91BC}"/>
    <cellStyle name="SAPBEXinputData 4 3 2 4" xfId="4265" xr:uid="{36FC3921-2893-4988-B594-27935BEFD7D9}"/>
    <cellStyle name="SAPBEXinputData 4 3 3" xfId="1942" xr:uid="{8E6CC0FA-E2E0-4CB4-BB52-DA182DBA2F2A}"/>
    <cellStyle name="SAPBEXinputData 4 3 3 2" xfId="2780" xr:uid="{75DB3914-4466-443D-9D9D-23BB075DB32E}"/>
    <cellStyle name="SAPBEXinputData 4 3 3 2 2" xfId="5215" xr:uid="{277D1994-E483-47BF-B463-4E62C9E6BB77}"/>
    <cellStyle name="SAPBEXinputData 4 3 3 3" xfId="4459" xr:uid="{919F7574-DA32-4BBB-B4E4-E838694CE98C}"/>
    <cellStyle name="SAPBEXinputData 4 3 4" xfId="2599" xr:uid="{7EADADB6-353A-4EF0-92C0-E5709730C644}"/>
    <cellStyle name="SAPBEXinputData 4 3 4 2" xfId="5034" xr:uid="{4C7FD76F-85E3-4721-8293-0071DFF217CE}"/>
    <cellStyle name="SAPBEXinputData 4 3 5" xfId="4264" xr:uid="{1DC9F9CE-EE78-490E-8076-06A3637C7D09}"/>
    <cellStyle name="SAPBEXinputData 4 4" xfId="1731" xr:uid="{1DF2D2FA-FD80-4EFE-9FDF-BA3A5639E8EB}"/>
    <cellStyle name="SAPBEXinputData 4 4 2" xfId="1732" xr:uid="{159A95B9-2DF0-49C0-ACFA-3311E142DDF7}"/>
    <cellStyle name="SAPBEXinputData 4 4 2 2" xfId="2113" xr:uid="{A180B4C3-EFF8-416C-B84D-5EC5638E7710}"/>
    <cellStyle name="SAPBEXinputData 4 4 2 2 2" xfId="2951" xr:uid="{4112376F-6FB6-41E2-88E9-FB61C30087E1}"/>
    <cellStyle name="SAPBEXinputData 4 4 2 2 2 2" xfId="5386" xr:uid="{F6D22EFF-9ED7-4246-B792-7F8F6D2B4D45}"/>
    <cellStyle name="SAPBEXinputData 4 4 2 2 3" xfId="4630" xr:uid="{BA185174-24EC-4EAF-B463-6ED9A7E87626}"/>
    <cellStyle name="SAPBEXinputData 4 4 2 3" xfId="2602" xr:uid="{B14EB756-E5A7-475E-8E29-6F837E480DEE}"/>
    <cellStyle name="SAPBEXinputData 4 4 2 3 2" xfId="5037" xr:uid="{985E592D-44E3-4A83-B9D9-19592174D9A4}"/>
    <cellStyle name="SAPBEXinputData 4 4 2 4" xfId="4267" xr:uid="{2693DD9B-FD52-4063-A116-C7B9893BA4D6}"/>
    <cellStyle name="SAPBEXinputData 4 4 3" xfId="1943" xr:uid="{ECD161EF-C41C-4218-B765-E7300B860C18}"/>
    <cellStyle name="SAPBEXinputData 4 4 3 2" xfId="2781" xr:uid="{1310E3C7-9AB5-4A77-899B-54BAACD49821}"/>
    <cellStyle name="SAPBEXinputData 4 4 3 2 2" xfId="5216" xr:uid="{85C67C44-F4E4-433C-887E-28693F5F1827}"/>
    <cellStyle name="SAPBEXinputData 4 4 3 3" xfId="4460" xr:uid="{338161AE-DEBD-417D-BB62-7ADF5DFCCB19}"/>
    <cellStyle name="SAPBEXinputData 4 4 4" xfId="2601" xr:uid="{FABC820D-BA09-42D3-85E4-95AA0D20124A}"/>
    <cellStyle name="SAPBEXinputData 4 4 4 2" xfId="5036" xr:uid="{91735020-016A-40ED-ABFC-F2F1D65593D6}"/>
    <cellStyle name="SAPBEXinputData 4 4 5" xfId="4266" xr:uid="{040625C5-4964-43F5-9137-FCFFD53CBA18}"/>
    <cellStyle name="SAPBEXinputData 4 5" xfId="1733" xr:uid="{BCB4BDFE-4CF9-44D0-BE0D-5D9459CD7CE6}"/>
    <cellStyle name="SAPBEXinputData 4 5 2" xfId="2108" xr:uid="{28A472B6-00FC-484A-82AE-37019F78F01D}"/>
    <cellStyle name="SAPBEXinputData 4 5 2 2" xfId="2946" xr:uid="{4557CDF0-58A6-46F6-8742-0C9EB966047A}"/>
    <cellStyle name="SAPBEXinputData 4 5 2 2 2" xfId="5381" xr:uid="{22183BD0-81F1-4374-A6AD-860AC0A6266D}"/>
    <cellStyle name="SAPBEXinputData 4 5 2 3" xfId="4625" xr:uid="{071FB007-8162-4B15-A4D3-6620F54A15F4}"/>
    <cellStyle name="SAPBEXinputData 4 5 3" xfId="2603" xr:uid="{C54BF548-223D-4364-9F65-CC04C59043D9}"/>
    <cellStyle name="SAPBEXinputData 4 5 3 2" xfId="5038" xr:uid="{D85394DB-03B5-404B-9BE8-E62837BC5983}"/>
    <cellStyle name="SAPBEXinputData 4 5 4" xfId="4268" xr:uid="{629BF795-64D5-4C2A-A9BA-119405863193}"/>
    <cellStyle name="SAPBEXinputData 4 6" xfId="1938" xr:uid="{ADCF935C-74F4-438C-9B55-C08943C103DF}"/>
    <cellStyle name="SAPBEXinputData 4 6 2" xfId="2776" xr:uid="{C68B494D-9C2F-457B-A575-640E7A037CC7}"/>
    <cellStyle name="SAPBEXinputData 4 6 2 2" xfId="5211" xr:uid="{C535E8A4-5BEC-4AE6-B7C7-F2216A2808DC}"/>
    <cellStyle name="SAPBEXinputData 4 6 3" xfId="4455" xr:uid="{C409E946-C30C-4C06-9DD7-E5FB076F702F}"/>
    <cellStyle name="SAPBEXinputData 4 7" xfId="2592" xr:uid="{B0660C25-8D44-4B4C-98D6-67E5695C59B3}"/>
    <cellStyle name="SAPBEXinputData 4 7 2" xfId="5027" xr:uid="{E2136055-B27A-4F36-9C7A-36A1517C3974}"/>
    <cellStyle name="SAPBEXinputData 4 8" xfId="4257" xr:uid="{C29C5910-C274-41A2-957F-0995510D1B11}"/>
    <cellStyle name="SAPBEXinputData 5" xfId="1734" xr:uid="{0D1EA735-CB7F-4E59-8FA2-2E407DCF8172}"/>
    <cellStyle name="SAPBEXinputData 5 2" xfId="1735" xr:uid="{8395ED8E-4DBE-440E-BA3A-B47179916084}"/>
    <cellStyle name="SAPBEXinputData 5 2 2" xfId="1736" xr:uid="{759DAB5D-8E37-4A17-BA62-9E1CBE47EC3D}"/>
    <cellStyle name="SAPBEXinputData 5 2 2 2" xfId="2115" xr:uid="{F47141D3-E797-4324-AD0E-5F3FFCAD70FD}"/>
    <cellStyle name="SAPBEXinputData 5 2 2 2 2" xfId="2953" xr:uid="{D60F6199-EC52-4599-83DB-87F2408EFB26}"/>
    <cellStyle name="SAPBEXinputData 5 2 2 2 2 2" xfId="5388" xr:uid="{C09E9B4B-E5A9-4548-8816-F675C7099AD2}"/>
    <cellStyle name="SAPBEXinputData 5 2 2 2 3" xfId="4632" xr:uid="{44ED45D8-7BBF-4AE0-98DF-C125DA5CBB94}"/>
    <cellStyle name="SAPBEXinputData 5 2 2 3" xfId="2606" xr:uid="{651D8948-BE09-46F2-9274-65AC252440D8}"/>
    <cellStyle name="SAPBEXinputData 5 2 2 3 2" xfId="5041" xr:uid="{7E7594F6-86D3-488A-BF46-1861A76773A2}"/>
    <cellStyle name="SAPBEXinputData 5 2 2 4" xfId="4271" xr:uid="{3B7A28BE-A37F-4163-BA71-688942BB8E6E}"/>
    <cellStyle name="SAPBEXinputData 5 2 3" xfId="1945" xr:uid="{BBEA4784-D1A6-4899-8798-BD8662343B3B}"/>
    <cellStyle name="SAPBEXinputData 5 2 3 2" xfId="2783" xr:uid="{E5733EF6-8BA0-4D5E-A08E-E1BD63D27CFF}"/>
    <cellStyle name="SAPBEXinputData 5 2 3 2 2" xfId="5218" xr:uid="{8E5FCDE0-1A11-4FD7-B28F-BC3DC0744944}"/>
    <cellStyle name="SAPBEXinputData 5 2 3 3" xfId="4462" xr:uid="{64D4987B-8387-49D1-B008-342AB80FE0AF}"/>
    <cellStyle name="SAPBEXinputData 5 2 4" xfId="2605" xr:uid="{0F0A4A30-63A5-4D4E-BA3D-BD857392CDCD}"/>
    <cellStyle name="SAPBEXinputData 5 2 4 2" xfId="5040" xr:uid="{21CD1FFB-4A17-45DB-AE97-3407E2661ACF}"/>
    <cellStyle name="SAPBEXinputData 5 2 5" xfId="4270" xr:uid="{990C60A4-3200-4B58-884E-820F26A163E9}"/>
    <cellStyle name="SAPBEXinputData 5 3" xfId="1737" xr:uid="{0A35D69B-987D-4CE8-B943-DC73F11B3A41}"/>
    <cellStyle name="SAPBEXinputData 5 3 2" xfId="1738" xr:uid="{21070AFE-0ED0-4224-966E-E6F9AC3CDEED}"/>
    <cellStyle name="SAPBEXinputData 5 3 2 2" xfId="2116" xr:uid="{A82EE016-144B-4E03-87C3-F7F62E516427}"/>
    <cellStyle name="SAPBEXinputData 5 3 2 2 2" xfId="2954" xr:uid="{AA2623FC-C9E6-4708-95D2-29D457565E8C}"/>
    <cellStyle name="SAPBEXinputData 5 3 2 2 2 2" xfId="5389" xr:uid="{A4065314-FBCA-47D3-ACF9-EC32670CB154}"/>
    <cellStyle name="SAPBEXinputData 5 3 2 2 3" xfId="4633" xr:uid="{6DEA340B-B8A3-4798-80CA-A0BC21F926C3}"/>
    <cellStyle name="SAPBEXinputData 5 3 2 3" xfId="2608" xr:uid="{9C3445DF-9509-421C-B633-5F31EC43F1A1}"/>
    <cellStyle name="SAPBEXinputData 5 3 2 3 2" xfId="5043" xr:uid="{09C79892-E37E-4B25-92BA-92300D6EAC21}"/>
    <cellStyle name="SAPBEXinputData 5 3 2 4" xfId="4273" xr:uid="{A9CB53B4-D61A-4A07-B0CA-0DACA8FBF103}"/>
    <cellStyle name="SAPBEXinputData 5 3 3" xfId="1946" xr:uid="{9A203C3B-A693-4550-A338-1D7BF656CF12}"/>
    <cellStyle name="SAPBEXinputData 5 3 3 2" xfId="2784" xr:uid="{61F4CEA1-34B5-47EA-8585-61E838D4A701}"/>
    <cellStyle name="SAPBEXinputData 5 3 3 2 2" xfId="5219" xr:uid="{373C8D0C-1D8C-45BE-8F25-E1FBB320145B}"/>
    <cellStyle name="SAPBEXinputData 5 3 3 3" xfId="4463" xr:uid="{F1005711-D0A9-4972-88D9-00C2154DC3E3}"/>
    <cellStyle name="SAPBEXinputData 5 3 4" xfId="2607" xr:uid="{202778C2-CEDD-4B64-830B-6D01744CF48B}"/>
    <cellStyle name="SAPBEXinputData 5 3 4 2" xfId="5042" xr:uid="{F4615492-DB1A-40E8-8444-2C4760D14F45}"/>
    <cellStyle name="SAPBEXinputData 5 3 5" xfId="4272" xr:uid="{9511D5E0-2698-473E-B75B-D2ED8704C8E9}"/>
    <cellStyle name="SAPBEXinputData 5 4" xfId="1739" xr:uid="{26ED4FF3-3D0E-4E55-8962-0EFE1A87EA87}"/>
    <cellStyle name="SAPBEXinputData 5 4 2" xfId="2114" xr:uid="{0DAF5ED4-E90B-4BD6-91B5-134C1F4F71A4}"/>
    <cellStyle name="SAPBEXinputData 5 4 2 2" xfId="2952" xr:uid="{7AA8DF3C-5F99-4B66-BF47-E1DDE1DC3F00}"/>
    <cellStyle name="SAPBEXinputData 5 4 2 2 2" xfId="5387" xr:uid="{DAC6BDFF-2C4F-445A-81E3-47161DEEAB11}"/>
    <cellStyle name="SAPBEXinputData 5 4 2 3" xfId="4631" xr:uid="{491D71A6-7463-4EB2-8D3B-5174199ECB33}"/>
    <cellStyle name="SAPBEXinputData 5 4 3" xfId="2609" xr:uid="{77591C62-202A-411E-97A4-D92049A492B3}"/>
    <cellStyle name="SAPBEXinputData 5 4 3 2" xfId="5044" xr:uid="{508FA169-600A-4B9A-92CD-E49E54866402}"/>
    <cellStyle name="SAPBEXinputData 5 4 4" xfId="4274" xr:uid="{CE52E37C-8324-478C-84F0-9509F27D1892}"/>
    <cellStyle name="SAPBEXinputData 5 5" xfId="1944" xr:uid="{2BFA106E-7F0D-46CD-9C49-8F67178707F6}"/>
    <cellStyle name="SAPBEXinputData 5 5 2" xfId="2782" xr:uid="{A744B0A5-E6C7-4751-A352-3160158C18A0}"/>
    <cellStyle name="SAPBEXinputData 5 5 2 2" xfId="5217" xr:uid="{8A1256D9-3FCB-4BB8-84A2-BEF40266978C}"/>
    <cellStyle name="SAPBEXinputData 5 5 3" xfId="4461" xr:uid="{20134D7F-AA96-43AC-9D7D-A5F1C56D64BA}"/>
    <cellStyle name="SAPBEXinputData 5 6" xfId="2604" xr:uid="{726AE2ED-CF95-4FED-879B-952EBE38E111}"/>
    <cellStyle name="SAPBEXinputData 5 6 2" xfId="5039" xr:uid="{F3CAD75B-12D1-41C0-9047-3633261C29BE}"/>
    <cellStyle name="SAPBEXinputData 5 7" xfId="4269" xr:uid="{DD21A4ED-9437-4FD0-B6D4-08FC337F7DCD}"/>
    <cellStyle name="SAPBEXinputData 6" xfId="1740" xr:uid="{4DD5EBF9-77D8-4017-8EF3-AF5AE7E80B87}"/>
    <cellStyle name="SAPBEXinputData 6 2" xfId="1741" xr:uid="{0D8B4FBC-D01F-4B09-AC5A-A006F2F19B8F}"/>
    <cellStyle name="SAPBEXinputData 6 2 2" xfId="2117" xr:uid="{C44B2133-6A3C-4FFF-9ADB-170DD1F49A94}"/>
    <cellStyle name="SAPBEXinputData 6 2 2 2" xfId="2955" xr:uid="{609A86C9-2986-41A6-A9C7-94E9E3C8E1B8}"/>
    <cellStyle name="SAPBEXinputData 6 2 2 2 2" xfId="5390" xr:uid="{1BAE9532-E0CA-449E-BB90-2E0C935234BD}"/>
    <cellStyle name="SAPBEXinputData 6 2 2 3" xfId="4634" xr:uid="{3333E0CC-2C0C-4934-A64F-EB42CFA009AB}"/>
    <cellStyle name="SAPBEXinputData 6 2 3" xfId="2611" xr:uid="{28A49CBE-3FFE-47C2-8BB8-2BB510040A4C}"/>
    <cellStyle name="SAPBEXinputData 6 2 3 2" xfId="5046" xr:uid="{5C4CEACC-5884-45CD-857F-0FB8545466B5}"/>
    <cellStyle name="SAPBEXinputData 6 2 4" xfId="4276" xr:uid="{2D50F023-5369-446E-BEAB-A1D0B70E6918}"/>
    <cellStyle name="SAPBEXinputData 6 3" xfId="1947" xr:uid="{576A6C4E-41DF-49A0-8540-39E53DEEFA99}"/>
    <cellStyle name="SAPBEXinputData 6 3 2" xfId="2785" xr:uid="{2AB139A8-2A4E-47B2-A3CC-47E1D9095094}"/>
    <cellStyle name="SAPBEXinputData 6 3 2 2" xfId="5220" xr:uid="{6AB4FEFA-CAFD-4AAD-AFED-3B2D85B3F01B}"/>
    <cellStyle name="SAPBEXinputData 6 3 3" xfId="4464" xr:uid="{6CA8BC08-887F-4E81-A402-34A13CC6E270}"/>
    <cellStyle name="SAPBEXinputData 6 4" xfId="2610" xr:uid="{887F7A9F-2E81-45EB-BF98-C64BF48B37B2}"/>
    <cellStyle name="SAPBEXinputData 6 4 2" xfId="5045" xr:uid="{AFE0C273-E358-464F-9457-3127D54253CE}"/>
    <cellStyle name="SAPBEXinputData 6 5" xfId="4275" xr:uid="{18177171-BAFA-4FB0-8EC5-1D7CA6466A63}"/>
    <cellStyle name="SAPBEXinputData 7" xfId="1742" xr:uid="{8ABF0873-3797-4419-8903-B5D4728A32F3}"/>
    <cellStyle name="SAPBEXinputData 7 2" xfId="1743" xr:uid="{1656F05A-3718-4D62-BAEB-CAC556B88FEA}"/>
    <cellStyle name="SAPBEXinputData 7 2 2" xfId="2118" xr:uid="{EA7862D4-4542-481C-9F5C-07650E851960}"/>
    <cellStyle name="SAPBEXinputData 7 2 2 2" xfId="2956" xr:uid="{340BFD65-C56A-44E5-ACE3-95F851EC276B}"/>
    <cellStyle name="SAPBEXinputData 7 2 2 2 2" xfId="5391" xr:uid="{6FD9090E-73B8-4738-9C2F-07286A6462F2}"/>
    <cellStyle name="SAPBEXinputData 7 2 2 3" xfId="4635" xr:uid="{AA8CB639-F466-4595-9646-8DC5CE5DE12E}"/>
    <cellStyle name="SAPBEXinputData 7 2 3" xfId="2613" xr:uid="{40ACEDCB-1DC8-4B37-8E6B-929F9E502B83}"/>
    <cellStyle name="SAPBEXinputData 7 2 3 2" xfId="5048" xr:uid="{E87FFD49-9450-47D9-BAEC-03E65BDA3C45}"/>
    <cellStyle name="SAPBEXinputData 7 2 4" xfId="4278" xr:uid="{1B0842B4-0ABC-4479-B8C3-BB2659DE9DBE}"/>
    <cellStyle name="SAPBEXinputData 7 3" xfId="1948" xr:uid="{EDFBBEB9-F0DF-4840-B0A1-699AEA3C5305}"/>
    <cellStyle name="SAPBEXinputData 7 3 2" xfId="2786" xr:uid="{4E519B49-4883-4BB5-AA0F-CA1D97D9D500}"/>
    <cellStyle name="SAPBEXinputData 7 3 2 2" xfId="5221" xr:uid="{EEB75EB1-9C2D-44DB-8822-126B0A63442C}"/>
    <cellStyle name="SAPBEXinputData 7 3 3" xfId="4465" xr:uid="{D65761C7-2E13-4A3C-979C-EA31B94CE777}"/>
    <cellStyle name="SAPBEXinputData 7 4" xfId="2612" xr:uid="{79372DB8-D707-42FE-934E-3BE012077E30}"/>
    <cellStyle name="SAPBEXinputData 7 4 2" xfId="5047" xr:uid="{1FA324C4-F787-4630-9AE4-68BA9B4A4DE0}"/>
    <cellStyle name="SAPBEXinputData 7 5" xfId="4277" xr:uid="{CF3D713F-E48D-49D1-A58F-A7ED3F9F7E11}"/>
    <cellStyle name="SAPBEXinputData 8" xfId="1744" xr:uid="{20692C8D-BC70-480B-8AAD-90F3005CB57D}"/>
    <cellStyle name="SAPBEXinputData 8 2" xfId="2095" xr:uid="{776AADCC-CCBF-460C-BD1E-651A2A965DA7}"/>
    <cellStyle name="SAPBEXinputData 8 2 2" xfId="2933" xr:uid="{4A8BA7EB-2204-4E6B-B80B-B0BC613E7BF4}"/>
    <cellStyle name="SAPBEXinputData 8 2 2 2" xfId="5368" xr:uid="{CAFAF4A5-1D5B-4298-A86B-0399B4FDF9F4}"/>
    <cellStyle name="SAPBEXinputData 8 2 3" xfId="4612" xr:uid="{ED19E0DF-C0F0-45F6-8DC0-D5D70D76B258}"/>
    <cellStyle name="SAPBEXinputData 8 3" xfId="2614" xr:uid="{83A102BC-1B4D-4DE9-85C4-E7210BF91455}"/>
    <cellStyle name="SAPBEXinputData 8 3 2" xfId="5049" xr:uid="{4C95BC85-61DA-457C-80FC-9FB98EDFC0C0}"/>
    <cellStyle name="SAPBEXinputData 8 4" xfId="4279" xr:uid="{CEF1BEB9-783D-4BD7-BE97-8140B257B84D}"/>
    <cellStyle name="SAPBEXinputData 9" xfId="1925" xr:uid="{7F807C61-556E-4BEA-A6BB-8C081C68A9C7}"/>
    <cellStyle name="SAPBEXinputData 9 2" xfId="2763" xr:uid="{E6B183FF-7F4A-4D2E-A70B-5061D0BE0491}"/>
    <cellStyle name="SAPBEXinputData 9 2 2" xfId="5198" xr:uid="{ADC63C79-18DE-4C22-BD0A-9086961852F6}"/>
    <cellStyle name="SAPBEXinputData 9 3" xfId="4442" xr:uid="{0F4B45A2-5D7E-4DF8-9241-FC7C06EEAC44}"/>
    <cellStyle name="SAPBEXItemHeader" xfId="1745" xr:uid="{DD6CA560-4A36-483C-8953-1BF231E1EB1F}"/>
    <cellStyle name="SAPBEXItemHeader 2" xfId="3265" xr:uid="{2EC7314F-6A05-4E67-99E1-4DE74E76035E}"/>
    <cellStyle name="SAPBEXItemHeader 2 2" xfId="5639" xr:uid="{30C56DEF-4E2B-405C-8B72-B34B75396D9C}"/>
    <cellStyle name="SAPBEXItemHeader 3" xfId="3060" xr:uid="{0738AF2B-D779-4A85-9E5B-65EDC3B5AF8D}"/>
    <cellStyle name="SAPBEXItemHeader 3 2" xfId="5434" xr:uid="{A7F4E2F9-12E8-452B-8A15-69C7C21F565B}"/>
    <cellStyle name="SAPBEXItemHeader 4" xfId="4280" xr:uid="{0BFF4FDA-CCAB-4644-9DC6-512FC2C90BAA}"/>
    <cellStyle name="SAPBEXresData" xfId="101" xr:uid="{00000000-0005-0000-0000-00004F030000}"/>
    <cellStyle name="SAPBEXresData 2" xfId="139" xr:uid="{00000000-0005-0000-0000-000050030000}"/>
    <cellStyle name="SAPBEXresData 2 2" xfId="3230" xr:uid="{4801B8EF-FC35-473B-82C7-C6A72948F30E}"/>
    <cellStyle name="SAPBEXresData 2 2 2" xfId="5604" xr:uid="{0624EE80-F7D9-4996-8E30-E82A337DE200}"/>
    <cellStyle name="SAPBEXresData 2 3" xfId="3229" xr:uid="{EF224C7C-6E01-407D-9911-6C5CC6050B76}"/>
    <cellStyle name="SAPBEXresData 2 3 2" xfId="5603" xr:uid="{219B1DE0-A694-4F24-BBE8-E86798E3947E}"/>
    <cellStyle name="SAPBEXresData 2 4" xfId="1747" xr:uid="{FBE9E92B-255D-4B37-82A1-B9F118BB2257}"/>
    <cellStyle name="SAPBEXresData 2 4 2" xfId="4282" xr:uid="{AE1C1E15-91F0-4E1D-8ACE-054D398CF8B6}"/>
    <cellStyle name="SAPBEXresData 2 5" xfId="3360" xr:uid="{B24C225E-C21B-4125-860F-24A057731B1D}"/>
    <cellStyle name="SAPBEXresData 3" xfId="3045" xr:uid="{D90D24B0-9330-4026-B44D-E73E2B9A938C}"/>
    <cellStyle name="SAPBEXresData 3 2" xfId="5419" xr:uid="{F724DF32-D76F-49C3-93C9-040DD14483A2}"/>
    <cellStyle name="SAPBEXresData 4" xfId="3165" xr:uid="{576E1856-1214-4D79-A8BD-8B58BF6DE9A9}"/>
    <cellStyle name="SAPBEXresData 4 2" xfId="5539" xr:uid="{9BD21E5D-9171-4223-B93F-6776D4E90B51}"/>
    <cellStyle name="SAPBEXresData 5" xfId="1746" xr:uid="{671C23F3-614D-4F0F-A68D-50BAA3C21D10}"/>
    <cellStyle name="SAPBEXresData 5 2" xfId="4281" xr:uid="{2EE80BA1-2FC2-4E27-A35D-D3FF13DFCCD3}"/>
    <cellStyle name="SAPBEXresData 6" xfId="3340" xr:uid="{8D0E6CB0-323B-492E-99A4-509626816358}"/>
    <cellStyle name="SAPBEXresDataEmph" xfId="102" xr:uid="{00000000-0005-0000-0000-000051030000}"/>
    <cellStyle name="SAPBEXresDataEmph 2" xfId="1749" xr:uid="{1C541A26-0409-45DA-A414-55DDA3080D07}"/>
    <cellStyle name="SAPBEXresDataEmph 2 2" xfId="3104" xr:uid="{05692A21-EEE4-431F-BE09-0D252F5A93D3}"/>
    <cellStyle name="SAPBEXresDataEmph 2 2 2" xfId="5478" xr:uid="{05489A13-E713-4F75-B179-14FD6F338094}"/>
    <cellStyle name="SAPBEXresDataEmph 3" xfId="3109" xr:uid="{FB2B5432-778B-4941-B9D1-6B66B275C095}"/>
    <cellStyle name="SAPBEXresDataEmph 3 2" xfId="5483" xr:uid="{6FFA06BF-2F03-4D6D-933E-F9CDC696C73D}"/>
    <cellStyle name="SAPBEXresDataEmph 4" xfId="3207" xr:uid="{6140352F-6FED-4E25-9619-2297603739B0}"/>
    <cellStyle name="SAPBEXresDataEmph 4 2" xfId="5581" xr:uid="{8D525B17-6D72-4C33-99D5-61107AC512A2}"/>
    <cellStyle name="SAPBEXresDataEmph 5" xfId="1748" xr:uid="{0566DAAE-C3FB-472B-A76C-DB5553C496AB}"/>
    <cellStyle name="SAPBEXresDataEmph 5 2" xfId="4283" xr:uid="{9B20A395-60F6-46D4-ABFD-CD9D942794F4}"/>
    <cellStyle name="SAPBEXresDataEmph 6" xfId="3341" xr:uid="{2C351558-57F9-4B30-85AE-AF21F078E2CF}"/>
    <cellStyle name="SAPBEXresItem" xfId="103" xr:uid="{00000000-0005-0000-0000-000052030000}"/>
    <cellStyle name="SAPBEXresItem 2" xfId="140" xr:uid="{00000000-0005-0000-0000-000053030000}"/>
    <cellStyle name="SAPBEXresItem 2 2" xfId="3271" xr:uid="{ED142BE8-CE84-4036-B482-C8705B9177A4}"/>
    <cellStyle name="SAPBEXresItem 2 2 2" xfId="5645" xr:uid="{9D289A1D-B4EC-429B-8830-AD3D1A0E4D2F}"/>
    <cellStyle name="SAPBEXresItem 2 3" xfId="3145" xr:uid="{59241FFD-4891-43B2-9E20-E0C288986ADF}"/>
    <cellStyle name="SAPBEXresItem 2 3 2" xfId="5519" xr:uid="{1482167A-01DD-4A62-9498-4A8489D5C7EE}"/>
    <cellStyle name="SAPBEXresItem 2 4" xfId="1751" xr:uid="{849A065E-F31F-40FD-95D8-4729FDA2A894}"/>
    <cellStyle name="SAPBEXresItem 2 4 2" xfId="4285" xr:uid="{56994426-548B-44F8-80B1-3D04D1CAD3C6}"/>
    <cellStyle name="SAPBEXresItem 2 5" xfId="3361" xr:uid="{74B7B49B-7A3A-4A98-9E68-AED3F7899087}"/>
    <cellStyle name="SAPBEXresItem 3" xfId="3142" xr:uid="{6790EF59-35F7-49E2-B284-9610B159AD0F}"/>
    <cellStyle name="SAPBEXresItem 3 2" xfId="5516" xr:uid="{C7C2FE81-3996-406C-983D-B9AD904EFB0A}"/>
    <cellStyle name="SAPBEXresItem 4" xfId="3259" xr:uid="{44213227-9F9E-4DC7-9299-F0DB1D31C26F}"/>
    <cellStyle name="SAPBEXresItem 4 2" xfId="5633" xr:uid="{05A02F71-1659-41A1-97D2-DCB23E259CB5}"/>
    <cellStyle name="SAPBEXresItem 5" xfId="1750" xr:uid="{D2F22319-EFC3-4421-8AE6-D304A2DE7E78}"/>
    <cellStyle name="SAPBEXresItem 5 2" xfId="4284" xr:uid="{793EAECF-BAD7-4E9B-A96A-05C28A4E6BB9}"/>
    <cellStyle name="SAPBEXresItem 6" xfId="3342" xr:uid="{CC40826C-A38E-42F4-9802-45EABAD433A3}"/>
    <cellStyle name="SAPBEXresItemX" xfId="104" xr:uid="{00000000-0005-0000-0000-000054030000}"/>
    <cellStyle name="SAPBEXresItemX 2" xfId="141" xr:uid="{00000000-0005-0000-0000-000055030000}"/>
    <cellStyle name="SAPBEXresItemX 2 2" xfId="3184" xr:uid="{53690D77-EBAB-472F-8354-41FE608EA1AB}"/>
    <cellStyle name="SAPBEXresItemX 2 2 2" xfId="5558" xr:uid="{340B422C-0C34-4BFD-BAF3-38659F576C32}"/>
    <cellStyle name="SAPBEXresItemX 2 3" xfId="3078" xr:uid="{0910C8F3-FD5A-4553-AA14-033D8AD3B238}"/>
    <cellStyle name="SAPBEXresItemX 2 3 2" xfId="5452" xr:uid="{CFCBC59C-DC76-4016-BB6B-957945871CF4}"/>
    <cellStyle name="SAPBEXresItemX 2 4" xfId="1753" xr:uid="{AEF461DC-586E-4C07-9D3B-E160EE9E1E14}"/>
    <cellStyle name="SAPBEXresItemX 2 4 2" xfId="4287" xr:uid="{227A3B16-5DCB-4732-8F14-1291E3CB6CB5}"/>
    <cellStyle name="SAPBEXresItemX 2 5" xfId="3362" xr:uid="{55588F35-41B1-4433-A7D2-7F1F3FF4484F}"/>
    <cellStyle name="SAPBEXresItemX 3" xfId="945" xr:uid="{A986BF0C-E6BA-4D74-9C4F-43A03DE97EEB}"/>
    <cellStyle name="SAPBEXresItemX 3 2" xfId="3228" xr:uid="{1F65111D-43F9-4795-AE1F-8D3C9AFA6B34}"/>
    <cellStyle name="SAPBEXresItemX 3 2 2" xfId="5602" xr:uid="{DDC389BE-58B9-440A-B3DB-F3721D26927F}"/>
    <cellStyle name="SAPBEXresItemX 3 3" xfId="3841" xr:uid="{94C83636-6FB2-4964-9281-59A786F7ADA1}"/>
    <cellStyle name="SAPBEXresItemX 4" xfId="3274" xr:uid="{5B955A2D-A3B4-45A6-9EE9-1BB265851C65}"/>
    <cellStyle name="SAPBEXresItemX 4 2" xfId="5648" xr:uid="{06B1B491-76B6-4F63-A68A-6EB743FD0326}"/>
    <cellStyle name="SAPBEXresItemX 5" xfId="1752" xr:uid="{95CABAE8-6F63-425C-A835-3752583C5DB9}"/>
    <cellStyle name="SAPBEXresItemX 5 2" xfId="4286" xr:uid="{DE4D7B77-EADD-4328-9C75-3214F09850A5}"/>
    <cellStyle name="SAPBEXresItemX 6" xfId="3343" xr:uid="{14892A91-01D6-41D4-A8B2-AA7D682ABA7D}"/>
    <cellStyle name="SAPBEXstdData" xfId="105" xr:uid="{00000000-0005-0000-0000-000056030000}"/>
    <cellStyle name="SAPBEXstdData 2" xfId="142" xr:uid="{00000000-0005-0000-0000-000057030000}"/>
    <cellStyle name="SAPBEXstdData 2 2" xfId="1756" xr:uid="{6D0503D9-06FA-4A1E-8978-852D7092B6F7}"/>
    <cellStyle name="SAPBEXstdData 2 2 2" xfId="1757" xr:uid="{C07CBB7E-FCE5-48FC-97C7-E9C047B60693}"/>
    <cellStyle name="SAPBEXstdData 2 2 2 2" xfId="3241" xr:uid="{F66C1BE5-10D8-42DB-A1ED-83AEB2B1AA8C}"/>
    <cellStyle name="SAPBEXstdData 2 2 2 2 2" xfId="5615" xr:uid="{FA1F26BE-9D46-4EF9-9DCF-391E21198CB0}"/>
    <cellStyle name="SAPBEXstdData 2 2 2 3" xfId="3254" xr:uid="{E7E79820-5EC9-40A0-B44A-BBEB895994B0}"/>
    <cellStyle name="SAPBEXstdData 2 2 2 3 2" xfId="5628" xr:uid="{1E2D2907-5334-44A3-A3AB-E0CCA178E968}"/>
    <cellStyle name="SAPBEXstdData 2 2 2 4" xfId="4291" xr:uid="{9B53BCEB-9933-4676-AE64-BC46EC244728}"/>
    <cellStyle name="SAPBEXstdData 2 2 3" xfId="3052" xr:uid="{7E41A4BC-2233-4ADE-B5DB-6629EC38C317}"/>
    <cellStyle name="SAPBEXstdData 2 2 3 2" xfId="5426" xr:uid="{DFC6CAD6-E526-453C-A17E-777BBA7899C1}"/>
    <cellStyle name="SAPBEXstdData 2 2 4" xfId="3301" xr:uid="{1B8A748A-4372-4C18-A2F5-01CFF9879DBB}"/>
    <cellStyle name="SAPBEXstdData 2 2 4 2" xfId="5675" xr:uid="{B09A114B-6E42-4611-B2FC-4BD2F767C49A}"/>
    <cellStyle name="SAPBEXstdData 2 2 5" xfId="4290" xr:uid="{F6589F00-9791-4F28-B16D-C56ED7CC8240}"/>
    <cellStyle name="SAPBEXstdData 2 3" xfId="1758" xr:uid="{E9F317E6-DEB5-40EF-B50A-F9DE0919E3B3}"/>
    <cellStyle name="SAPBEXstdData 2 3 2" xfId="3044" xr:uid="{D2B9FA23-59FF-4C27-BF71-E03D5B97670F}"/>
    <cellStyle name="SAPBEXstdData 2 3 2 2" xfId="5418" xr:uid="{E6C6B321-0237-4E5C-BBEA-B5FC26067E67}"/>
    <cellStyle name="SAPBEXstdData 2 3 3" xfId="3299" xr:uid="{E13CD35D-934C-409F-B688-8237B74A5BB3}"/>
    <cellStyle name="SAPBEXstdData 2 3 3 2" xfId="5673" xr:uid="{1B63D55B-AC27-4D86-8F31-496B3A2A54A7}"/>
    <cellStyle name="SAPBEXstdData 2 3 4" xfId="4292" xr:uid="{5ECEC8DD-779C-4176-BA30-CB41D5CD9B9B}"/>
    <cellStyle name="SAPBEXstdData 2 4" xfId="3159" xr:uid="{D39A96E0-4920-46B3-9D15-EE9D8AB47BFD}"/>
    <cellStyle name="SAPBEXstdData 2 4 2" xfId="5533" xr:uid="{1F2A5F3F-F22E-411B-B46D-88E65F9BA133}"/>
    <cellStyle name="SAPBEXstdData 2 5" xfId="3098" xr:uid="{37F73EF2-E06D-44F2-94FB-03CFFDDED03F}"/>
    <cellStyle name="SAPBEXstdData 2 5 2" xfId="5472" xr:uid="{F3051B3F-2E7C-4E87-A39C-8D554773E2A6}"/>
    <cellStyle name="SAPBEXstdData 2 6" xfId="1755" xr:uid="{9755F09E-688B-4712-89A1-DFF3A552EE58}"/>
    <cellStyle name="SAPBEXstdData 2 6 2" xfId="4289" xr:uid="{270B092B-1CD9-410C-87F6-50109CB3CD86}"/>
    <cellStyle name="SAPBEXstdData 2 7" xfId="3363" xr:uid="{BCEAD2FE-3FC2-42B8-AE0B-AE9FD3FA7A35}"/>
    <cellStyle name="SAPBEXstdData 3" xfId="889" xr:uid="{A87DB1B3-E42C-412B-BA07-8E4275339EE4}"/>
    <cellStyle name="SAPBEXstdData 3 2" xfId="3100" xr:uid="{FC058B3D-AC7E-4D8C-9597-83CD34034591}"/>
    <cellStyle name="SAPBEXstdData 3 2 2" xfId="5474" xr:uid="{295B8167-7829-4180-A293-B078FB397BE3}"/>
    <cellStyle name="SAPBEXstdData 3 3" xfId="3820" xr:uid="{7EB43ECC-BAC1-4E26-B57C-658ED6B65545}"/>
    <cellStyle name="SAPBEXstdData 4" xfId="3113" xr:uid="{F322F71E-43BB-4C50-B396-D6A505D15F9E}"/>
    <cellStyle name="SAPBEXstdData 4 2" xfId="5487" xr:uid="{FEA26559-4F74-418F-B1E7-2DAE7BFE2E40}"/>
    <cellStyle name="SAPBEXstdData 5" xfId="1754" xr:uid="{FFE62272-6AD1-4EFC-A9DE-1C29880286ED}"/>
    <cellStyle name="SAPBEXstdData 5 2" xfId="4288" xr:uid="{C848AC14-F7CE-4326-BF02-5A00715C0B2B}"/>
    <cellStyle name="SAPBEXstdData 6" xfId="3344" xr:uid="{C19784C1-9DD6-4DB6-B6BA-E4182268F89F}"/>
    <cellStyle name="SAPBEXstdData_BW Data" xfId="1759" xr:uid="{A8564423-0D34-4F8A-BDAB-A047CC6AF791}"/>
    <cellStyle name="SAPBEXstdDataEmph" xfId="106" xr:uid="{00000000-0005-0000-0000-000058030000}"/>
    <cellStyle name="SAPBEXstdDataEmph 2" xfId="1761" xr:uid="{0FD93C9C-B194-487C-A3C9-A318EB75B322}"/>
    <cellStyle name="SAPBEXstdDataEmph 2 2" xfId="3262" xr:uid="{EDBBA322-47D3-4478-8A15-99CF7389D00E}"/>
    <cellStyle name="SAPBEXstdDataEmph 2 2 2" xfId="5636" xr:uid="{F6F03500-C6EC-4076-AFC8-CB5A5CAE9E6D}"/>
    <cellStyle name="SAPBEXstdDataEmph 2 3" xfId="3239" xr:uid="{91B0E418-6484-47CE-AC7E-2FFEE8193AA6}"/>
    <cellStyle name="SAPBEXstdDataEmph 2 3 2" xfId="5613" xr:uid="{2824C20C-CB24-4F4C-8CB0-19AC36F80070}"/>
    <cellStyle name="SAPBEXstdDataEmph 2 4" xfId="4294" xr:uid="{68743FD8-C9C8-415E-9313-93A9E71F111C}"/>
    <cellStyle name="SAPBEXstdDataEmph 3" xfId="3208" xr:uid="{B02E2C00-F475-431C-A96D-17321273C03C}"/>
    <cellStyle name="SAPBEXstdDataEmph 3 2" xfId="5582" xr:uid="{FA8F1494-DBD7-4459-81E4-F892B639FC3F}"/>
    <cellStyle name="SAPBEXstdDataEmph 4" xfId="3303" xr:uid="{142E2079-46D2-4A14-A8D9-591CCC38FD42}"/>
    <cellStyle name="SAPBEXstdDataEmph 4 2" xfId="5677" xr:uid="{DFEC6CCC-FCC4-4E2F-9F05-09D41061260F}"/>
    <cellStyle name="SAPBEXstdDataEmph 5" xfId="1760" xr:uid="{1D8F0283-0FA9-424B-BBBD-598B4EE031F5}"/>
    <cellStyle name="SAPBEXstdDataEmph 5 2" xfId="4293" xr:uid="{B3122C8E-DFD8-4438-BC96-9961AF233715}"/>
    <cellStyle name="SAPBEXstdDataEmph 6" xfId="3345" xr:uid="{4B1CB224-FAA4-4670-8320-8163220C87AB}"/>
    <cellStyle name="SAPBEXstdItem" xfId="107" xr:uid="{00000000-0005-0000-0000-000059030000}"/>
    <cellStyle name="SAPBEXstdItem 2" xfId="143" xr:uid="{00000000-0005-0000-0000-00005A030000}"/>
    <cellStyle name="SAPBEXstdItem 2 2" xfId="1764" xr:uid="{2C531197-EABD-489B-B46D-A686EC476276}"/>
    <cellStyle name="SAPBEXstdItem 2 2 2" xfId="3081" xr:uid="{38ACEFD6-535B-439A-86DE-9C8C2B0B0A19}"/>
    <cellStyle name="SAPBEXstdItem 2 2 2 2" xfId="5455" xr:uid="{4A4DCA5B-DA9B-4A73-B4CE-4B71A9CD08E3}"/>
    <cellStyle name="SAPBEXstdItem 2 2 3" xfId="3302" xr:uid="{4BB1D325-2816-4AE4-8635-C4F430D4F726}"/>
    <cellStyle name="SAPBEXstdItem 2 2 3 2" xfId="5676" xr:uid="{1A8AE7AC-8841-4A95-917A-72D71C6FF5A1}"/>
    <cellStyle name="SAPBEXstdItem 2 2 4" xfId="4297" xr:uid="{BCAEF312-D3CA-438A-A54D-24BA91FEBB83}"/>
    <cellStyle name="SAPBEXstdItem 2 3" xfId="1765" xr:uid="{CDD482C5-4598-46EF-95EC-76B6E87D3B67}"/>
    <cellStyle name="SAPBEXstdItem 2 3 2" xfId="3257" xr:uid="{3B3AB500-1125-40A4-9849-51E489E0E5A9}"/>
    <cellStyle name="SAPBEXstdItem 2 3 2 2" xfId="5631" xr:uid="{B342766D-C8D9-4D25-A74E-96D6D880A57F}"/>
    <cellStyle name="SAPBEXstdItem 2 3 3" xfId="3108" xr:uid="{9B37BABF-B24F-4A49-8677-DAE7E65DB18E}"/>
    <cellStyle name="SAPBEXstdItem 2 3 3 2" xfId="5482" xr:uid="{95D4E2F2-4DDD-4FEA-BA8A-B33F20424F91}"/>
    <cellStyle name="SAPBEXstdItem 2 3 4" xfId="4298" xr:uid="{225F8358-0A7A-4958-B175-3FB03CE4D1C3}"/>
    <cellStyle name="SAPBEXstdItem 2 4" xfId="3095" xr:uid="{8BB18BED-6EAC-43C6-BD27-B49F1C945BE6}"/>
    <cellStyle name="SAPBEXstdItem 2 4 2" xfId="5469" xr:uid="{210D5125-8CAD-42DC-BB49-4D11EFA91B94}"/>
    <cellStyle name="SAPBEXstdItem 2 5" xfId="3180" xr:uid="{F5CF98F1-D9E0-4D08-A549-189006DF9200}"/>
    <cellStyle name="SAPBEXstdItem 2 5 2" xfId="5554" xr:uid="{0C5F4A66-08EC-4B64-BD5F-2F2CC6C16B1D}"/>
    <cellStyle name="SAPBEXstdItem 2 6" xfId="1763" xr:uid="{3999662E-782D-4D68-820D-4F757E8C65C6}"/>
    <cellStyle name="SAPBEXstdItem 2 6 2" xfId="4296" xr:uid="{449EF79F-7515-4E39-8FB1-65F193FA8F6C}"/>
    <cellStyle name="SAPBEXstdItem 2 7" xfId="3364" xr:uid="{A22E0474-E919-4A54-939B-CF01D19954A6}"/>
    <cellStyle name="SAPBEXstdItem 3" xfId="890" xr:uid="{045C2561-423E-4B09-9F8E-E7C7DA435F49}"/>
    <cellStyle name="SAPBEXstdItem 3 2" xfId="3244" xr:uid="{77FA904F-8838-45F4-9FA0-10EF2C0A0822}"/>
    <cellStyle name="SAPBEXstdItem 3 2 2" xfId="5618" xr:uid="{01DA8E0D-327B-4D1A-BF4C-B1ECA48488C6}"/>
    <cellStyle name="SAPBEXstdItem 3 3" xfId="3821" xr:uid="{F0E6AB7C-72A4-49BD-8D8F-1629896BC55C}"/>
    <cellStyle name="SAPBEXstdItem 4" xfId="3300" xr:uid="{8EB0487E-28F8-46C9-9F68-847257ED2211}"/>
    <cellStyle name="SAPBEXstdItem 4 2" xfId="5674" xr:uid="{0E24B171-5AAF-43C1-B103-BF9E3058D3FB}"/>
    <cellStyle name="SAPBEXstdItem 5" xfId="1762" xr:uid="{FEC4E776-1285-4D59-9D0E-66AD54C7993B}"/>
    <cellStyle name="SAPBEXstdItem 5 2" xfId="4295" xr:uid="{14D84144-D10C-41E1-8D43-5D0825E5EBD1}"/>
    <cellStyle name="SAPBEXstdItem 6" xfId="3346" xr:uid="{6F725798-F779-4608-8AB3-A8A2437EB26F}"/>
    <cellStyle name="SAPBEXstdItem_BW Data" xfId="1766" xr:uid="{9CD82F8C-69F2-447E-B215-16CA6831348C}"/>
    <cellStyle name="SAPBEXstdItemX" xfId="108" xr:uid="{00000000-0005-0000-0000-00005B030000}"/>
    <cellStyle name="SAPBEXstdItemX 2" xfId="144" xr:uid="{00000000-0005-0000-0000-00005C030000}"/>
    <cellStyle name="SAPBEXstdItemX 2 2" xfId="3105" xr:uid="{E3B5FC41-B60B-4ECC-B00B-ECE747389983}"/>
    <cellStyle name="SAPBEXstdItemX 2 2 2" xfId="5479" xr:uid="{22916A8C-3F18-42AA-8EE7-4C30EBAAE73C}"/>
    <cellStyle name="SAPBEXstdItemX 2 3" xfId="3297" xr:uid="{10EAD126-FD20-43EF-B373-8D15196882E9}"/>
    <cellStyle name="SAPBEXstdItemX 2 3 2" xfId="5671" xr:uid="{8C8BB632-1994-45A1-B17C-3EDAAC9EB5C3}"/>
    <cellStyle name="SAPBEXstdItemX 2 4" xfId="1768" xr:uid="{41A06426-20C4-4E20-8EB0-43AE83C99905}"/>
    <cellStyle name="SAPBEXstdItemX 2 4 2" xfId="4300" xr:uid="{1969A23E-9779-42ED-90D2-9E72F1B3750E}"/>
    <cellStyle name="SAPBEXstdItemX 2 5" xfId="3365" xr:uid="{3054E2B9-EC3A-46AA-B5F8-335FFCCECF2F}"/>
    <cellStyle name="SAPBEXstdItemX 3" xfId="949" xr:uid="{BC771335-9857-4003-AA06-21242087AB2F}"/>
    <cellStyle name="SAPBEXstdItemX 3 2" xfId="3097" xr:uid="{7A282F8C-A837-4F0B-A93B-5CCEDF314816}"/>
    <cellStyle name="SAPBEXstdItemX 3 2 2" xfId="5471" xr:uid="{FB7EEAF0-DE1C-4C7E-BD43-A37080DCACF0}"/>
    <cellStyle name="SAPBEXstdItemX 3 3" xfId="3844" xr:uid="{17B507B2-AF9D-4F30-9984-A4B9FF823DBB}"/>
    <cellStyle name="SAPBEXstdItemX 4" xfId="3114" xr:uid="{D71F835E-5326-4EE7-8749-1AF43A646AEA}"/>
    <cellStyle name="SAPBEXstdItemX 4 2" xfId="5488" xr:uid="{82420BD5-91C9-4FC0-9D1A-4F021726CF5A}"/>
    <cellStyle name="SAPBEXstdItemX 5" xfId="1767" xr:uid="{51DB7923-555E-47B1-99BF-E5192B0AF1AE}"/>
    <cellStyle name="SAPBEXstdItemX 5 2" xfId="4299" xr:uid="{D8F7DA30-0F94-411A-A4E2-19B86CD69DB2}"/>
    <cellStyle name="SAPBEXstdItemX 6" xfId="3347" xr:uid="{36DDBD02-3280-4A12-BAD0-A534D6D3B633}"/>
    <cellStyle name="SAPBEXtitle" xfId="109" xr:uid="{00000000-0005-0000-0000-00005D030000}"/>
    <cellStyle name="SAPBEXtitle 2" xfId="1770" xr:uid="{AB380B6C-104A-4764-A557-2620C69181A7}"/>
    <cellStyle name="SAPBEXtitle 2 2" xfId="3148" xr:uid="{01CBBD32-3A40-45CA-B2BB-AC26D67E1ED8}"/>
    <cellStyle name="SAPBEXtitle 2 2 2" xfId="5522" xr:uid="{C888C778-2BA3-44EE-A249-8C98D9EC713A}"/>
    <cellStyle name="SAPBEXtitle 2 3" xfId="3295" xr:uid="{4131EAF6-F201-4FEA-B8BA-EB88098CD1CF}"/>
    <cellStyle name="SAPBEXtitle 2 3 2" xfId="5669" xr:uid="{897B12FF-50A4-4279-AC89-AC78F8436683}"/>
    <cellStyle name="SAPBEXtitle 2 4" xfId="4301" xr:uid="{2445A2F1-2B99-494B-A08D-9AFC155A8398}"/>
    <cellStyle name="SAPBEXtitle 3" xfId="1769" xr:uid="{7AB02CA9-3B46-46B6-99D8-5638F87CF745}"/>
    <cellStyle name="SAPBEXunassignedItem" xfId="1771" xr:uid="{3F250E2C-E22E-4142-8AA5-5F24A5378037}"/>
    <cellStyle name="SAPBEXunassignedItem 2" xfId="1772" xr:uid="{25461E51-BAD8-453F-B087-BE48A3487B5B}"/>
    <cellStyle name="SAPBEXunassignedItem 2 2" xfId="3296" xr:uid="{05B806B4-B4DC-42C3-B00F-005C1CAA0847}"/>
    <cellStyle name="SAPBEXunassignedItem 2 2 2" xfId="5670" xr:uid="{14CF8098-033E-4CB8-BF6E-C8E46B3D61DE}"/>
    <cellStyle name="SAPBEXunassignedItem 3" xfId="1773" xr:uid="{0C8120C1-8347-4CFB-A22C-998861B79FB7}"/>
    <cellStyle name="SAPBEXunassignedItem 3 2" xfId="3151" xr:uid="{BE7FB166-B4C2-4502-96A8-36DEC2E5D607}"/>
    <cellStyle name="SAPBEXunassignedItem 3 2 2" xfId="5525" xr:uid="{428AE45B-3791-46D1-BCD3-F03DF1FF7038}"/>
    <cellStyle name="SAPBEXunassignedItem 4" xfId="3080" xr:uid="{82A2B1BF-FE18-4A65-91E3-977ECE9D76B9}"/>
    <cellStyle name="SAPBEXunassignedItem 4 2" xfId="5454" xr:uid="{B5C6344A-C3D7-4857-87AD-A6E96D1F9AE9}"/>
    <cellStyle name="SAPBEXundefined" xfId="110" xr:uid="{00000000-0005-0000-0000-00005E030000}"/>
    <cellStyle name="SAPBEXundefined 2" xfId="1775" xr:uid="{EDD78056-FAC7-483C-B368-650D12C59F96}"/>
    <cellStyle name="SAPBEXundefined 2 2" xfId="3213" xr:uid="{7A758E2A-FA07-40BE-9A4E-23441FC25F7B}"/>
    <cellStyle name="SAPBEXundefined 2 2 2" xfId="5587" xr:uid="{2918B7E8-E711-407C-A47D-C92E97944910}"/>
    <cellStyle name="SAPBEXundefined 2 3" xfId="3068" xr:uid="{ACD26AF5-F260-4E8B-BFDD-7A3C7DB6AA59}"/>
    <cellStyle name="SAPBEXundefined 2 3 2" xfId="5442" xr:uid="{47E8233F-B1B1-47DC-9802-A0D70275FC07}"/>
    <cellStyle name="SAPBEXundefined 2 4" xfId="4303" xr:uid="{03CF2259-2DE7-4A2C-BDD5-43F909C9CFAD}"/>
    <cellStyle name="SAPBEXundefined 3" xfId="3284" xr:uid="{377F57E8-45FD-414D-A171-B817545A4E1F}"/>
    <cellStyle name="SAPBEXundefined 3 2" xfId="5658" xr:uid="{5E835B97-FAE3-4F62-BB4C-9A599CF8EC06}"/>
    <cellStyle name="SAPBEXundefined 4" xfId="3298" xr:uid="{8DFEED10-5827-4ED4-9253-788C0AECFABD}"/>
    <cellStyle name="SAPBEXundefined 4 2" xfId="5672" xr:uid="{262ED546-13DA-4837-8339-41D19795D6F5}"/>
    <cellStyle name="SAPBEXundefined 5" xfId="1774" xr:uid="{98824E1C-FBA2-457A-B508-9FB42F451674}"/>
    <cellStyle name="SAPBEXundefined 5 2" xfId="4302" xr:uid="{875FBCF8-02EB-487E-9520-B7CDB89055BE}"/>
    <cellStyle name="SAPBEXundefined 6" xfId="3348" xr:uid="{FDF3671F-1093-4636-8420-2E864B7CB116}"/>
    <cellStyle name="Sheet Title" xfId="111" xr:uid="{00000000-0005-0000-0000-00005F030000}"/>
    <cellStyle name="Sheet Title 2" xfId="952" xr:uid="{8BCFC3A6-BB2D-4D5E-8020-D05FFC9C02FE}"/>
    <cellStyle name="Title" xfId="112" builtinId="15" customBuiltin="1"/>
    <cellStyle name="Title 2" xfId="188" xr:uid="{00000000-0005-0000-0000-000061030000}"/>
    <cellStyle name="Title 2 2" xfId="1776" xr:uid="{ADB98B37-8AFA-435A-99A3-7B4665CC5D99}"/>
    <cellStyle name="Title 3" xfId="234" xr:uid="{00000000-0005-0000-0000-000062030000}"/>
    <cellStyle name="Title 3 2" xfId="1781" xr:uid="{7A96A93C-5C7A-48C4-892A-D1210E7AD1F9}"/>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10" xfId="3349" xr:uid="{D7069E8E-C5C8-4D8A-8D21-06F42D88D1FE}"/>
    <cellStyle name="Total 2" xfId="189" xr:uid="{00000000-0005-0000-0000-000069030000}"/>
    <cellStyle name="Total 2 2" xfId="1778" xr:uid="{179976E3-04EB-4C47-B29E-63F54A6D3201}"/>
    <cellStyle name="Total 2 2 2" xfId="3162" xr:uid="{ED8282DE-82DE-4016-90DC-792A93E0888E}"/>
    <cellStyle name="Total 2 2 2 2" xfId="5536" xr:uid="{0D074F41-AC6B-42D8-B87D-C13032F7C791}"/>
    <cellStyle name="Total 2 2 3" xfId="4305" xr:uid="{09D15B14-368C-4E7E-BC27-6DDD8566482D}"/>
    <cellStyle name="Total 2 3" xfId="3172" xr:uid="{EC3534D5-41D2-43AF-B4AC-8C381F170761}"/>
    <cellStyle name="Total 2 3 2" xfId="5546" xr:uid="{B5BF204F-3FB5-4E38-BC83-CB451AD0B6D0}"/>
    <cellStyle name="Total 2 4" xfId="1777" xr:uid="{20809672-789B-4F9B-B2B6-D104885B016E}"/>
    <cellStyle name="Total 2 4 2" xfId="4304" xr:uid="{F7CE4193-E4B3-462F-8B12-7435128CEF8A}"/>
    <cellStyle name="Total 2 5" xfId="3371" xr:uid="{1103A734-153C-4098-B797-D6FD4A51468B}"/>
    <cellStyle name="Total 3" xfId="235" xr:uid="{00000000-0005-0000-0000-00006A030000}"/>
    <cellStyle name="Total 3 2" xfId="3377" xr:uid="{5D2B5F47-9080-49AC-BBA9-2F027F241805}"/>
    <cellStyle name="Total 4" xfId="281" xr:uid="{00000000-0005-0000-0000-00006B030000}"/>
    <cellStyle name="Total 4 2" xfId="3384" xr:uid="{A82AC5A3-40FE-4084-827E-98A774AFC015}"/>
    <cellStyle name="Total 5" xfId="330" xr:uid="{00000000-0005-0000-0000-00006C030000}"/>
    <cellStyle name="Total 5 2" xfId="3393" xr:uid="{85C14A04-FB92-4CEE-9044-8C239D082C5F}"/>
    <cellStyle name="Total 6" xfId="394" xr:uid="{00000000-0005-0000-0000-00006D030000}"/>
    <cellStyle name="Total 6 2" xfId="3416" xr:uid="{74B17500-BD18-4A7F-913D-95E1C05178AB}"/>
    <cellStyle name="Total 7" xfId="465" xr:uid="{00000000-0005-0000-0000-00006E030000}"/>
    <cellStyle name="Total 7 2" xfId="3447" xr:uid="{954AC2C2-645F-445D-B243-FF8A352B395D}"/>
    <cellStyle name="Total 8" xfId="569" xr:uid="{00000000-0005-0000-0000-00006F030000}"/>
    <cellStyle name="Total 8 2" xfId="3505" xr:uid="{EE3D9FF1-F417-4123-938B-4DFF45DA82C4}"/>
    <cellStyle name="Total 9" xfId="921" xr:uid="{CBF16F10-0DCE-471F-A0DF-D7C35B026FA1}"/>
    <cellStyle name="Warning Text" xfId="114" builtinId="11" customBuiltin="1"/>
    <cellStyle name="Warning Text 2" xfId="190" xr:uid="{00000000-0005-0000-0000-000071030000}"/>
    <cellStyle name="Warning Text 2 2" xfId="1780" xr:uid="{EA50F5AF-5E34-46C1-BA71-AEF18B03B35A}"/>
    <cellStyle name="Warning Text 2 3" xfId="1779" xr:uid="{98C1911D-39B9-4F4F-9CB0-6DD0C6BC9035}"/>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 name="Warning Text 9" xfId="982" xr:uid="{7D936705-C758-4CB3-936A-91C98D837605}"/>
  </cellStyles>
  <dxfs count="10">
    <dxf>
      <font>
        <b val="0"/>
        <i val="0"/>
        <strike val="0"/>
        <condense val="0"/>
        <extend val="0"/>
        <outline val="0"/>
        <shadow val="0"/>
        <u val="none"/>
        <vertAlign val="baseline"/>
        <sz val="10"/>
        <color auto="1"/>
        <name val="Arial"/>
        <family val="2"/>
        <scheme val="none"/>
      </font>
      <numFmt numFmtId="176"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CCFF66"/>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12700</xdr:rowOff>
    </xdr:from>
    <xdr:to>
      <xdr:col>13</xdr:col>
      <xdr:colOff>12700</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6166716" y="1282700"/>
          <a:ext cx="10495684" cy="3683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2021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8515625" defaultRowHeight="12.75"/>
  <cols>
    <col min="1" max="1" width="9.7109375" style="9" customWidth="1"/>
    <col min="2" max="2" width="28.5703125" style="9" customWidth="1"/>
    <col min="3" max="3" width="16.5703125" style="9" customWidth="1"/>
    <col min="4" max="4" width="17.28515625" style="9" customWidth="1"/>
    <col min="5" max="5" width="15" style="9" customWidth="1"/>
    <col min="6" max="6" width="23.28515625" style="9" bestFit="1" customWidth="1"/>
    <col min="7" max="7" width="13.28515625" style="9" bestFit="1" customWidth="1"/>
    <col min="8" max="16384" width="9.28515625" style="9"/>
  </cols>
  <sheetData>
    <row r="1" spans="1:8" s="284" customFormat="1" ht="39" thickBot="1">
      <c r="A1" s="284" t="s">
        <v>0</v>
      </c>
      <c r="B1" s="284" t="s">
        <v>1</v>
      </c>
      <c r="C1" s="284" t="s">
        <v>2</v>
      </c>
      <c r="D1" s="284" t="s">
        <v>3</v>
      </c>
      <c r="E1" s="285" t="s">
        <v>4</v>
      </c>
      <c r="F1" s="286" t="s">
        <v>5</v>
      </c>
      <c r="G1" s="452" t="s">
        <v>6</v>
      </c>
      <c r="H1" s="453" t="s">
        <v>7</v>
      </c>
    </row>
    <row r="2" spans="1:8" ht="16.5" thickTop="1" thickBot="1">
      <c r="A2" s="291">
        <v>0</v>
      </c>
      <c r="B2" s="68" t="s">
        <v>8</v>
      </c>
      <c r="C2" s="292"/>
      <c r="D2" s="284" t="s">
        <v>9</v>
      </c>
      <c r="E2" s="287">
        <v>1</v>
      </c>
      <c r="F2" s="288" t="s">
        <v>10</v>
      </c>
      <c r="G2" s="281">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4</v>
      </c>
      <c r="H2" s="290">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0.591757080078125</v>
      </c>
    </row>
    <row r="3" spans="1:8" ht="16.5" thickTop="1" thickBot="1">
      <c r="A3" s="282">
        <v>1</v>
      </c>
      <c r="B3" s="37" t="s">
        <v>11</v>
      </c>
      <c r="C3" s="292"/>
      <c r="D3" s="9" t="s">
        <v>9</v>
      </c>
      <c r="E3" s="287">
        <v>1</v>
      </c>
      <c r="F3" s="288" t="s">
        <v>10</v>
      </c>
      <c r="G3" s="281">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14093</v>
      </c>
      <c r="H3" s="290">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1.9730200000000002</v>
      </c>
    </row>
    <row r="4" spans="1:8" ht="16.5" thickTop="1" thickBot="1">
      <c r="A4" s="282">
        <v>2</v>
      </c>
      <c r="B4" s="37" t="s">
        <v>12</v>
      </c>
      <c r="C4" s="292" t="s">
        <v>13</v>
      </c>
      <c r="D4" s="9" t="s">
        <v>9</v>
      </c>
      <c r="E4" s="287">
        <v>1</v>
      </c>
      <c r="F4" s="288" t="s">
        <v>10</v>
      </c>
      <c r="G4" s="281"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4" s="290"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5" spans="1:8" ht="16.5" thickTop="1" thickBot="1">
      <c r="A5" s="282">
        <v>3</v>
      </c>
      <c r="B5" s="37" t="s">
        <v>14</v>
      </c>
      <c r="C5" s="292"/>
      <c r="D5" s="9" t="s">
        <v>9</v>
      </c>
      <c r="E5" s="287">
        <v>1</v>
      </c>
      <c r="F5" s="288" t="s">
        <v>10</v>
      </c>
      <c r="G5" s="281"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5" s="290"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6" spans="1:8" ht="16.5" thickTop="1" thickBot="1">
      <c r="A6" s="282">
        <v>4</v>
      </c>
      <c r="B6" s="37" t="s">
        <v>15</v>
      </c>
      <c r="C6" s="292" t="s">
        <v>16</v>
      </c>
      <c r="D6" s="9" t="s">
        <v>9</v>
      </c>
      <c r="E6" s="287">
        <v>1</v>
      </c>
      <c r="F6" s="288" t="s">
        <v>10</v>
      </c>
      <c r="G6" s="281"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6" s="290"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7" spans="1:8" ht="16.5" thickTop="1" thickBot="1">
      <c r="A7" s="282">
        <v>5</v>
      </c>
      <c r="B7" s="9" t="s">
        <v>17</v>
      </c>
      <c r="C7" s="292" t="s">
        <v>18</v>
      </c>
      <c r="D7" s="9" t="s">
        <v>19</v>
      </c>
      <c r="E7" s="287">
        <v>1</v>
      </c>
      <c r="F7" s="288" t="s">
        <v>10</v>
      </c>
      <c r="G7" s="281">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17376</v>
      </c>
      <c r="H7" s="290">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1.9547919699107298E-4</v>
      </c>
    </row>
    <row r="8" spans="1:8" ht="16.5" thickTop="1" thickBot="1">
      <c r="A8" s="282">
        <v>6</v>
      </c>
      <c r="B8" s="9" t="s">
        <v>20</v>
      </c>
      <c r="C8" s="292" t="s">
        <v>18</v>
      </c>
      <c r="D8" s="9" t="s">
        <v>9</v>
      </c>
      <c r="E8" s="287">
        <v>1</v>
      </c>
      <c r="F8" s="288" t="s">
        <v>10</v>
      </c>
      <c r="G8" s="281">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704</v>
      </c>
      <c r="H8" s="290">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2.559620887041092E-4</v>
      </c>
    </row>
    <row r="9" spans="1:8" ht="16.5" thickTop="1" thickBot="1">
      <c r="A9" s="282">
        <v>7</v>
      </c>
      <c r="B9" s="9" t="s">
        <v>21</v>
      </c>
      <c r="C9" s="292" t="s">
        <v>22</v>
      </c>
      <c r="D9" s="9" t="s">
        <v>19</v>
      </c>
      <c r="E9" s="287">
        <v>1</v>
      </c>
      <c r="F9" s="288" t="s">
        <v>10</v>
      </c>
      <c r="G9" s="281">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10225</v>
      </c>
      <c r="H9" s="290">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0" spans="1:8" ht="16.5" thickTop="1" thickBot="1">
      <c r="A10" s="282">
        <v>8</v>
      </c>
      <c r="B10" s="9" t="s">
        <v>23</v>
      </c>
      <c r="C10" s="292" t="s">
        <v>22</v>
      </c>
      <c r="D10" s="9" t="s">
        <v>9</v>
      </c>
      <c r="E10" s="287">
        <v>1</v>
      </c>
      <c r="F10" s="288" t="s">
        <v>10</v>
      </c>
      <c r="G10" s="281">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2652</v>
      </c>
      <c r="H10" s="290">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1" spans="1:8" ht="16.5" thickTop="1" thickBot="1">
      <c r="A11" s="282">
        <v>9</v>
      </c>
      <c r="B11" s="9" t="s">
        <v>24</v>
      </c>
      <c r="C11" s="292"/>
      <c r="D11" s="9" t="s">
        <v>9</v>
      </c>
      <c r="E11" s="287">
        <v>1</v>
      </c>
      <c r="F11" s="288" t="s">
        <v>10</v>
      </c>
      <c r="G11" s="281">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0</v>
      </c>
      <c r="H11" s="290">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2" spans="1:8" ht="16.5" thickTop="1" thickBot="1">
      <c r="A12" s="282">
        <v>10</v>
      </c>
      <c r="B12" s="9" t="s">
        <v>25</v>
      </c>
      <c r="C12" s="292"/>
      <c r="D12" s="9" t="s">
        <v>9</v>
      </c>
      <c r="E12" s="287">
        <v>1</v>
      </c>
      <c r="F12" s="288" t="s">
        <v>10</v>
      </c>
      <c r="G12" s="281">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0</v>
      </c>
      <c r="H12" s="290">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3" spans="1:8" ht="18" customHeight="1" thickTop="1" thickBot="1">
      <c r="A13" s="282">
        <v>11</v>
      </c>
      <c r="B13" s="9" t="s">
        <v>26</v>
      </c>
      <c r="C13" s="292"/>
      <c r="D13" s="9" t="s">
        <v>9</v>
      </c>
      <c r="E13" s="287">
        <v>1</v>
      </c>
      <c r="F13" s="288" t="s">
        <v>10</v>
      </c>
      <c r="G13" s="281">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111812</v>
      </c>
      <c r="H13" s="290">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1.11812</v>
      </c>
    </row>
    <row r="14" spans="1:8" ht="14.25" thickTop="1" thickBot="1">
      <c r="A14" s="282">
        <v>12</v>
      </c>
      <c r="B14" s="37" t="s">
        <v>27</v>
      </c>
      <c r="C14" s="37"/>
      <c r="D14" s="9" t="s">
        <v>19</v>
      </c>
      <c r="E14" s="287">
        <v>1</v>
      </c>
      <c r="F14" s="288" t="s">
        <v>10</v>
      </c>
      <c r="G14" s="281">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17743</v>
      </c>
      <c r="H14" s="290">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0.68663677264004952</v>
      </c>
    </row>
    <row r="15" spans="1:8" ht="16.5" thickTop="1" thickBot="1">
      <c r="A15" s="291">
        <v>0</v>
      </c>
      <c r="B15" s="68" t="s">
        <v>8</v>
      </c>
      <c r="C15" s="292"/>
      <c r="D15" s="284" t="s">
        <v>9</v>
      </c>
      <c r="E15" s="287">
        <v>2</v>
      </c>
      <c r="F15" s="288" t="s">
        <v>28</v>
      </c>
      <c r="G15" s="281">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4</v>
      </c>
      <c r="H15" s="290">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0.49343344116210935</v>
      </c>
    </row>
    <row r="16" spans="1:8" ht="16.5" thickTop="1" thickBot="1">
      <c r="A16" s="282">
        <v>1</v>
      </c>
      <c r="B16" s="9" t="s">
        <v>11</v>
      </c>
      <c r="C16" s="292"/>
      <c r="D16" s="9" t="s">
        <v>9</v>
      </c>
      <c r="E16" s="283">
        <v>2</v>
      </c>
      <c r="F16" s="289" t="s">
        <v>28</v>
      </c>
      <c r="G16" s="281">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14068</v>
      </c>
      <c r="H16" s="290">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1.9695200000000002</v>
      </c>
    </row>
    <row r="17" spans="1:8" ht="16.5" thickTop="1" thickBot="1">
      <c r="A17" s="282">
        <v>2</v>
      </c>
      <c r="B17" s="9" t="s">
        <v>12</v>
      </c>
      <c r="C17" s="292" t="s">
        <v>13</v>
      </c>
      <c r="D17" s="9" t="s">
        <v>9</v>
      </c>
      <c r="E17" s="283">
        <v>2</v>
      </c>
      <c r="F17" s="289" t="s">
        <v>28</v>
      </c>
      <c r="G17" s="281"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7" s="290"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18" spans="1:8" ht="16.5" thickTop="1" thickBot="1">
      <c r="A18" s="282">
        <v>3</v>
      </c>
      <c r="B18" s="9" t="s">
        <v>14</v>
      </c>
      <c r="C18" s="292"/>
      <c r="D18" s="9" t="s">
        <v>9</v>
      </c>
      <c r="E18" s="283">
        <v>2</v>
      </c>
      <c r="F18" s="289" t="s">
        <v>28</v>
      </c>
      <c r="G18" s="281"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8" s="290"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19" spans="1:8" ht="16.5" thickTop="1" thickBot="1">
      <c r="A19" s="282">
        <v>4</v>
      </c>
      <c r="B19" s="9" t="s">
        <v>15</v>
      </c>
      <c r="C19" s="292" t="s">
        <v>16</v>
      </c>
      <c r="D19" s="9" t="s">
        <v>9</v>
      </c>
      <c r="E19" s="283">
        <v>2</v>
      </c>
      <c r="F19" s="289" t="s">
        <v>28</v>
      </c>
      <c r="G19" s="281"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9" s="290"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20" spans="1:8" ht="16.5" thickTop="1" thickBot="1">
      <c r="A20" s="282">
        <v>5</v>
      </c>
      <c r="B20" s="9" t="s">
        <v>17</v>
      </c>
      <c r="C20" s="292" t="s">
        <v>18</v>
      </c>
      <c r="D20" s="9" t="s">
        <v>19</v>
      </c>
      <c r="E20" s="283">
        <v>2</v>
      </c>
      <c r="F20" s="289" t="s">
        <v>28</v>
      </c>
      <c r="G20" s="281">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17278</v>
      </c>
      <c r="H20" s="290">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4.5015298280304707E-5</v>
      </c>
    </row>
    <row r="21" spans="1:8" ht="16.5" thickTop="1" thickBot="1">
      <c r="A21" s="282">
        <v>6</v>
      </c>
      <c r="B21" s="9" t="s">
        <v>20</v>
      </c>
      <c r="C21" s="292" t="s">
        <v>18</v>
      </c>
      <c r="D21" s="9" t="s">
        <v>9</v>
      </c>
      <c r="E21" s="283">
        <v>2</v>
      </c>
      <c r="F21" s="289" t="s">
        <v>28</v>
      </c>
      <c r="G21" s="281">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704</v>
      </c>
      <c r="H21" s="290">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5.9277471620589494E-5</v>
      </c>
    </row>
    <row r="22" spans="1:8" ht="16.5" thickTop="1" thickBot="1">
      <c r="A22" s="282">
        <v>7</v>
      </c>
      <c r="B22" s="9" t="s">
        <v>21</v>
      </c>
      <c r="C22" s="292" t="s">
        <v>22</v>
      </c>
      <c r="D22" s="9" t="s">
        <v>19</v>
      </c>
      <c r="E22" s="283">
        <v>2</v>
      </c>
      <c r="F22" s="289" t="s">
        <v>28</v>
      </c>
      <c r="G22" s="281">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10185</v>
      </c>
      <c r="H22" s="290">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3" spans="1:8" ht="16.5" thickTop="1" thickBot="1">
      <c r="A23" s="282">
        <v>8</v>
      </c>
      <c r="B23" s="9" t="s">
        <v>23</v>
      </c>
      <c r="C23" s="292" t="s">
        <v>22</v>
      </c>
      <c r="D23" s="9" t="s">
        <v>9</v>
      </c>
      <c r="E23" s="283">
        <v>2</v>
      </c>
      <c r="F23" s="289" t="s">
        <v>28</v>
      </c>
      <c r="G23" s="281">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2648</v>
      </c>
      <c r="H23" s="290">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4" spans="1:8" ht="16.5" thickTop="1" thickBot="1">
      <c r="A24" s="282">
        <v>9</v>
      </c>
      <c r="B24" s="9" t="s">
        <v>24</v>
      </c>
      <c r="C24" s="292"/>
      <c r="D24" s="9" t="s">
        <v>9</v>
      </c>
      <c r="E24" s="283">
        <v>2</v>
      </c>
      <c r="F24" s="289" t="s">
        <v>28</v>
      </c>
      <c r="G24" s="281">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4" s="290">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5" spans="1:8" ht="16.5" thickTop="1" thickBot="1">
      <c r="A25" s="282">
        <v>10</v>
      </c>
      <c r="B25" s="9" t="s">
        <v>25</v>
      </c>
      <c r="C25" s="292"/>
      <c r="D25" s="9" t="s">
        <v>9</v>
      </c>
      <c r="E25" s="283">
        <v>2</v>
      </c>
      <c r="F25" s="289" t="s">
        <v>28</v>
      </c>
      <c r="G25" s="281">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5" s="290">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6" spans="1:8" ht="16.5" thickTop="1" thickBot="1">
      <c r="A26" s="282">
        <v>11</v>
      </c>
      <c r="B26" s="9" t="s">
        <v>26</v>
      </c>
      <c r="C26" s="292"/>
      <c r="D26" s="9" t="s">
        <v>9</v>
      </c>
      <c r="E26" s="283">
        <v>2</v>
      </c>
      <c r="F26" s="289" t="s">
        <v>28</v>
      </c>
      <c r="G26" s="281">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111739</v>
      </c>
      <c r="H26" s="290">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1.1173900000000001</v>
      </c>
    </row>
    <row r="27" spans="1:8" ht="14.25" thickTop="1" thickBot="1">
      <c r="A27" s="282">
        <v>12</v>
      </c>
      <c r="B27" s="9" t="s">
        <v>27</v>
      </c>
      <c r="C27" s="37"/>
      <c r="D27" s="9" t="s">
        <v>19</v>
      </c>
      <c r="E27" s="283">
        <v>2</v>
      </c>
      <c r="F27" s="289" t="s">
        <v>28</v>
      </c>
      <c r="G27" s="281">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18502</v>
      </c>
      <c r="H27" s="290">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0.63577350297570234</v>
      </c>
    </row>
    <row r="28" spans="1:8" ht="16.5" thickTop="1" thickBot="1">
      <c r="A28" s="291">
        <v>0</v>
      </c>
      <c r="B28" s="68" t="s">
        <v>8</v>
      </c>
      <c r="C28" s="292"/>
      <c r="D28" s="284" t="s">
        <v>9</v>
      </c>
      <c r="E28" s="287">
        <v>3</v>
      </c>
      <c r="F28" s="288" t="s">
        <v>29</v>
      </c>
      <c r="G28" s="281">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1</v>
      </c>
      <c r="H28" s="290">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0.61670471191406251</v>
      </c>
    </row>
    <row r="29" spans="1:8" ht="16.5" thickTop="1" thickBot="1">
      <c r="A29" s="282">
        <v>1</v>
      </c>
      <c r="B29" s="9" t="s">
        <v>11</v>
      </c>
      <c r="C29" s="292"/>
      <c r="D29" s="9" t="s">
        <v>9</v>
      </c>
      <c r="E29" s="283">
        <v>3</v>
      </c>
      <c r="F29" s="289" t="s">
        <v>29</v>
      </c>
      <c r="G29"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13616</v>
      </c>
      <c r="H29" s="290">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0" spans="1:8" ht="16.5" thickTop="1" thickBot="1">
      <c r="A30" s="282">
        <v>2</v>
      </c>
      <c r="B30" s="9" t="s">
        <v>12</v>
      </c>
      <c r="C30" s="292" t="s">
        <v>13</v>
      </c>
      <c r="D30" s="9" t="s">
        <v>9</v>
      </c>
      <c r="E30" s="283">
        <v>3</v>
      </c>
      <c r="F30" s="289" t="s">
        <v>29</v>
      </c>
      <c r="G30" s="281"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0" s="290"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1" spans="1:8" ht="16.5" thickTop="1" thickBot="1">
      <c r="A31" s="282">
        <v>3</v>
      </c>
      <c r="B31" s="9" t="s">
        <v>14</v>
      </c>
      <c r="C31" s="292"/>
      <c r="D31" s="9" t="s">
        <v>9</v>
      </c>
      <c r="E31" s="283">
        <v>3</v>
      </c>
      <c r="F31" s="289" t="s">
        <v>29</v>
      </c>
      <c r="G31" s="281"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1" s="290"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2" spans="1:8" ht="16.5" thickTop="1" thickBot="1">
      <c r="A32" s="282">
        <v>4</v>
      </c>
      <c r="B32" s="9" t="s">
        <v>15</v>
      </c>
      <c r="C32" s="292" t="s">
        <v>16</v>
      </c>
      <c r="D32" s="9" t="s">
        <v>9</v>
      </c>
      <c r="E32" s="283">
        <v>3</v>
      </c>
      <c r="F32" s="289" t="s">
        <v>29</v>
      </c>
      <c r="G32" s="281"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2" s="290"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3" spans="1:8" ht="16.5" thickTop="1" thickBot="1">
      <c r="A33" s="282">
        <v>5</v>
      </c>
      <c r="B33" s="9" t="s">
        <v>17</v>
      </c>
      <c r="C33" s="292" t="s">
        <v>18</v>
      </c>
      <c r="D33" s="9" t="s">
        <v>19</v>
      </c>
      <c r="E33" s="283">
        <v>3</v>
      </c>
      <c r="F33" s="289" t="s">
        <v>29</v>
      </c>
      <c r="G33"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17050</v>
      </c>
      <c r="H33" s="290">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4" spans="1:8" ht="16.5" thickTop="1" thickBot="1">
      <c r="A34" s="282">
        <v>6</v>
      </c>
      <c r="B34" s="9" t="s">
        <v>20</v>
      </c>
      <c r="C34" s="292" t="s">
        <v>18</v>
      </c>
      <c r="D34" s="9" t="s">
        <v>9</v>
      </c>
      <c r="E34" s="283">
        <v>3</v>
      </c>
      <c r="F34" s="289" t="s">
        <v>29</v>
      </c>
      <c r="G34"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268</v>
      </c>
      <c r="H34" s="290">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5" spans="1:8" ht="16.5" thickTop="1" thickBot="1">
      <c r="A35" s="282">
        <v>7</v>
      </c>
      <c r="B35" s="9" t="s">
        <v>21</v>
      </c>
      <c r="C35" s="292" t="s">
        <v>22</v>
      </c>
      <c r="D35" s="9" t="s">
        <v>19</v>
      </c>
      <c r="E35" s="283">
        <v>3</v>
      </c>
      <c r="F35" s="289" t="s">
        <v>29</v>
      </c>
      <c r="G35"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10091</v>
      </c>
      <c r="H35" s="290">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6" spans="1:8" ht="16.5" thickTop="1" thickBot="1">
      <c r="A36" s="282">
        <v>8</v>
      </c>
      <c r="B36" s="9" t="s">
        <v>23</v>
      </c>
      <c r="C36" s="292" t="s">
        <v>22</v>
      </c>
      <c r="D36" s="9" t="s">
        <v>9</v>
      </c>
      <c r="E36" s="283">
        <v>3</v>
      </c>
      <c r="F36" s="289" t="s">
        <v>29</v>
      </c>
      <c r="G36"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2627</v>
      </c>
      <c r="H36" s="290">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7" spans="1:8" ht="16.5" thickTop="1" thickBot="1">
      <c r="A37" s="282">
        <v>9</v>
      </c>
      <c r="B37" s="9" t="s">
        <v>24</v>
      </c>
      <c r="C37" s="292"/>
      <c r="D37" s="9" t="s">
        <v>9</v>
      </c>
      <c r="E37" s="283">
        <v>3</v>
      </c>
      <c r="F37" s="289" t="s">
        <v>29</v>
      </c>
      <c r="G37"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7" s="290">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8" spans="1:8" ht="16.5" thickTop="1" thickBot="1">
      <c r="A38" s="282">
        <v>10</v>
      </c>
      <c r="B38" s="9" t="s">
        <v>25</v>
      </c>
      <c r="C38" s="292"/>
      <c r="D38" s="9" t="s">
        <v>9</v>
      </c>
      <c r="E38" s="283">
        <v>3</v>
      </c>
      <c r="F38" s="289" t="s">
        <v>29</v>
      </c>
      <c r="G38"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8" s="290">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9" spans="1:8" ht="16.5" thickTop="1" thickBot="1">
      <c r="A39" s="282">
        <v>11</v>
      </c>
      <c r="B39" s="9" t="s">
        <v>26</v>
      </c>
      <c r="C39" s="292"/>
      <c r="D39" s="9" t="s">
        <v>9</v>
      </c>
      <c r="E39" s="283">
        <v>3</v>
      </c>
      <c r="F39" s="289" t="s">
        <v>29</v>
      </c>
      <c r="G39"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111470</v>
      </c>
      <c r="H39" s="290">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1.1604781531494454E-2</v>
      </c>
    </row>
    <row r="40" spans="1:8" ht="14.25" thickTop="1" thickBot="1">
      <c r="A40" s="282">
        <v>12</v>
      </c>
      <c r="B40" s="9" t="s">
        <v>27</v>
      </c>
      <c r="C40" s="37"/>
      <c r="D40" s="9" t="s">
        <v>19</v>
      </c>
      <c r="E40" s="283">
        <v>3</v>
      </c>
      <c r="F40" s="289" t="s">
        <v>29</v>
      </c>
      <c r="G40"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19323</v>
      </c>
      <c r="H40" s="290">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0.81720589716985104</v>
      </c>
    </row>
    <row r="41" spans="1:8" ht="16.5" thickTop="1" thickBot="1">
      <c r="A41" s="291">
        <v>0</v>
      </c>
      <c r="B41" s="68" t="s">
        <v>8</v>
      </c>
      <c r="C41" s="292"/>
      <c r="D41" s="284" t="s">
        <v>9</v>
      </c>
      <c r="E41" s="287">
        <v>4</v>
      </c>
      <c r="F41" s="288" t="s">
        <v>30</v>
      </c>
      <c r="G41" s="281">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2</v>
      </c>
      <c r="H41" s="290">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0.28272567749023436</v>
      </c>
    </row>
    <row r="42" spans="1:8" ht="16.5" thickTop="1" thickBot="1">
      <c r="A42" s="282">
        <v>1</v>
      </c>
      <c r="B42" s="9" t="s">
        <v>11</v>
      </c>
      <c r="C42" s="292"/>
      <c r="D42" s="9" t="s">
        <v>9</v>
      </c>
      <c r="E42" s="283">
        <v>4</v>
      </c>
      <c r="F42" s="289" t="s">
        <v>30</v>
      </c>
      <c r="G42"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14076</v>
      </c>
      <c r="H42" s="290">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43" spans="1:8" ht="16.5" thickTop="1" thickBot="1">
      <c r="A43" s="282">
        <v>2</v>
      </c>
      <c r="B43" s="9" t="s">
        <v>12</v>
      </c>
      <c r="C43" s="292" t="s">
        <v>13</v>
      </c>
      <c r="D43" s="9" t="s">
        <v>9</v>
      </c>
      <c r="E43" s="283">
        <v>4</v>
      </c>
      <c r="F43" s="289" t="s">
        <v>30</v>
      </c>
      <c r="G43" s="281"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3" s="290"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4" spans="1:8" ht="16.5" thickTop="1" thickBot="1">
      <c r="A44" s="282">
        <v>3</v>
      </c>
      <c r="B44" s="9" t="s">
        <v>14</v>
      </c>
      <c r="C44" s="292"/>
      <c r="D44" s="9" t="s">
        <v>9</v>
      </c>
      <c r="E44" s="283">
        <v>4</v>
      </c>
      <c r="F44" s="289" t="s">
        <v>30</v>
      </c>
      <c r="G44" s="281"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4" s="290"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5" spans="1:8" ht="16.5" thickTop="1" thickBot="1">
      <c r="A45" s="282">
        <v>4</v>
      </c>
      <c r="B45" s="9" t="s">
        <v>15</v>
      </c>
      <c r="C45" s="292" t="s">
        <v>16</v>
      </c>
      <c r="D45" s="9" t="s">
        <v>9</v>
      </c>
      <c r="E45" s="283">
        <v>4</v>
      </c>
      <c r="F45" s="289" t="s">
        <v>30</v>
      </c>
      <c r="G45" s="281"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5" s="290"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6" spans="1:8" ht="16.5" thickTop="1" thickBot="1">
      <c r="A46" s="282">
        <v>5</v>
      </c>
      <c r="B46" s="9" t="s">
        <v>17</v>
      </c>
      <c r="C46" s="292" t="s">
        <v>18</v>
      </c>
      <c r="D46" s="9" t="s">
        <v>19</v>
      </c>
      <c r="E46" s="283">
        <v>4</v>
      </c>
      <c r="F46" s="289" t="s">
        <v>30</v>
      </c>
      <c r="G46"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17283</v>
      </c>
      <c r="H46" s="290">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0.63219965072348705</v>
      </c>
    </row>
    <row r="47" spans="1:8" ht="16.5" thickTop="1" thickBot="1">
      <c r="A47" s="282">
        <v>6</v>
      </c>
      <c r="B47" s="9" t="s">
        <v>20</v>
      </c>
      <c r="C47" s="292" t="s">
        <v>18</v>
      </c>
      <c r="D47" s="9" t="s">
        <v>9</v>
      </c>
      <c r="E47" s="283">
        <v>4</v>
      </c>
      <c r="F47" s="289" t="s">
        <v>30</v>
      </c>
      <c r="G47"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268</v>
      </c>
      <c r="H47" s="290">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9.207833182811738E-2</v>
      </c>
    </row>
    <row r="48" spans="1:8" ht="16.5" thickTop="1" thickBot="1">
      <c r="A48" s="282">
        <v>7</v>
      </c>
      <c r="B48" s="9" t="s">
        <v>21</v>
      </c>
      <c r="C48" s="292" t="s">
        <v>22</v>
      </c>
      <c r="D48" s="9" t="s">
        <v>19</v>
      </c>
      <c r="E48" s="283">
        <v>4</v>
      </c>
      <c r="F48" s="289" t="s">
        <v>30</v>
      </c>
      <c r="G48"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9815</v>
      </c>
      <c r="H48" s="290">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0.27112955999999999</v>
      </c>
    </row>
    <row r="49" spans="1:8" ht="16.5" thickTop="1" thickBot="1">
      <c r="A49" s="282">
        <v>8</v>
      </c>
      <c r="B49" s="9" t="s">
        <v>23</v>
      </c>
      <c r="C49" s="292" t="s">
        <v>22</v>
      </c>
      <c r="D49" s="9" t="s">
        <v>9</v>
      </c>
      <c r="E49" s="283">
        <v>4</v>
      </c>
      <c r="F49" s="289" t="s">
        <v>30</v>
      </c>
      <c r="G49"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2774</v>
      </c>
      <c r="H49" s="290">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0.15616732319999999</v>
      </c>
    </row>
    <row r="50" spans="1:8" ht="16.5" thickTop="1" thickBot="1">
      <c r="A50" s="282">
        <v>9</v>
      </c>
      <c r="B50" s="9" t="s">
        <v>24</v>
      </c>
      <c r="C50" s="292"/>
      <c r="D50" s="9" t="s">
        <v>9</v>
      </c>
      <c r="E50" s="283">
        <v>4</v>
      </c>
      <c r="F50" s="289" t="s">
        <v>30</v>
      </c>
      <c r="G50"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50" s="290">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51" spans="1:8" ht="16.5" thickTop="1" thickBot="1">
      <c r="A51" s="282">
        <v>10</v>
      </c>
      <c r="B51" s="9" t="s">
        <v>25</v>
      </c>
      <c r="C51" s="292"/>
      <c r="D51" s="9" t="s">
        <v>9</v>
      </c>
      <c r="E51" s="283">
        <v>4</v>
      </c>
      <c r="F51" s="289" t="s">
        <v>30</v>
      </c>
      <c r="G51"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51" s="290">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52" spans="1:8" ht="16.5" thickTop="1" thickBot="1">
      <c r="A52" s="282">
        <v>11</v>
      </c>
      <c r="B52" s="9" t="s">
        <v>26</v>
      </c>
      <c r="C52" s="292"/>
      <c r="D52" s="9" t="s">
        <v>9</v>
      </c>
      <c r="E52" s="283">
        <v>4</v>
      </c>
      <c r="F52" s="289" t="s">
        <v>30</v>
      </c>
      <c r="G52"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112449</v>
      </c>
      <c r="H52" s="290">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8.2588858593487885E-2</v>
      </c>
    </row>
    <row r="53" spans="1:8" ht="14.25" thickTop="1" thickBot="1">
      <c r="A53" s="282">
        <v>12</v>
      </c>
      <c r="B53" s="9" t="s">
        <v>27</v>
      </c>
      <c r="C53" s="37"/>
      <c r="D53" s="9" t="s">
        <v>19</v>
      </c>
      <c r="E53" s="283">
        <v>4</v>
      </c>
      <c r="F53" s="289" t="s">
        <v>30</v>
      </c>
      <c r="G53"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16109</v>
      </c>
      <c r="H53" s="290">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0.74185605258546561</v>
      </c>
    </row>
    <row r="54" spans="1:8" ht="16.5" thickTop="1" thickBot="1">
      <c r="A54" s="291">
        <v>0</v>
      </c>
      <c r="B54" s="68" t="s">
        <v>8</v>
      </c>
      <c r="C54" s="292"/>
      <c r="D54" s="284" t="s">
        <v>9</v>
      </c>
      <c r="E54" s="287">
        <v>5</v>
      </c>
      <c r="F54" s="288" t="s">
        <v>31</v>
      </c>
      <c r="G54" s="281">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2</v>
      </c>
      <c r="H54" s="290">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0.27460052490234377</v>
      </c>
    </row>
    <row r="55" spans="1:8" ht="16.5" thickTop="1" thickBot="1">
      <c r="A55" s="282">
        <v>1</v>
      </c>
      <c r="B55" s="9" t="s">
        <v>11</v>
      </c>
      <c r="C55" s="292"/>
      <c r="D55" s="9" t="s">
        <v>9</v>
      </c>
      <c r="E55" s="283">
        <v>5</v>
      </c>
      <c r="F55" s="289" t="s">
        <v>31</v>
      </c>
      <c r="G55"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13310</v>
      </c>
      <c r="H55" s="290">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56" spans="1:8" ht="16.5" thickTop="1" thickBot="1">
      <c r="A56" s="282">
        <v>2</v>
      </c>
      <c r="B56" s="9" t="s">
        <v>12</v>
      </c>
      <c r="C56" s="292" t="s">
        <v>13</v>
      </c>
      <c r="D56" s="9" t="s">
        <v>9</v>
      </c>
      <c r="E56" s="283">
        <v>5</v>
      </c>
      <c r="F56" s="289" t="s">
        <v>31</v>
      </c>
      <c r="G56" s="281"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6" s="290"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7" spans="1:8" ht="16.5" thickTop="1" thickBot="1">
      <c r="A57" s="282">
        <v>3</v>
      </c>
      <c r="B57" s="9" t="s">
        <v>14</v>
      </c>
      <c r="C57" s="292"/>
      <c r="D57" s="9" t="s">
        <v>9</v>
      </c>
      <c r="E57" s="283">
        <v>5</v>
      </c>
      <c r="F57" s="289" t="s">
        <v>31</v>
      </c>
      <c r="G57" s="281"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7" s="290"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8" spans="1:8" ht="16.5" thickTop="1" thickBot="1">
      <c r="A58" s="282">
        <v>4</v>
      </c>
      <c r="B58" s="9" t="s">
        <v>15</v>
      </c>
      <c r="C58" s="292" t="s">
        <v>16</v>
      </c>
      <c r="D58" s="9" t="s">
        <v>9</v>
      </c>
      <c r="E58" s="283">
        <v>5</v>
      </c>
      <c r="F58" s="289" t="s">
        <v>31</v>
      </c>
      <c r="G58" s="281"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8" s="290"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9" spans="1:8" ht="16.5" thickTop="1" thickBot="1">
      <c r="A59" s="282">
        <v>5</v>
      </c>
      <c r="B59" s="9" t="s">
        <v>17</v>
      </c>
      <c r="C59" s="292" t="s">
        <v>18</v>
      </c>
      <c r="D59" s="9" t="s">
        <v>19</v>
      </c>
      <c r="E59" s="283">
        <v>5</v>
      </c>
      <c r="F59" s="289" t="s">
        <v>31</v>
      </c>
      <c r="G59"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17130</v>
      </c>
      <c r="H59" s="290">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1.3920932315289973</v>
      </c>
    </row>
    <row r="60" spans="1:8" ht="16.5" thickTop="1" thickBot="1">
      <c r="A60" s="282">
        <v>6</v>
      </c>
      <c r="B60" s="9" t="s">
        <v>20</v>
      </c>
      <c r="C60" s="292" t="s">
        <v>18</v>
      </c>
      <c r="D60" s="9" t="s">
        <v>9</v>
      </c>
      <c r="E60" s="283">
        <v>5</v>
      </c>
      <c r="F60" s="289" t="s">
        <v>31</v>
      </c>
      <c r="G60"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256</v>
      </c>
      <c r="H60" s="290">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0.23586849975585938</v>
      </c>
    </row>
    <row r="61" spans="1:8" ht="16.5" thickTop="1" thickBot="1">
      <c r="A61" s="282">
        <v>7</v>
      </c>
      <c r="B61" s="9" t="s">
        <v>21</v>
      </c>
      <c r="C61" s="292" t="s">
        <v>22</v>
      </c>
      <c r="D61" s="9" t="s">
        <v>19</v>
      </c>
      <c r="E61" s="283">
        <v>5</v>
      </c>
      <c r="F61" s="289" t="s">
        <v>31</v>
      </c>
      <c r="G61"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9593</v>
      </c>
      <c r="H61" s="290">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0.55346429780000006</v>
      </c>
    </row>
    <row r="62" spans="1:8" ht="16.5" thickTop="1" thickBot="1">
      <c r="A62" s="282">
        <v>8</v>
      </c>
      <c r="B62" s="9" t="s">
        <v>23</v>
      </c>
      <c r="C62" s="292" t="s">
        <v>22</v>
      </c>
      <c r="D62" s="9" t="s">
        <v>9</v>
      </c>
      <c r="E62" s="283">
        <v>5</v>
      </c>
      <c r="F62" s="289" t="s">
        <v>31</v>
      </c>
      <c r="G62"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2705</v>
      </c>
      <c r="H62" s="290">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0.1742817975</v>
      </c>
    </row>
    <row r="63" spans="1:8" ht="16.5" thickTop="1" thickBot="1">
      <c r="A63" s="282">
        <v>9</v>
      </c>
      <c r="B63" s="9" t="s">
        <v>24</v>
      </c>
      <c r="C63" s="292"/>
      <c r="D63" s="9" t="s">
        <v>9</v>
      </c>
      <c r="E63" s="283">
        <v>5</v>
      </c>
      <c r="F63" s="289" t="s">
        <v>31</v>
      </c>
      <c r="G63"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41</v>
      </c>
      <c r="H63" s="290">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0.48483278999999996</v>
      </c>
    </row>
    <row r="64" spans="1:8" ht="16.5" thickTop="1" thickBot="1">
      <c r="A64" s="282">
        <v>10</v>
      </c>
      <c r="B64" s="9" t="s">
        <v>25</v>
      </c>
      <c r="C64" s="292"/>
      <c r="D64" s="9" t="s">
        <v>9</v>
      </c>
      <c r="E64" s="283">
        <v>5</v>
      </c>
      <c r="F64" s="289" t="s">
        <v>31</v>
      </c>
      <c r="G64"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134</v>
      </c>
      <c r="H64" s="290">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1.214125358</v>
      </c>
    </row>
    <row r="65" spans="1:8" ht="16.5" thickTop="1" thickBot="1">
      <c r="A65" s="282">
        <v>11</v>
      </c>
      <c r="B65" s="9" t="s">
        <v>26</v>
      </c>
      <c r="C65" s="292"/>
      <c r="D65" s="9" t="s">
        <v>9</v>
      </c>
      <c r="E65" s="283">
        <v>5</v>
      </c>
      <c r="F65" s="289" t="s">
        <v>31</v>
      </c>
      <c r="G65"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106176</v>
      </c>
      <c r="H65" s="290">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0.14518625372857208</v>
      </c>
    </row>
    <row r="66" spans="1:8" ht="14.25" thickTop="1" thickBot="1">
      <c r="A66" s="282">
        <v>12</v>
      </c>
      <c r="B66" s="9" t="s">
        <v>27</v>
      </c>
      <c r="C66" s="37"/>
      <c r="D66" s="9" t="s">
        <v>19</v>
      </c>
      <c r="E66" s="283">
        <v>5</v>
      </c>
      <c r="F66" s="289" t="s">
        <v>31</v>
      </c>
      <c r="G66"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19517</v>
      </c>
      <c r="H66" s="290">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1.9292683404082556</v>
      </c>
    </row>
    <row r="67" spans="1:8" ht="16.5" thickTop="1" thickBot="1">
      <c r="A67" s="291">
        <v>0</v>
      </c>
      <c r="B67" s="68" t="s">
        <v>8</v>
      </c>
      <c r="C67" s="292"/>
      <c r="D67" s="284" t="s">
        <v>9</v>
      </c>
      <c r="E67" s="287">
        <v>6</v>
      </c>
      <c r="F67" s="288" t="s">
        <v>32</v>
      </c>
      <c r="G67" s="281">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1</v>
      </c>
      <c r="H67" s="290">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0.16708448791503908</v>
      </c>
    </row>
    <row r="68" spans="1:8" ht="16.5" thickTop="1" thickBot="1">
      <c r="A68" s="282">
        <v>1</v>
      </c>
      <c r="B68" s="9" t="s">
        <v>11</v>
      </c>
      <c r="C68" s="292"/>
      <c r="D68" s="9" t="s">
        <v>9</v>
      </c>
      <c r="E68" s="283">
        <v>6</v>
      </c>
      <c r="F68" s="289" t="s">
        <v>32</v>
      </c>
      <c r="G68"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7017</v>
      </c>
      <c r="H68" s="290">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69" spans="1:8" ht="16.5" thickTop="1" thickBot="1">
      <c r="A69" s="282">
        <v>2</v>
      </c>
      <c r="B69" s="9" t="s">
        <v>12</v>
      </c>
      <c r="C69" s="292" t="s">
        <v>13</v>
      </c>
      <c r="D69" s="9" t="s">
        <v>9</v>
      </c>
      <c r="E69" s="283">
        <v>6</v>
      </c>
      <c r="F69" s="289" t="s">
        <v>32</v>
      </c>
      <c r="G69" s="281"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69" s="290"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0" spans="1:8" ht="16.5" thickTop="1" thickBot="1">
      <c r="A70" s="282">
        <v>3</v>
      </c>
      <c r="B70" s="9" t="s">
        <v>14</v>
      </c>
      <c r="C70" s="292"/>
      <c r="D70" s="9" t="s">
        <v>9</v>
      </c>
      <c r="E70" s="283">
        <v>6</v>
      </c>
      <c r="F70" s="289" t="s">
        <v>32</v>
      </c>
      <c r="G70" s="281"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70" s="290"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1" spans="1:8" ht="16.5" thickTop="1" thickBot="1">
      <c r="A71" s="282">
        <v>4</v>
      </c>
      <c r="B71" s="9" t="s">
        <v>15</v>
      </c>
      <c r="C71" s="292" t="s">
        <v>16</v>
      </c>
      <c r="D71" s="9" t="s">
        <v>9</v>
      </c>
      <c r="E71" s="283">
        <v>6</v>
      </c>
      <c r="F71" s="289" t="s">
        <v>32</v>
      </c>
      <c r="G71" s="281"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71" s="290"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2" spans="1:8" ht="16.5" thickTop="1" thickBot="1">
      <c r="A72" s="282">
        <v>5</v>
      </c>
      <c r="B72" s="9" t="s">
        <v>17</v>
      </c>
      <c r="C72" s="292" t="s">
        <v>18</v>
      </c>
      <c r="D72" s="9" t="s">
        <v>19</v>
      </c>
      <c r="E72" s="283">
        <v>6</v>
      </c>
      <c r="F72" s="289" t="s">
        <v>32</v>
      </c>
      <c r="G72"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14623</v>
      </c>
      <c r="H72" s="290">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0.75110183168202638</v>
      </c>
    </row>
    <row r="73" spans="1:8" ht="16.5" thickTop="1" thickBot="1">
      <c r="A73" s="282">
        <v>6</v>
      </c>
      <c r="B73" s="9" t="s">
        <v>20</v>
      </c>
      <c r="C73" s="292" t="s">
        <v>18</v>
      </c>
      <c r="D73" s="9" t="s">
        <v>9</v>
      </c>
      <c r="E73" s="283">
        <v>6</v>
      </c>
      <c r="F73" s="289" t="s">
        <v>32</v>
      </c>
      <c r="G73"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236</v>
      </c>
      <c r="H73" s="290">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0.20210570478439333</v>
      </c>
    </row>
    <row r="74" spans="1:8" ht="16.5" thickTop="1" thickBot="1">
      <c r="A74" s="282">
        <v>7</v>
      </c>
      <c r="B74" s="9" t="s">
        <v>21</v>
      </c>
      <c r="C74" s="292" t="s">
        <v>22</v>
      </c>
      <c r="D74" s="9" t="s">
        <v>19</v>
      </c>
      <c r="E74" s="283">
        <v>6</v>
      </c>
      <c r="F74" s="289" t="s">
        <v>32</v>
      </c>
      <c r="G74"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9409</v>
      </c>
      <c r="H74" s="290">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0.34679127659999998</v>
      </c>
    </row>
    <row r="75" spans="1:8" ht="16.5" thickTop="1" thickBot="1">
      <c r="A75" s="282">
        <v>8</v>
      </c>
      <c r="B75" s="9" t="s">
        <v>23</v>
      </c>
      <c r="C75" s="292" t="s">
        <v>22</v>
      </c>
      <c r="D75" s="9" t="s">
        <v>9</v>
      </c>
      <c r="E75" s="283">
        <v>6</v>
      </c>
      <c r="F75" s="289" t="s">
        <v>32</v>
      </c>
      <c r="G75"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2244</v>
      </c>
      <c r="H75" s="290">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0.1342089276</v>
      </c>
    </row>
    <row r="76" spans="1:8" ht="16.5" thickTop="1" thickBot="1">
      <c r="A76" s="282">
        <v>9</v>
      </c>
      <c r="B76" s="9" t="s">
        <v>24</v>
      </c>
      <c r="C76" s="292"/>
      <c r="D76" s="9" t="s">
        <v>9</v>
      </c>
      <c r="E76" s="283">
        <v>6</v>
      </c>
      <c r="F76" s="289" t="s">
        <v>32</v>
      </c>
      <c r="G76"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49</v>
      </c>
      <c r="H76" s="290">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0.57943431000000001</v>
      </c>
    </row>
    <row r="77" spans="1:8" ht="16.5" thickTop="1" thickBot="1">
      <c r="A77" s="282">
        <v>10</v>
      </c>
      <c r="B77" s="9" t="s">
        <v>25</v>
      </c>
      <c r="C77" s="292"/>
      <c r="D77" s="9" t="s">
        <v>9</v>
      </c>
      <c r="E77" s="283">
        <v>6</v>
      </c>
      <c r="F77" s="289" t="s">
        <v>32</v>
      </c>
      <c r="G77"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125</v>
      </c>
      <c r="H77" s="290">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1.132579625</v>
      </c>
    </row>
    <row r="78" spans="1:8" ht="16.5" thickTop="1" thickBot="1">
      <c r="A78" s="282">
        <v>11</v>
      </c>
      <c r="B78" s="9" t="s">
        <v>26</v>
      </c>
      <c r="C78" s="292"/>
      <c r="D78" s="9" t="s">
        <v>9</v>
      </c>
      <c r="E78" s="283">
        <v>6</v>
      </c>
      <c r="F78" s="289" t="s">
        <v>32</v>
      </c>
      <c r="G78"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105904</v>
      </c>
      <c r="H78" s="290">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9.293238217800405E-2</v>
      </c>
    </row>
    <row r="79" spans="1:8" ht="14.25" thickTop="1" thickBot="1">
      <c r="A79" s="282">
        <v>12</v>
      </c>
      <c r="B79" s="9" t="s">
        <v>27</v>
      </c>
      <c r="C79" s="37"/>
      <c r="D79" s="9" t="s">
        <v>19</v>
      </c>
      <c r="E79" s="283">
        <v>6</v>
      </c>
      <c r="F79" s="289" t="s">
        <v>32</v>
      </c>
      <c r="G79"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20395</v>
      </c>
      <c r="H79" s="290">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1.5282490066869205</v>
      </c>
    </row>
    <row r="80" spans="1:8" ht="16.5" thickTop="1" thickBot="1">
      <c r="A80" s="291">
        <v>0</v>
      </c>
      <c r="B80" s="68" t="s">
        <v>8</v>
      </c>
      <c r="C80" s="292"/>
      <c r="D80" s="284" t="s">
        <v>9</v>
      </c>
      <c r="E80" s="287">
        <v>7</v>
      </c>
      <c r="F80" s="288" t="s">
        <v>33</v>
      </c>
      <c r="G80" s="281">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1</v>
      </c>
      <c r="H80" s="290">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0.15948800659179688</v>
      </c>
    </row>
    <row r="81" spans="1:8" ht="16.5" thickTop="1" thickBot="1">
      <c r="A81" s="282">
        <v>1</v>
      </c>
      <c r="B81" s="9" t="s">
        <v>11</v>
      </c>
      <c r="C81" s="292"/>
      <c r="D81" s="9" t="s">
        <v>9</v>
      </c>
      <c r="E81" s="283">
        <v>7</v>
      </c>
      <c r="F81" s="289" t="s">
        <v>33</v>
      </c>
      <c r="G81" s="281">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5806</v>
      </c>
      <c r="H81" s="290">
        <f>VLOOKUP(BUReporting[[#This Row],[Program]],'Program MW '!$A$34:$S$45,3,FALSE)</f>
        <v>0</v>
      </c>
    </row>
    <row r="82" spans="1:8" ht="16.5" thickTop="1" thickBot="1">
      <c r="A82" s="282">
        <v>2</v>
      </c>
      <c r="B82" s="9" t="s">
        <v>12</v>
      </c>
      <c r="C82" s="292" t="s">
        <v>13</v>
      </c>
      <c r="D82" s="9" t="s">
        <v>9</v>
      </c>
      <c r="E82" s="283">
        <v>7</v>
      </c>
      <c r="F82" s="289" t="s">
        <v>33</v>
      </c>
      <c r="G82" s="281"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2" s="290" t="e">
        <f>VLOOKUP(BUReporting[[#This Row],[Program]],'Program MW '!$A$34:$S$45,3,FALSE)</f>
        <v>#N/A</v>
      </c>
    </row>
    <row r="83" spans="1:8" ht="16.5" thickTop="1" thickBot="1">
      <c r="A83" s="282">
        <v>3</v>
      </c>
      <c r="B83" s="9" t="s">
        <v>14</v>
      </c>
      <c r="C83" s="292"/>
      <c r="D83" s="9" t="s">
        <v>9</v>
      </c>
      <c r="E83" s="283">
        <v>7</v>
      </c>
      <c r="F83" s="289" t="s">
        <v>33</v>
      </c>
      <c r="G83" s="281"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3" s="290" t="e">
        <f>VLOOKUP(BUReporting[[#This Row],[Program]],'Program MW '!$A$34:$S$45,3,FALSE)</f>
        <v>#N/A</v>
      </c>
    </row>
    <row r="84" spans="1:8" ht="16.5" thickTop="1" thickBot="1">
      <c r="A84" s="282">
        <v>4</v>
      </c>
      <c r="B84" s="9" t="s">
        <v>15</v>
      </c>
      <c r="C84" s="292" t="s">
        <v>16</v>
      </c>
      <c r="D84" s="9" t="s">
        <v>9</v>
      </c>
      <c r="E84" s="283">
        <v>7</v>
      </c>
      <c r="F84" s="289" t="s">
        <v>33</v>
      </c>
      <c r="G84" s="281"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4" s="290" t="e">
        <f>VLOOKUP(BUReporting[[#This Row],[Program]],'Program MW '!$A$34:$S$45,3,FALSE)</f>
        <v>#N/A</v>
      </c>
    </row>
    <row r="85" spans="1:8" ht="16.5" thickTop="1" thickBot="1">
      <c r="A85" s="282">
        <v>5</v>
      </c>
      <c r="B85" s="9" t="s">
        <v>17</v>
      </c>
      <c r="C85" s="292" t="s">
        <v>18</v>
      </c>
      <c r="D85" s="9" t="s">
        <v>19</v>
      </c>
      <c r="E85" s="283">
        <v>7</v>
      </c>
      <c r="F85" s="289" t="s">
        <v>33</v>
      </c>
      <c r="G85" s="281">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14955</v>
      </c>
      <c r="H85" s="290">
        <f>VLOOKUP(BUReporting[[#This Row],[Program]],'Program MW '!$A$34:$S$45,3,FALSE)</f>
        <v>2.4866744115203621</v>
      </c>
    </row>
    <row r="86" spans="1:8" ht="16.5" thickTop="1" thickBot="1">
      <c r="A86" s="282">
        <v>6</v>
      </c>
      <c r="B86" s="9" t="s">
        <v>20</v>
      </c>
      <c r="C86" s="292" t="s">
        <v>18</v>
      </c>
      <c r="D86" s="9" t="s">
        <v>9</v>
      </c>
      <c r="E86" s="283">
        <v>7</v>
      </c>
      <c r="F86" s="289" t="s">
        <v>33</v>
      </c>
      <c r="G86" s="281">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249</v>
      </c>
      <c r="H86" s="290">
        <f>VLOOKUP(BUReporting[[#This Row],[Program]],'Program MW '!$A$34:$S$45,3,FALSE)</f>
        <v>0.51758776760101322</v>
      </c>
    </row>
    <row r="87" spans="1:8" ht="16.5" thickTop="1" thickBot="1">
      <c r="A87" s="282">
        <v>7</v>
      </c>
      <c r="B87" s="9" t="s">
        <v>21</v>
      </c>
      <c r="C87" s="292" t="s">
        <v>22</v>
      </c>
      <c r="D87" s="9" t="s">
        <v>19</v>
      </c>
      <c r="E87" s="283">
        <v>7</v>
      </c>
      <c r="F87" s="289" t="s">
        <v>33</v>
      </c>
      <c r="G87" s="281">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9340</v>
      </c>
      <c r="H87" s="290">
        <f>VLOOKUP(BUReporting[[#This Row],[Program]],'Program MW '!$A$34:$S$45,3,FALSE)</f>
        <v>1.2445325839999999</v>
      </c>
    </row>
    <row r="88" spans="1:8" ht="16.5" thickTop="1" thickBot="1">
      <c r="A88" s="282">
        <v>8</v>
      </c>
      <c r="B88" s="9" t="s">
        <v>23</v>
      </c>
      <c r="C88" s="292" t="s">
        <v>22</v>
      </c>
      <c r="D88" s="9" t="s">
        <v>9</v>
      </c>
      <c r="E88" s="283">
        <v>7</v>
      </c>
      <c r="F88" s="289" t="s">
        <v>33</v>
      </c>
      <c r="G88" s="281">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2705</v>
      </c>
      <c r="H88" s="290">
        <f>VLOOKUP(BUReporting[[#This Row],[Program]],'Program MW '!$A$34:$S$45,3,FALSE)</f>
        <v>0.21937090149999999</v>
      </c>
    </row>
    <row r="89" spans="1:8" ht="16.5" thickTop="1" thickBot="1">
      <c r="A89" s="282">
        <v>9</v>
      </c>
      <c r="B89" s="9" t="s">
        <v>24</v>
      </c>
      <c r="C89" s="292"/>
      <c r="D89" s="9" t="s">
        <v>9</v>
      </c>
      <c r="E89" s="283">
        <v>7</v>
      </c>
      <c r="F89" s="289" t="s">
        <v>33</v>
      </c>
      <c r="G89" s="281">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35</v>
      </c>
      <c r="H89" s="290">
        <f>VLOOKUP(BUReporting[[#This Row],[Program]],'Program MW '!$A$34:$S$45,3,FALSE)</f>
        <v>0.41388164999999999</v>
      </c>
    </row>
    <row r="90" spans="1:8" ht="16.5" thickTop="1" thickBot="1">
      <c r="A90" s="282">
        <v>10</v>
      </c>
      <c r="B90" s="9" t="s">
        <v>25</v>
      </c>
      <c r="C90" s="292"/>
      <c r="D90" s="9" t="s">
        <v>9</v>
      </c>
      <c r="E90" s="283">
        <v>7</v>
      </c>
      <c r="F90" s="289" t="s">
        <v>33</v>
      </c>
      <c r="G90" s="281">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131</v>
      </c>
      <c r="H90" s="290">
        <f>VLOOKUP(BUReporting[[#This Row],[Program]],'Program MW '!$A$34:$S$45,3,FALSE)</f>
        <v>1.186943447</v>
      </c>
    </row>
    <row r="91" spans="1:8" ht="16.5" thickTop="1" thickBot="1">
      <c r="A91" s="282">
        <v>11</v>
      </c>
      <c r="B91" s="9" t="s">
        <v>26</v>
      </c>
      <c r="C91" s="292"/>
      <c r="D91" s="9" t="s">
        <v>9</v>
      </c>
      <c r="E91" s="283">
        <v>7</v>
      </c>
      <c r="F91" s="289" t="s">
        <v>33</v>
      </c>
      <c r="G91" s="281">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62705</v>
      </c>
      <c r="H91" s="290">
        <f>VLOOKUP(BUReporting[[#This Row],[Program]],'Program MW '!$A$34:$S$45,3,FALSE)</f>
        <v>0.13718643118937368</v>
      </c>
    </row>
    <row r="92" spans="1:8" ht="14.25" thickTop="1" thickBot="1">
      <c r="A92" s="282">
        <v>12</v>
      </c>
      <c r="B92" s="9" t="s">
        <v>27</v>
      </c>
      <c r="C92" s="37"/>
      <c r="D92" s="9" t="s">
        <v>19</v>
      </c>
      <c r="E92" s="283">
        <v>7</v>
      </c>
      <c r="F92" s="289" t="s">
        <v>33</v>
      </c>
      <c r="G92" s="281">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21149</v>
      </c>
      <c r="H92" s="290">
        <f>VLOOKUP(BUReporting[[#This Row],[Program]],'Program MW '!$A$34:$S$45,3,FALSE)</f>
        <v>1.8182098268599642</v>
      </c>
    </row>
    <row r="93" spans="1:8" ht="16.5" thickTop="1" thickBot="1">
      <c r="A93" s="291">
        <v>0</v>
      </c>
      <c r="B93" s="68" t="s">
        <v>8</v>
      </c>
      <c r="C93" s="292"/>
      <c r="D93" s="284" t="s">
        <v>9</v>
      </c>
      <c r="E93" s="287">
        <v>8</v>
      </c>
      <c r="F93" s="288" t="s">
        <v>34</v>
      </c>
      <c r="G93" s="281">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1</v>
      </c>
      <c r="H93" s="290">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0.15982838439941408</v>
      </c>
    </row>
    <row r="94" spans="1:8" ht="16.5" thickTop="1" thickBot="1">
      <c r="A94" s="282">
        <v>1</v>
      </c>
      <c r="B94" s="9" t="s">
        <v>11</v>
      </c>
      <c r="C94" s="292"/>
      <c r="D94" s="9" t="s">
        <v>9</v>
      </c>
      <c r="E94" s="283">
        <v>8</v>
      </c>
      <c r="F94" s="289" t="s">
        <v>34</v>
      </c>
      <c r="G94" s="281">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5772</v>
      </c>
      <c r="H94" s="290">
        <f>VLOOKUP(BUReporting[[#This Row],[Program]],'Program MW '!$A$34:$S$45,6,FALSE)</f>
        <v>0</v>
      </c>
    </row>
    <row r="95" spans="1:8" ht="16.5" thickTop="1" thickBot="1">
      <c r="A95" s="282">
        <v>2</v>
      </c>
      <c r="B95" s="9" t="s">
        <v>12</v>
      </c>
      <c r="C95" s="292" t="s">
        <v>13</v>
      </c>
      <c r="D95" s="9" t="s">
        <v>9</v>
      </c>
      <c r="E95" s="283">
        <v>8</v>
      </c>
      <c r="F95" s="289" t="s">
        <v>34</v>
      </c>
      <c r="G95" s="281"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5" s="290" t="e">
        <f>VLOOKUP(BUReporting[[#This Row],[Program]],'Program MW '!$A$34:$S$45,6,FALSE)</f>
        <v>#N/A</v>
      </c>
    </row>
    <row r="96" spans="1:8" ht="16.5" thickTop="1" thickBot="1">
      <c r="A96" s="282">
        <v>3</v>
      </c>
      <c r="B96" s="9" t="s">
        <v>14</v>
      </c>
      <c r="C96" s="292"/>
      <c r="D96" s="9" t="s">
        <v>9</v>
      </c>
      <c r="E96" s="283">
        <v>8</v>
      </c>
      <c r="F96" s="289" t="s">
        <v>34</v>
      </c>
      <c r="G96" s="281"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6" s="290" t="e">
        <f>VLOOKUP(BUReporting[[#This Row],[Program]],'Program MW '!$A$34:$S$45,6,FALSE)</f>
        <v>#N/A</v>
      </c>
    </row>
    <row r="97" spans="1:8" ht="16.5" thickTop="1" thickBot="1">
      <c r="A97" s="282">
        <v>4</v>
      </c>
      <c r="B97" s="9" t="s">
        <v>15</v>
      </c>
      <c r="C97" s="292" t="s">
        <v>16</v>
      </c>
      <c r="D97" s="9" t="s">
        <v>9</v>
      </c>
      <c r="E97" s="283">
        <v>8</v>
      </c>
      <c r="F97" s="289" t="s">
        <v>34</v>
      </c>
      <c r="G97" s="281"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7" s="290" t="e">
        <f>VLOOKUP(BUReporting[[#This Row],[Program]],'Program MW '!$A$34:$S$45,6,FALSE)</f>
        <v>#N/A</v>
      </c>
    </row>
    <row r="98" spans="1:8" ht="16.5" thickTop="1" thickBot="1">
      <c r="A98" s="282">
        <v>5</v>
      </c>
      <c r="B98" s="9" t="s">
        <v>17</v>
      </c>
      <c r="C98" s="292" t="s">
        <v>18</v>
      </c>
      <c r="D98" s="9" t="s">
        <v>19</v>
      </c>
      <c r="E98" s="283">
        <v>8</v>
      </c>
      <c r="F98" s="289" t="s">
        <v>34</v>
      </c>
      <c r="G98" s="281">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15274</v>
      </c>
      <c r="H98" s="290">
        <f>VLOOKUP(BUReporting[[#This Row],[Program]],'Program MW '!$A$34:$S$45,6,FALSE)</f>
        <v>3.3835735105872153</v>
      </c>
    </row>
    <row r="99" spans="1:8" ht="16.5" thickTop="1" thickBot="1">
      <c r="A99" s="282">
        <v>6</v>
      </c>
      <c r="B99" s="9" t="s">
        <v>20</v>
      </c>
      <c r="C99" s="292" t="s">
        <v>18</v>
      </c>
      <c r="D99" s="9" t="s">
        <v>9</v>
      </c>
      <c r="E99" s="283">
        <v>8</v>
      </c>
      <c r="F99" s="289" t="s">
        <v>34</v>
      </c>
      <c r="G99" s="281">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274</v>
      </c>
      <c r="H99" s="290">
        <f>VLOOKUP(BUReporting[[#This Row],[Program]],'Program MW '!$A$34:$S$45,6,FALSE)</f>
        <v>0.82841749811172483</v>
      </c>
    </row>
    <row r="100" spans="1:8" ht="16.5" thickTop="1" thickBot="1">
      <c r="A100" s="282">
        <v>7</v>
      </c>
      <c r="B100" s="9" t="s">
        <v>21</v>
      </c>
      <c r="C100" s="292" t="s">
        <v>22</v>
      </c>
      <c r="D100" s="9" t="s">
        <v>19</v>
      </c>
      <c r="E100" s="283">
        <v>8</v>
      </c>
      <c r="F100" s="289" t="s">
        <v>34</v>
      </c>
      <c r="G100" s="281">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9238</v>
      </c>
      <c r="H100" s="290">
        <f>VLOOKUP(BUReporting[[#This Row],[Program]],'Program MW '!$A$34:$S$45,6,FALSE)</f>
        <v>1.8140826884000001</v>
      </c>
    </row>
    <row r="101" spans="1:8" ht="16.5" thickTop="1" thickBot="1">
      <c r="A101" s="282">
        <v>8</v>
      </c>
      <c r="B101" s="9" t="s">
        <v>23</v>
      </c>
      <c r="C101" s="292" t="s">
        <v>22</v>
      </c>
      <c r="D101" s="9" t="s">
        <v>9</v>
      </c>
      <c r="E101" s="283">
        <v>8</v>
      </c>
      <c r="F101" s="289" t="s">
        <v>34</v>
      </c>
      <c r="G101" s="281">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2684</v>
      </c>
      <c r="H101" s="290">
        <f>VLOOKUP(BUReporting[[#This Row],[Program]],'Program MW '!$A$34:$S$45,6,FALSE)</f>
        <v>0.24562787040000003</v>
      </c>
    </row>
    <row r="102" spans="1:8" ht="16.5" thickTop="1" thickBot="1">
      <c r="A102" s="282">
        <v>9</v>
      </c>
      <c r="B102" s="9" t="s">
        <v>24</v>
      </c>
      <c r="C102" s="292"/>
      <c r="D102" s="9" t="s">
        <v>9</v>
      </c>
      <c r="E102" s="283">
        <v>8</v>
      </c>
      <c r="F102" s="289" t="s">
        <v>34</v>
      </c>
      <c r="G102" s="281">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47</v>
      </c>
      <c r="H102" s="290">
        <f>VLOOKUP(BUReporting[[#This Row],[Program]],'Program MW '!$A$34:$S$45,6,FALSE)</f>
        <v>0.55578392999999993</v>
      </c>
    </row>
    <row r="103" spans="1:8" ht="16.5" thickTop="1" thickBot="1">
      <c r="A103" s="282">
        <v>10</v>
      </c>
      <c r="B103" s="9" t="s">
        <v>25</v>
      </c>
      <c r="C103" s="292"/>
      <c r="D103" s="9" t="s">
        <v>9</v>
      </c>
      <c r="E103" s="283">
        <v>8</v>
      </c>
      <c r="F103" s="289" t="s">
        <v>34</v>
      </c>
      <c r="G103" s="281">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133</v>
      </c>
      <c r="H103" s="290">
        <f>VLOOKUP(BUReporting[[#This Row],[Program]],'Program MW '!$A$34:$S$45,6,FALSE)</f>
        <v>1.2050647210000001</v>
      </c>
    </row>
    <row r="104" spans="1:8" ht="16.5" thickTop="1" thickBot="1">
      <c r="A104" s="282">
        <v>11</v>
      </c>
      <c r="B104" s="9" t="s">
        <v>26</v>
      </c>
      <c r="C104" s="292"/>
      <c r="D104" s="9" t="s">
        <v>9</v>
      </c>
      <c r="E104" s="283">
        <v>8</v>
      </c>
      <c r="F104" s="289" t="s">
        <v>34</v>
      </c>
      <c r="G104" s="281">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52619</v>
      </c>
      <c r="H104" s="290">
        <f>VLOOKUP(BUReporting[[#This Row],[Program]],'Program MW '!$A$34:$S$45,6,FALSE)</f>
        <v>0.16549843604170117</v>
      </c>
    </row>
    <row r="105" spans="1:8" ht="14.25" thickTop="1" thickBot="1">
      <c r="A105" s="282">
        <v>12</v>
      </c>
      <c r="B105" s="9" t="s">
        <v>27</v>
      </c>
      <c r="C105" s="37"/>
      <c r="D105" s="9" t="s">
        <v>19</v>
      </c>
      <c r="E105" s="283">
        <v>8</v>
      </c>
      <c r="F105" s="289" t="s">
        <v>34</v>
      </c>
      <c r="G105" s="281">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21943</v>
      </c>
      <c r="H105" s="290">
        <f>VLOOKUP(BUReporting[[#This Row],[Program]],'Program MW '!$A$34:$S$45,6,FALSE)</f>
        <v>2.0169782995299981</v>
      </c>
    </row>
    <row r="106" spans="1:8" ht="16.5" thickTop="1" thickBot="1">
      <c r="A106" s="291">
        <v>0</v>
      </c>
      <c r="B106" s="68" t="s">
        <v>8</v>
      </c>
      <c r="C106" s="292"/>
      <c r="D106" s="284" t="s">
        <v>9</v>
      </c>
      <c r="E106" s="287">
        <v>9</v>
      </c>
      <c r="F106" s="288" t="s">
        <v>35</v>
      </c>
      <c r="G106" s="281">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1</v>
      </c>
      <c r="H106" s="290">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0.18203308105468749</v>
      </c>
    </row>
    <row r="107" spans="1:8" ht="16.5" thickTop="1" thickBot="1">
      <c r="A107" s="282">
        <v>1</v>
      </c>
      <c r="B107" s="9" t="s">
        <v>11</v>
      </c>
      <c r="C107" s="292"/>
      <c r="D107" s="9" t="s">
        <v>9</v>
      </c>
      <c r="E107" s="283">
        <v>9</v>
      </c>
      <c r="F107" s="289" t="s">
        <v>35</v>
      </c>
      <c r="G107"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5747</v>
      </c>
      <c r="H107" s="290">
        <f>VLOOKUP(BUReporting[[#This Row],[Program]],'Program MW '!$A$34:$S$45,9,FALSE)</f>
        <v>0</v>
      </c>
    </row>
    <row r="108" spans="1:8" ht="16.5" thickTop="1" thickBot="1">
      <c r="A108" s="282">
        <v>2</v>
      </c>
      <c r="B108" s="9" t="s">
        <v>12</v>
      </c>
      <c r="C108" s="292" t="s">
        <v>13</v>
      </c>
      <c r="D108" s="9" t="s">
        <v>9</v>
      </c>
      <c r="E108" s="283">
        <v>9</v>
      </c>
      <c r="F108" s="289" t="s">
        <v>35</v>
      </c>
      <c r="G108" s="281"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08" s="290" t="e">
        <f>VLOOKUP(BUReporting[[#This Row],[Program]],'Program MW '!$A$34:$S$45,9,FALSE)</f>
        <v>#N/A</v>
      </c>
    </row>
    <row r="109" spans="1:8" ht="16.5" thickTop="1" thickBot="1">
      <c r="A109" s="282">
        <v>3</v>
      </c>
      <c r="B109" s="9" t="s">
        <v>14</v>
      </c>
      <c r="C109" s="292"/>
      <c r="D109" s="9" t="s">
        <v>9</v>
      </c>
      <c r="E109" s="283">
        <v>9</v>
      </c>
      <c r="F109" s="289" t="s">
        <v>35</v>
      </c>
      <c r="G109" s="281"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09" s="290" t="e">
        <f>VLOOKUP(BUReporting[[#This Row],[Program]],'Program MW '!$A$34:$S$45,9,FALSE)</f>
        <v>#N/A</v>
      </c>
    </row>
    <row r="110" spans="1:8" ht="16.5" thickTop="1" thickBot="1">
      <c r="A110" s="282">
        <v>4</v>
      </c>
      <c r="B110" s="9" t="s">
        <v>15</v>
      </c>
      <c r="C110" s="292" t="s">
        <v>16</v>
      </c>
      <c r="D110" s="9" t="s">
        <v>9</v>
      </c>
      <c r="E110" s="283">
        <v>9</v>
      </c>
      <c r="F110" s="289" t="s">
        <v>35</v>
      </c>
      <c r="G110" s="281"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10" s="290" t="e">
        <f>VLOOKUP(BUReporting[[#This Row],[Program]],'Program MW '!$A$34:$S$45,9,FALSE)</f>
        <v>#N/A</v>
      </c>
    </row>
    <row r="111" spans="1:8" ht="16.5" thickTop="1" thickBot="1">
      <c r="A111" s="282">
        <v>5</v>
      </c>
      <c r="B111" s="9" t="s">
        <v>17</v>
      </c>
      <c r="C111" s="292" t="s">
        <v>18</v>
      </c>
      <c r="D111" s="9" t="s">
        <v>19</v>
      </c>
      <c r="E111" s="283">
        <v>9</v>
      </c>
      <c r="F111" s="289" t="s">
        <v>35</v>
      </c>
      <c r="G111"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15415</v>
      </c>
      <c r="H111" s="290">
        <f>VLOOKUP(BUReporting[[#This Row],[Program]],'Program MW '!$A$34:$S$45,9,FALSE)</f>
        <v>4.4301948508620264</v>
      </c>
    </row>
    <row r="112" spans="1:8" ht="16.5" thickTop="1" thickBot="1">
      <c r="A112" s="282">
        <v>6</v>
      </c>
      <c r="B112" s="9" t="s">
        <v>20</v>
      </c>
      <c r="C112" s="292" t="s">
        <v>18</v>
      </c>
      <c r="D112" s="9" t="s">
        <v>9</v>
      </c>
      <c r="E112" s="283">
        <v>9</v>
      </c>
      <c r="F112" s="289" t="s">
        <v>35</v>
      </c>
      <c r="G112"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275</v>
      </c>
      <c r="H112" s="290">
        <f>VLOOKUP(BUReporting[[#This Row],[Program]],'Program MW '!$A$34:$S$45,9,FALSE)</f>
        <v>0.6900439918041229</v>
      </c>
    </row>
    <row r="113" spans="1:8" ht="16.5" thickTop="1" thickBot="1">
      <c r="A113" s="282">
        <v>7</v>
      </c>
      <c r="B113" s="9" t="s">
        <v>21</v>
      </c>
      <c r="C113" s="292" t="s">
        <v>22</v>
      </c>
      <c r="D113" s="9" t="s">
        <v>19</v>
      </c>
      <c r="E113" s="283">
        <v>9</v>
      </c>
      <c r="F113" s="289" t="s">
        <v>35</v>
      </c>
      <c r="G113"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9103</v>
      </c>
      <c r="H113" s="290">
        <f>VLOOKUP(BUReporting[[#This Row],[Program]],'Program MW '!$A$34:$S$45,9,FALSE)</f>
        <v>2.2158203995000001</v>
      </c>
    </row>
    <row r="114" spans="1:8" ht="16.5" thickTop="1" thickBot="1">
      <c r="A114" s="282">
        <v>8</v>
      </c>
      <c r="B114" s="9" t="s">
        <v>23</v>
      </c>
      <c r="C114" s="292" t="s">
        <v>22</v>
      </c>
      <c r="D114" s="9" t="s">
        <v>9</v>
      </c>
      <c r="E114" s="283">
        <v>9</v>
      </c>
      <c r="F114" s="289" t="s">
        <v>35</v>
      </c>
      <c r="G114"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2643</v>
      </c>
      <c r="H114" s="290">
        <f>VLOOKUP(BUReporting[[#This Row],[Program]],'Program MW '!$A$34:$S$45,9,FALSE)</f>
        <v>0.27496529790000002</v>
      </c>
    </row>
    <row r="115" spans="1:8" ht="16.5" thickTop="1" thickBot="1">
      <c r="A115" s="282">
        <v>9</v>
      </c>
      <c r="B115" s="9" t="s">
        <v>24</v>
      </c>
      <c r="C115" s="292"/>
      <c r="D115" s="9" t="s">
        <v>9</v>
      </c>
      <c r="E115" s="283">
        <v>9</v>
      </c>
      <c r="F115" s="289" t="s">
        <v>35</v>
      </c>
      <c r="G115"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35</v>
      </c>
      <c r="H115" s="290">
        <f>VLOOKUP(BUReporting[[#This Row],[Program]],'Program MW '!$A$34:$S$45,9,FALSE)</f>
        <v>0.41388164999999999</v>
      </c>
    </row>
    <row r="116" spans="1:8" ht="16.5" thickTop="1" thickBot="1">
      <c r="A116" s="282">
        <v>10</v>
      </c>
      <c r="B116" s="9" t="s">
        <v>25</v>
      </c>
      <c r="C116" s="292"/>
      <c r="D116" s="9" t="s">
        <v>9</v>
      </c>
      <c r="E116" s="283">
        <v>9</v>
      </c>
      <c r="F116" s="289" t="s">
        <v>35</v>
      </c>
      <c r="G116"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130</v>
      </c>
      <c r="H116" s="290">
        <f>VLOOKUP(BUReporting[[#This Row],[Program]],'Program MW '!$A$34:$S$45,9,FALSE)</f>
        <v>1.1778828100000001</v>
      </c>
    </row>
    <row r="117" spans="1:8" ht="16.5" thickTop="1" thickBot="1">
      <c r="A117" s="282">
        <v>11</v>
      </c>
      <c r="B117" s="9" t="s">
        <v>26</v>
      </c>
      <c r="C117" s="292"/>
      <c r="D117" s="9" t="s">
        <v>9</v>
      </c>
      <c r="E117" s="283">
        <v>9</v>
      </c>
      <c r="F117" s="289" t="s">
        <v>35</v>
      </c>
      <c r="G117"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52325</v>
      </c>
      <c r="H117" s="290">
        <f>VLOOKUP(BUReporting[[#This Row],[Program]],'Program MW '!$A$34:$S$45,9,FALSE)</f>
        <v>0.2334702063470154</v>
      </c>
    </row>
    <row r="118" spans="1:8" ht="14.25" thickTop="1" thickBot="1">
      <c r="A118" s="282">
        <v>12</v>
      </c>
      <c r="B118" s="9" t="s">
        <v>27</v>
      </c>
      <c r="C118" s="37"/>
      <c r="D118" s="9" t="s">
        <v>19</v>
      </c>
      <c r="E118" s="283">
        <v>9</v>
      </c>
      <c r="F118" s="289" t="s">
        <v>35</v>
      </c>
      <c r="G118" s="281">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22333</v>
      </c>
      <c r="H118" s="290">
        <f>VLOOKUP(BUReporting[[#This Row],[Program]],'Program MW '!$A$34:$S$45,9,FALSE)</f>
        <v>2.245907741382811</v>
      </c>
    </row>
    <row r="119" spans="1:8" ht="16.5" thickTop="1" thickBot="1">
      <c r="A119" s="291">
        <v>0</v>
      </c>
      <c r="B119" s="68" t="s">
        <v>8</v>
      </c>
      <c r="C119" s="292"/>
      <c r="D119" s="284" t="s">
        <v>9</v>
      </c>
      <c r="E119" s="287">
        <v>10</v>
      </c>
      <c r="F119" s="288" t="s">
        <v>36</v>
      </c>
      <c r="G119" s="281">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1</v>
      </c>
      <c r="H119" s="290">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0.15341392517089844</v>
      </c>
    </row>
    <row r="120" spans="1:8" ht="16.5" thickTop="1" thickBot="1">
      <c r="A120" s="282">
        <v>1</v>
      </c>
      <c r="B120" s="9" t="s">
        <v>11</v>
      </c>
      <c r="C120" s="292"/>
      <c r="D120" s="9" t="s">
        <v>9</v>
      </c>
      <c r="E120" s="283">
        <v>10</v>
      </c>
      <c r="F120" s="289" t="s">
        <v>36</v>
      </c>
      <c r="G120"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5687</v>
      </c>
      <c r="H120" s="290">
        <f>VLOOKUP(BUReporting[[#This Row],[Program]],'Program MW '!$A$34:$S$45,12,FALSE)</f>
        <v>0</v>
      </c>
    </row>
    <row r="121" spans="1:8" ht="16.5" thickTop="1" thickBot="1">
      <c r="A121" s="282">
        <v>2</v>
      </c>
      <c r="B121" s="9" t="s">
        <v>12</v>
      </c>
      <c r="C121" s="292" t="s">
        <v>13</v>
      </c>
      <c r="D121" s="9" t="s">
        <v>9</v>
      </c>
      <c r="E121" s="283">
        <v>10</v>
      </c>
      <c r="F121" s="289" t="s">
        <v>36</v>
      </c>
      <c r="G121" s="281"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1" s="290" t="e">
        <f>VLOOKUP(BUReporting[[#This Row],[Program]],'Program MW '!$A$34:$S$45,12,FALSE)</f>
        <v>#N/A</v>
      </c>
    </row>
    <row r="122" spans="1:8" ht="16.5" thickTop="1" thickBot="1">
      <c r="A122" s="282">
        <v>3</v>
      </c>
      <c r="B122" s="9" t="s">
        <v>14</v>
      </c>
      <c r="C122" s="292"/>
      <c r="D122" s="9" t="s">
        <v>9</v>
      </c>
      <c r="E122" s="283">
        <v>10</v>
      </c>
      <c r="F122" s="289" t="s">
        <v>36</v>
      </c>
      <c r="G122" s="281"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2" s="290" t="e">
        <f>VLOOKUP(BUReporting[[#This Row],[Program]],'Program MW '!$A$34:$S$45,12,FALSE)</f>
        <v>#N/A</v>
      </c>
    </row>
    <row r="123" spans="1:8" ht="16.5" thickTop="1" thickBot="1">
      <c r="A123" s="282">
        <v>4</v>
      </c>
      <c r="B123" s="9" t="s">
        <v>15</v>
      </c>
      <c r="C123" s="292" t="s">
        <v>16</v>
      </c>
      <c r="D123" s="9" t="s">
        <v>9</v>
      </c>
      <c r="E123" s="283">
        <v>10</v>
      </c>
      <c r="F123" s="289" t="s">
        <v>36</v>
      </c>
      <c r="G123" s="281"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3" s="290" t="e">
        <f>VLOOKUP(BUReporting[[#This Row],[Program]],'Program MW '!$A$34:$S$45,12,FALSE)</f>
        <v>#N/A</v>
      </c>
    </row>
    <row r="124" spans="1:8" ht="16.5" thickTop="1" thickBot="1">
      <c r="A124" s="282">
        <v>5</v>
      </c>
      <c r="B124" s="9" t="s">
        <v>17</v>
      </c>
      <c r="C124" s="292" t="s">
        <v>18</v>
      </c>
      <c r="D124" s="9" t="s">
        <v>19</v>
      </c>
      <c r="E124" s="283">
        <v>10</v>
      </c>
      <c r="F124" s="289" t="s">
        <v>36</v>
      </c>
      <c r="G124"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15560</v>
      </c>
      <c r="H124" s="290">
        <f>VLOOKUP(BUReporting[[#This Row],[Program]],'Program MW '!$A$34:$S$45,12,FALSE)</f>
        <v>2.3533515328168866</v>
      </c>
    </row>
    <row r="125" spans="1:8" ht="16.5" thickTop="1" thickBot="1">
      <c r="A125" s="282">
        <v>6</v>
      </c>
      <c r="B125" s="9" t="s">
        <v>20</v>
      </c>
      <c r="C125" s="292" t="s">
        <v>18</v>
      </c>
      <c r="D125" s="9" t="s">
        <v>9</v>
      </c>
      <c r="E125" s="283">
        <v>10</v>
      </c>
      <c r="F125" s="289" t="s">
        <v>36</v>
      </c>
      <c r="G125"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275</v>
      </c>
      <c r="H125" s="290">
        <f>VLOOKUP(BUReporting[[#This Row],[Program]],'Program MW '!$A$34:$S$45,12,FALSE)</f>
        <v>0.57323129177093513</v>
      </c>
    </row>
    <row r="126" spans="1:8" ht="16.5" thickTop="1" thickBot="1">
      <c r="A126" s="282">
        <v>7</v>
      </c>
      <c r="B126" s="9" t="s">
        <v>21</v>
      </c>
      <c r="C126" s="292" t="s">
        <v>22</v>
      </c>
      <c r="D126" s="9" t="s">
        <v>19</v>
      </c>
      <c r="E126" s="283">
        <v>10</v>
      </c>
      <c r="F126" s="289" t="s">
        <v>36</v>
      </c>
      <c r="G126"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9003</v>
      </c>
      <c r="H126" s="290">
        <f>VLOOKUP(BUReporting[[#This Row],[Program]],'Program MW '!$A$34:$S$45,12,FALSE)</f>
        <v>1.1414552583000002</v>
      </c>
    </row>
    <row r="127" spans="1:8" ht="16.5" thickTop="1" thickBot="1">
      <c r="A127" s="282">
        <v>8</v>
      </c>
      <c r="B127" s="9" t="s">
        <v>23</v>
      </c>
      <c r="C127" s="292" t="s">
        <v>22</v>
      </c>
      <c r="D127" s="9" t="s">
        <v>9</v>
      </c>
      <c r="E127" s="283">
        <v>10</v>
      </c>
      <c r="F127" s="289" t="s">
        <v>36</v>
      </c>
      <c r="G127"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2608</v>
      </c>
      <c r="H127" s="290">
        <f>VLOOKUP(BUReporting[[#This Row],[Program]],'Program MW '!$A$34:$S$45,12,FALSE)</f>
        <v>0.21774948320000001</v>
      </c>
    </row>
    <row r="128" spans="1:8" ht="16.5" thickTop="1" thickBot="1">
      <c r="A128" s="282">
        <v>9</v>
      </c>
      <c r="B128" s="9" t="s">
        <v>24</v>
      </c>
      <c r="C128" s="292"/>
      <c r="D128" s="9" t="s">
        <v>9</v>
      </c>
      <c r="E128" s="283">
        <v>10</v>
      </c>
      <c r="F128" s="289" t="s">
        <v>36</v>
      </c>
      <c r="G128"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48</v>
      </c>
      <c r="H128" s="290">
        <f>VLOOKUP(BUReporting[[#This Row],[Program]],'Program MW '!$A$34:$S$45,12,FALSE)</f>
        <v>0.56760911999999997</v>
      </c>
    </row>
    <row r="129" spans="1:8" ht="16.5" thickTop="1" thickBot="1">
      <c r="A129" s="282">
        <v>10</v>
      </c>
      <c r="B129" s="9" t="s">
        <v>25</v>
      </c>
      <c r="C129" s="292"/>
      <c r="D129" s="9" t="s">
        <v>9</v>
      </c>
      <c r="E129" s="283">
        <v>10</v>
      </c>
      <c r="F129" s="289" t="s">
        <v>36</v>
      </c>
      <c r="G129"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131</v>
      </c>
      <c r="H129" s="290">
        <f>VLOOKUP(BUReporting[[#This Row],[Program]],'Program MW '!$A$34:$S$45,12,FALSE)</f>
        <v>1.186943447</v>
      </c>
    </row>
    <row r="130" spans="1:8" ht="16.5" thickTop="1" thickBot="1">
      <c r="A130" s="282">
        <v>11</v>
      </c>
      <c r="B130" s="9" t="s">
        <v>26</v>
      </c>
      <c r="C130" s="292"/>
      <c r="D130" s="9" t="s">
        <v>9</v>
      </c>
      <c r="E130" s="283">
        <v>10</v>
      </c>
      <c r="F130" s="289" t="s">
        <v>36</v>
      </c>
      <c r="G130"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51755</v>
      </c>
      <c r="H130" s="290">
        <f>VLOOKUP(BUReporting[[#This Row],[Program]],'Program MW '!$A$34:$S$45,12,FALSE)</f>
        <v>0.1479696831267667</v>
      </c>
    </row>
    <row r="131" spans="1:8" ht="14.25" thickTop="1" thickBot="1">
      <c r="A131" s="282">
        <v>12</v>
      </c>
      <c r="B131" s="9" t="s">
        <v>27</v>
      </c>
      <c r="C131" s="37"/>
      <c r="D131" s="9" t="s">
        <v>19</v>
      </c>
      <c r="E131" s="283">
        <v>10</v>
      </c>
      <c r="F131" s="289" t="s">
        <v>36</v>
      </c>
      <c r="G131" s="281">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22369</v>
      </c>
      <c r="H131" s="290">
        <f>VLOOKUP(BUReporting[[#This Row],[Program]],'Program MW '!$A$34:$S$45,12,FALSE)</f>
        <v>2.095196886470446</v>
      </c>
    </row>
    <row r="132" spans="1:8" ht="16.5" thickTop="1" thickBot="1">
      <c r="A132" s="291">
        <v>0</v>
      </c>
      <c r="B132" s="68" t="s">
        <v>8</v>
      </c>
      <c r="C132" s="292"/>
      <c r="D132" s="284" t="s">
        <v>9</v>
      </c>
      <c r="E132" s="287">
        <v>11</v>
      </c>
      <c r="F132" s="288" t="s">
        <v>37</v>
      </c>
      <c r="G132" s="281">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132" s="290">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133" spans="1:8" ht="16.5" thickTop="1" thickBot="1">
      <c r="A133" s="282">
        <v>1</v>
      </c>
      <c r="B133" s="9" t="s">
        <v>11</v>
      </c>
      <c r="C133" s="292"/>
      <c r="D133" s="9" t="s">
        <v>9</v>
      </c>
      <c r="E133" s="283">
        <v>11</v>
      </c>
      <c r="F133" s="289" t="s">
        <v>37</v>
      </c>
      <c r="G133"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5609</v>
      </c>
      <c r="H133" s="290">
        <f>VLOOKUP(BUReporting[[#This Row],[Program]],'Program MW '!$A$34:$S$45,15,FALSE)</f>
        <v>0</v>
      </c>
    </row>
    <row r="134" spans="1:8" ht="16.5" thickTop="1" thickBot="1">
      <c r="A134" s="282">
        <v>2</v>
      </c>
      <c r="B134" s="9" t="s">
        <v>12</v>
      </c>
      <c r="C134" s="292" t="s">
        <v>13</v>
      </c>
      <c r="D134" s="9" t="s">
        <v>9</v>
      </c>
      <c r="E134" s="283">
        <v>11</v>
      </c>
      <c r="F134" s="289" t="s">
        <v>37</v>
      </c>
      <c r="G134" s="281"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4" s="290" t="e">
        <f>VLOOKUP(BUReporting[[#This Row],[Program]],'Program MW '!$A$34:$S$45,15,FALSE)</f>
        <v>#N/A</v>
      </c>
    </row>
    <row r="135" spans="1:8" ht="16.5" thickTop="1" thickBot="1">
      <c r="A135" s="282">
        <v>3</v>
      </c>
      <c r="B135" s="9" t="s">
        <v>14</v>
      </c>
      <c r="C135" s="292"/>
      <c r="D135" s="9" t="s">
        <v>9</v>
      </c>
      <c r="E135" s="283">
        <v>11</v>
      </c>
      <c r="F135" s="289" t="s">
        <v>37</v>
      </c>
      <c r="G135" s="281"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5" s="290" t="e">
        <f>VLOOKUP(BUReporting[[#This Row],[Program]],'Program MW '!$A$34:$S$45,15,FALSE)</f>
        <v>#N/A</v>
      </c>
    </row>
    <row r="136" spans="1:8" ht="16.5" thickTop="1" thickBot="1">
      <c r="A136" s="282">
        <v>4</v>
      </c>
      <c r="B136" s="9" t="s">
        <v>15</v>
      </c>
      <c r="C136" s="292" t="s">
        <v>16</v>
      </c>
      <c r="D136" s="9" t="s">
        <v>9</v>
      </c>
      <c r="E136" s="283">
        <v>11</v>
      </c>
      <c r="F136" s="289" t="s">
        <v>37</v>
      </c>
      <c r="G136" s="281"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6" s="290" t="e">
        <f>VLOOKUP(BUReporting[[#This Row],[Program]],'Program MW '!$A$34:$S$45,15,FALSE)</f>
        <v>#N/A</v>
      </c>
    </row>
    <row r="137" spans="1:8" ht="16.5" thickTop="1" thickBot="1">
      <c r="A137" s="282">
        <v>5</v>
      </c>
      <c r="B137" s="9" t="s">
        <v>17</v>
      </c>
      <c r="C137" s="292" t="s">
        <v>18</v>
      </c>
      <c r="D137" s="9" t="s">
        <v>19</v>
      </c>
      <c r="E137" s="283">
        <v>11</v>
      </c>
      <c r="F137" s="289" t="s">
        <v>37</v>
      </c>
      <c r="G137"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14767</v>
      </c>
      <c r="H137" s="290">
        <f>VLOOKUP(BUReporting[[#This Row],[Program]],'Program MW '!$A$34:$S$45,15,FALSE)</f>
        <v>0.33768625443428757</v>
      </c>
    </row>
    <row r="138" spans="1:8" ht="16.5" thickTop="1" thickBot="1">
      <c r="A138" s="282">
        <v>6</v>
      </c>
      <c r="B138" s="9" t="s">
        <v>20</v>
      </c>
      <c r="C138" s="292" t="s">
        <v>18</v>
      </c>
      <c r="D138" s="9" t="s">
        <v>9</v>
      </c>
      <c r="E138" s="283">
        <v>11</v>
      </c>
      <c r="F138" s="289" t="s">
        <v>37</v>
      </c>
      <c r="G138"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294</v>
      </c>
      <c r="H138" s="290">
        <f>VLOOKUP(BUReporting[[#This Row],[Program]],'Program MW '!$A$34:$S$45,15,FALSE)</f>
        <v>0.13593907803297042</v>
      </c>
    </row>
    <row r="139" spans="1:8" ht="16.5" thickTop="1" thickBot="1">
      <c r="A139" s="282">
        <v>7</v>
      </c>
      <c r="B139" s="9" t="s">
        <v>21</v>
      </c>
      <c r="C139" s="292" t="s">
        <v>22</v>
      </c>
      <c r="D139" s="9" t="s">
        <v>19</v>
      </c>
      <c r="E139" s="283">
        <v>11</v>
      </c>
      <c r="F139" s="289" t="s">
        <v>37</v>
      </c>
      <c r="G139"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8947</v>
      </c>
      <c r="H139" s="290">
        <f>VLOOKUP(BUReporting[[#This Row],[Program]],'Program MW '!$A$34:$S$45,15,FALSE)</f>
        <v>0</v>
      </c>
    </row>
    <row r="140" spans="1:8" ht="16.5" thickTop="1" thickBot="1">
      <c r="A140" s="282">
        <v>8</v>
      </c>
      <c r="B140" s="9" t="s">
        <v>23</v>
      </c>
      <c r="C140" s="292" t="s">
        <v>22</v>
      </c>
      <c r="D140" s="9" t="s">
        <v>9</v>
      </c>
      <c r="E140" s="283">
        <v>11</v>
      </c>
      <c r="F140" s="289" t="s">
        <v>37</v>
      </c>
      <c r="G140"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2594</v>
      </c>
      <c r="H140" s="290">
        <f>VLOOKUP(BUReporting[[#This Row],[Program]],'Program MW '!$A$34:$S$45,15,FALSE)</f>
        <v>0</v>
      </c>
    </row>
    <row r="141" spans="1:8" ht="16.5" thickTop="1" thickBot="1">
      <c r="A141" s="282">
        <v>9</v>
      </c>
      <c r="B141" s="9" t="s">
        <v>24</v>
      </c>
      <c r="C141" s="292"/>
      <c r="D141" s="9" t="s">
        <v>9</v>
      </c>
      <c r="E141" s="283">
        <v>11</v>
      </c>
      <c r="F141" s="289" t="s">
        <v>37</v>
      </c>
      <c r="G141"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1" s="290">
        <f>VLOOKUP(BUReporting[[#This Row],[Program]],'Program MW '!$A$34:$S$45,15,FALSE)</f>
        <v>0</v>
      </c>
    </row>
    <row r="142" spans="1:8" ht="16.5" thickTop="1" thickBot="1">
      <c r="A142" s="282">
        <v>10</v>
      </c>
      <c r="B142" s="9" t="s">
        <v>25</v>
      </c>
      <c r="C142" s="292"/>
      <c r="D142" s="9" t="s">
        <v>9</v>
      </c>
      <c r="E142" s="283">
        <v>11</v>
      </c>
      <c r="F142" s="289" t="s">
        <v>37</v>
      </c>
      <c r="G142"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2" s="290">
        <f>VLOOKUP(BUReporting[[#This Row],[Program]],'Program MW '!$A$34:$S$45,15,FALSE)</f>
        <v>0</v>
      </c>
    </row>
    <row r="143" spans="1:8" ht="16.5" thickTop="1" thickBot="1">
      <c r="A143" s="282">
        <v>11</v>
      </c>
      <c r="B143" s="9" t="s">
        <v>26</v>
      </c>
      <c r="C143" s="292"/>
      <c r="D143" s="9" t="s">
        <v>9</v>
      </c>
      <c r="E143" s="283">
        <v>11</v>
      </c>
      <c r="F143" s="289" t="s">
        <v>37</v>
      </c>
      <c r="G143"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51823</v>
      </c>
      <c r="H143" s="290">
        <f>VLOOKUP(BUReporting[[#This Row],[Program]],'Program MW '!$A$34:$S$45,15,FALSE)</f>
        <v>1.6330572174783155E-2</v>
      </c>
    </row>
    <row r="144" spans="1:8" ht="14.25" thickTop="1" thickBot="1">
      <c r="A144" s="282">
        <v>12</v>
      </c>
      <c r="B144" s="9" t="s">
        <v>27</v>
      </c>
      <c r="C144" s="37"/>
      <c r="D144" s="9" t="s">
        <v>19</v>
      </c>
      <c r="E144" s="283">
        <v>11</v>
      </c>
      <c r="F144" s="289" t="s">
        <v>37</v>
      </c>
      <c r="G144" s="281">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22082</v>
      </c>
      <c r="H144" s="290">
        <f>VLOOKUP(BUReporting[[#This Row],[Program]],'Program MW '!$A$34:$S$45,15,FALSE)</f>
        <v>3.1344709908821673</v>
      </c>
    </row>
    <row r="145" spans="1:8" ht="16.5" thickTop="1" thickBot="1">
      <c r="A145" s="291">
        <v>0</v>
      </c>
      <c r="B145" s="68" t="s">
        <v>8</v>
      </c>
      <c r="C145" s="292"/>
      <c r="D145" s="284" t="s">
        <v>9</v>
      </c>
      <c r="E145" s="287">
        <v>12</v>
      </c>
      <c r="F145" s="288" t="s">
        <v>38</v>
      </c>
      <c r="G145" s="281">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145" s="290">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146" spans="1:8" ht="16.5" thickTop="1" thickBot="1">
      <c r="A146" s="282">
        <v>1</v>
      </c>
      <c r="B146" s="9" t="s">
        <v>11</v>
      </c>
      <c r="C146" s="292"/>
      <c r="D146" s="9" t="s">
        <v>9</v>
      </c>
      <c r="E146" s="283">
        <v>12</v>
      </c>
      <c r="F146" s="289" t="s">
        <v>38</v>
      </c>
      <c r="G146"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5574</v>
      </c>
      <c r="H146" s="290">
        <f>VLOOKUP(BUReporting[[#This Row],[Program]],'Program MW '!$A$34:$S$45,18,FALSE)</f>
        <v>0</v>
      </c>
    </row>
    <row r="147" spans="1:8" ht="16.5" thickTop="1" thickBot="1">
      <c r="A147" s="282">
        <v>2</v>
      </c>
      <c r="B147" s="9" t="s">
        <v>12</v>
      </c>
      <c r="C147" s="292" t="s">
        <v>13</v>
      </c>
      <c r="D147" s="9" t="s">
        <v>9</v>
      </c>
      <c r="E147" s="283">
        <v>12</v>
      </c>
      <c r="F147" s="289" t="s">
        <v>38</v>
      </c>
      <c r="G147" s="281"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7" s="290" t="e">
        <f>VLOOKUP(BUReporting[[#This Row],[Program]],'Program MW '!$A$34:$S$45,18,FALSE)</f>
        <v>#N/A</v>
      </c>
    </row>
    <row r="148" spans="1:8" ht="16.5" thickTop="1" thickBot="1">
      <c r="A148" s="282">
        <v>3</v>
      </c>
      <c r="B148" s="9" t="s">
        <v>14</v>
      </c>
      <c r="C148" s="292"/>
      <c r="D148" s="9" t="s">
        <v>9</v>
      </c>
      <c r="E148" s="283">
        <v>12</v>
      </c>
      <c r="F148" s="289" t="s">
        <v>38</v>
      </c>
      <c r="G148" s="281"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8" s="290" t="e">
        <f>VLOOKUP(BUReporting[[#This Row],[Program]],'Program MW '!$A$34:$S$45,18,FALSE)</f>
        <v>#N/A</v>
      </c>
    </row>
    <row r="149" spans="1:8" ht="16.5" thickTop="1" thickBot="1">
      <c r="A149" s="282">
        <v>4</v>
      </c>
      <c r="B149" s="9" t="s">
        <v>15</v>
      </c>
      <c r="C149" s="292" t="s">
        <v>16</v>
      </c>
      <c r="D149" s="9" t="s">
        <v>9</v>
      </c>
      <c r="E149" s="283">
        <v>12</v>
      </c>
      <c r="F149" s="289" t="s">
        <v>38</v>
      </c>
      <c r="G149" s="281"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9" s="290" t="e">
        <f>VLOOKUP(BUReporting[[#This Row],[Program]],'Program MW '!$A$34:$S$45,18,FALSE)</f>
        <v>#N/A</v>
      </c>
    </row>
    <row r="150" spans="1:8" ht="16.5" thickTop="1" thickBot="1">
      <c r="A150" s="282">
        <v>5</v>
      </c>
      <c r="B150" s="9" t="s">
        <v>17</v>
      </c>
      <c r="C150" s="292" t="s">
        <v>18</v>
      </c>
      <c r="D150" s="9" t="s">
        <v>19</v>
      </c>
      <c r="E150" s="283">
        <v>12</v>
      </c>
      <c r="F150" s="289" t="s">
        <v>38</v>
      </c>
      <c r="G150"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15334</v>
      </c>
      <c r="H150" s="290">
        <f>VLOOKUP(BUReporting[[#This Row],[Program]],'Program MW '!$A$34:$S$45,18,FALSE)</f>
        <v>0</v>
      </c>
    </row>
    <row r="151" spans="1:8" ht="16.5" thickTop="1" thickBot="1">
      <c r="A151" s="282">
        <v>6</v>
      </c>
      <c r="B151" s="9" t="s">
        <v>20</v>
      </c>
      <c r="C151" s="292" t="s">
        <v>18</v>
      </c>
      <c r="D151" s="9" t="s">
        <v>9</v>
      </c>
      <c r="E151" s="283">
        <v>12</v>
      </c>
      <c r="F151" s="289" t="s">
        <v>38</v>
      </c>
      <c r="G151"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296</v>
      </c>
      <c r="H151" s="290">
        <f>VLOOKUP(BUReporting[[#This Row],[Program]],'Program MW '!$A$34:$S$45,18,FALSE)</f>
        <v>0</v>
      </c>
    </row>
    <row r="152" spans="1:8" ht="16.5" thickTop="1" thickBot="1">
      <c r="A152" s="282">
        <v>7</v>
      </c>
      <c r="B152" s="9" t="s">
        <v>21</v>
      </c>
      <c r="C152" s="292" t="s">
        <v>22</v>
      </c>
      <c r="D152" s="9" t="s">
        <v>19</v>
      </c>
      <c r="E152" s="283">
        <v>12</v>
      </c>
      <c r="F152" s="289" t="s">
        <v>38</v>
      </c>
      <c r="G152"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8873</v>
      </c>
      <c r="H152" s="290">
        <f>VLOOKUP(BUReporting[[#This Row],[Program]],'Program MW '!$A$34:$S$45,18,FALSE)</f>
        <v>0</v>
      </c>
    </row>
    <row r="153" spans="1:8" ht="16.5" thickTop="1" thickBot="1">
      <c r="A153" s="282">
        <v>8</v>
      </c>
      <c r="B153" s="9" t="s">
        <v>23</v>
      </c>
      <c r="C153" s="292" t="s">
        <v>22</v>
      </c>
      <c r="D153" s="9" t="s">
        <v>9</v>
      </c>
      <c r="E153" s="283">
        <v>12</v>
      </c>
      <c r="F153" s="289" t="s">
        <v>38</v>
      </c>
      <c r="G153"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2560</v>
      </c>
      <c r="H153" s="290">
        <f>VLOOKUP(BUReporting[[#This Row],[Program]],'Program MW '!$A$34:$S$45,18,FALSE)</f>
        <v>0</v>
      </c>
    </row>
    <row r="154" spans="1:8" ht="16.5" thickTop="1" thickBot="1">
      <c r="A154" s="282">
        <v>9</v>
      </c>
      <c r="B154" s="9" t="s">
        <v>24</v>
      </c>
      <c r="C154" s="292"/>
      <c r="D154" s="9" t="s">
        <v>9</v>
      </c>
      <c r="E154" s="283">
        <v>12</v>
      </c>
      <c r="F154" s="289" t="s">
        <v>38</v>
      </c>
      <c r="G154"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4" s="290">
        <f>VLOOKUP(BUReporting[[#This Row],[Program]],'Program MW '!$A$34:$S$45,18,FALSE)</f>
        <v>0</v>
      </c>
    </row>
    <row r="155" spans="1:8" ht="16.5" thickTop="1" thickBot="1">
      <c r="A155" s="282">
        <v>10</v>
      </c>
      <c r="B155" s="9" t="s">
        <v>25</v>
      </c>
      <c r="C155" s="292"/>
      <c r="D155" s="9" t="s">
        <v>9</v>
      </c>
      <c r="E155" s="283">
        <v>12</v>
      </c>
      <c r="F155" s="289" t="s">
        <v>38</v>
      </c>
      <c r="G155"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5" s="290">
        <f>VLOOKUP(BUReporting[[#This Row],[Program]],'Program MW '!$A$34:$S$45,18,FALSE)</f>
        <v>0</v>
      </c>
    </row>
    <row r="156" spans="1:8" ht="16.5" thickTop="1" thickBot="1">
      <c r="A156" s="282">
        <v>11</v>
      </c>
      <c r="B156" s="9" t="s">
        <v>26</v>
      </c>
      <c r="C156" s="292"/>
      <c r="D156" s="9" t="s">
        <v>9</v>
      </c>
      <c r="E156" s="283">
        <v>12</v>
      </c>
      <c r="F156" s="289" t="s">
        <v>38</v>
      </c>
      <c r="G156"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51040</v>
      </c>
      <c r="H156" s="290">
        <f>VLOOKUP(BUReporting[[#This Row],[Program]],'Program MW '!$A$34:$S$45,18,FALSE)</f>
        <v>-3.966852934886504E-3</v>
      </c>
    </row>
    <row r="157" spans="1:8" ht="13.5" thickTop="1">
      <c r="A157" s="282">
        <v>12</v>
      </c>
      <c r="B157" s="9" t="s">
        <v>27</v>
      </c>
      <c r="C157" s="37"/>
      <c r="D157" s="9" t="s">
        <v>19</v>
      </c>
      <c r="E157" s="283">
        <v>12</v>
      </c>
      <c r="F157" s="289" t="s">
        <v>38</v>
      </c>
      <c r="G157" s="281">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21897</v>
      </c>
      <c r="H157" s="290">
        <f>VLOOKUP(BUReporting[[#This Row],[Program]],'Program MW '!$A$34:$S$45,18,FALSE)</f>
        <v>3.529843614540805</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V68"/>
  <sheetViews>
    <sheetView showGridLines="0" zoomScaleNormal="100" zoomScaleSheetLayoutView="80" workbookViewId="0">
      <pane xSplit="1" ySplit="9" topLeftCell="B10" activePane="bottomRight" state="frozen"/>
      <selection pane="topRight" activeCell="O33" sqref="O33"/>
      <selection pane="bottomLeft" activeCell="O33" sqref="O33"/>
      <selection pane="bottomRight" activeCell="D40" sqref="D40"/>
    </sheetView>
  </sheetViews>
  <sheetFormatPr defaultColWidth="8.28515625" defaultRowHeight="12.75"/>
  <cols>
    <col min="1" max="1" width="86.28515625" style="97" customWidth="1"/>
    <col min="2" max="6" width="12" style="97" bestFit="1" customWidth="1"/>
    <col min="7" max="7" width="12.5703125" style="97" customWidth="1"/>
    <col min="8" max="9" width="12" style="97" bestFit="1" customWidth="1"/>
    <col min="10" max="10" width="13.5703125" style="97" bestFit="1" customWidth="1"/>
    <col min="11" max="11" width="12" style="97" bestFit="1" customWidth="1"/>
    <col min="12" max="12" width="12" style="97" customWidth="1"/>
    <col min="13" max="13" width="12.5703125" style="97" customWidth="1"/>
    <col min="14" max="14" width="13.7109375" style="97" bestFit="1" customWidth="1"/>
    <col min="15" max="15" width="14.7109375" style="97" bestFit="1" customWidth="1"/>
    <col min="16" max="16" width="12" style="97" bestFit="1" customWidth="1"/>
    <col min="17" max="17" width="11.5703125" style="97" customWidth="1"/>
    <col min="18" max="18" width="8.28515625" style="97" bestFit="1" customWidth="1"/>
    <col min="19" max="20" width="8.28515625" style="97"/>
    <col min="21" max="21" width="11.42578125" style="97" customWidth="1"/>
    <col min="22" max="16384" width="8.28515625" style="97"/>
  </cols>
  <sheetData>
    <row r="2" spans="1:22">
      <c r="A2" s="96"/>
      <c r="G2" s="113" t="s">
        <v>204</v>
      </c>
    </row>
    <row r="3" spans="1:22">
      <c r="A3" s="96"/>
      <c r="G3" s="113" t="s">
        <v>205</v>
      </c>
    </row>
    <row r="4" spans="1:22">
      <c r="A4" s="96"/>
      <c r="F4" s="143"/>
      <c r="G4" s="144" t="str">
        <f>'Program MW '!H3</f>
        <v>December  2021</v>
      </c>
      <c r="H4" s="143"/>
      <c r="I4" s="143"/>
      <c r="N4" s="396"/>
    </row>
    <row r="5" spans="1:22">
      <c r="A5" s="96"/>
      <c r="B5" s="420"/>
      <c r="C5" s="420"/>
      <c r="D5" s="420"/>
      <c r="E5" s="420"/>
      <c r="F5" s="420"/>
      <c r="G5" s="420"/>
      <c r="H5" s="420"/>
      <c r="I5" s="420"/>
      <c r="J5" s="420"/>
      <c r="K5" s="420"/>
      <c r="L5" s="420"/>
      <c r="M5" s="420"/>
      <c r="N5" s="420"/>
    </row>
    <row r="6" spans="1:22" ht="13.5" thickBot="1">
      <c r="B6" s="420"/>
      <c r="C6" s="420"/>
      <c r="D6" s="420"/>
      <c r="E6" s="420"/>
      <c r="F6" s="420"/>
      <c r="G6" s="420"/>
      <c r="H6" s="420"/>
      <c r="I6" s="420"/>
      <c r="J6" s="420"/>
      <c r="K6" s="420"/>
      <c r="L6" s="420"/>
      <c r="M6" s="420"/>
      <c r="N6" s="420"/>
    </row>
    <row r="7" spans="1:22">
      <c r="A7" s="216"/>
      <c r="B7" s="98"/>
      <c r="C7" s="98"/>
      <c r="D7" s="98"/>
      <c r="E7" s="98"/>
      <c r="F7" s="98"/>
      <c r="G7" s="98"/>
      <c r="H7" s="98"/>
      <c r="I7" s="98"/>
      <c r="J7" s="98"/>
      <c r="K7" s="98"/>
      <c r="L7" s="98"/>
      <c r="M7" s="99"/>
      <c r="N7" s="99"/>
      <c r="O7" s="99"/>
      <c r="P7" s="100"/>
      <c r="Q7" s="100"/>
      <c r="R7" s="213"/>
    </row>
    <row r="8" spans="1:22" ht="9" customHeight="1">
      <c r="A8" s="217"/>
      <c r="B8" s="101"/>
      <c r="C8" s="101"/>
      <c r="D8" s="101"/>
      <c r="E8" s="101"/>
      <c r="F8" s="101"/>
      <c r="G8" s="101"/>
      <c r="H8" s="101"/>
      <c r="I8" s="101"/>
      <c r="J8" s="101"/>
      <c r="K8" s="101"/>
      <c r="L8" s="101"/>
      <c r="M8" s="534"/>
      <c r="N8" s="534"/>
      <c r="O8" s="534"/>
      <c r="P8" s="535"/>
      <c r="Q8" s="535"/>
      <c r="R8" s="536"/>
    </row>
    <row r="9" spans="1:22" ht="87.75" customHeight="1">
      <c r="A9" s="537" t="s">
        <v>206</v>
      </c>
      <c r="B9" s="538" t="s">
        <v>41</v>
      </c>
      <c r="C9" s="186" t="s">
        <v>42</v>
      </c>
      <c r="D9" s="186" t="s">
        <v>43</v>
      </c>
      <c r="E9" s="186" t="s">
        <v>44</v>
      </c>
      <c r="F9" s="186" t="s">
        <v>31</v>
      </c>
      <c r="G9" s="186" t="s">
        <v>45</v>
      </c>
      <c r="H9" s="186" t="s">
        <v>59</v>
      </c>
      <c r="I9" s="187" t="s">
        <v>60</v>
      </c>
      <c r="J9" s="187" t="s">
        <v>61</v>
      </c>
      <c r="K9" s="186" t="s">
        <v>62</v>
      </c>
      <c r="L9" s="186" t="s">
        <v>63</v>
      </c>
      <c r="M9" s="186" t="s">
        <v>64</v>
      </c>
      <c r="N9" s="102" t="s">
        <v>173</v>
      </c>
      <c r="O9" s="102" t="s">
        <v>174</v>
      </c>
      <c r="P9" s="102" t="s">
        <v>207</v>
      </c>
      <c r="Q9" s="102" t="s">
        <v>388</v>
      </c>
      <c r="R9" s="102" t="s">
        <v>208</v>
      </c>
    </row>
    <row r="10" spans="1:22">
      <c r="A10" s="218" t="s">
        <v>209</v>
      </c>
      <c r="B10" s="539"/>
      <c r="C10" s="14"/>
      <c r="D10" s="14"/>
      <c r="E10" s="14"/>
      <c r="F10" s="103"/>
      <c r="G10" s="183"/>
      <c r="H10" s="103"/>
      <c r="I10" s="103"/>
      <c r="J10" s="103"/>
      <c r="K10" s="103"/>
      <c r="L10" s="103"/>
      <c r="M10" s="540"/>
      <c r="N10" s="369"/>
      <c r="O10" s="363"/>
      <c r="P10" s="223"/>
      <c r="Q10" s="104"/>
      <c r="R10" s="104"/>
    </row>
    <row r="11" spans="1:22" ht="14.25">
      <c r="A11" s="604" t="s">
        <v>374</v>
      </c>
      <c r="B11" s="605">
        <v>130414.18</v>
      </c>
      <c r="C11" s="605">
        <v>8363.4500000000007</v>
      </c>
      <c r="D11" s="605">
        <v>10848.44</v>
      </c>
      <c r="E11" s="605">
        <v>10627.95</v>
      </c>
      <c r="F11" s="605">
        <v>12351.36</v>
      </c>
      <c r="G11" s="605">
        <v>13271.69</v>
      </c>
      <c r="H11" s="605">
        <v>11670.65</v>
      </c>
      <c r="I11" s="605">
        <v>11117.74</v>
      </c>
      <c r="J11" s="605">
        <v>12036.77</v>
      </c>
      <c r="K11" s="605">
        <v>24973.15</v>
      </c>
      <c r="L11" s="605">
        <v>9632.9599999999991</v>
      </c>
      <c r="M11" s="605">
        <v>255271.85</v>
      </c>
      <c r="N11" s="606">
        <f>SUM(B11:M11)</f>
        <v>510580.18999999994</v>
      </c>
      <c r="O11" s="607">
        <f>911166.26+N11</f>
        <v>1421746.45</v>
      </c>
      <c r="P11" s="606">
        <v>2869200</v>
      </c>
      <c r="Q11" s="606">
        <v>0</v>
      </c>
      <c r="R11" s="608">
        <f>+O11/P11</f>
        <v>0.49552016241461033</v>
      </c>
      <c r="S11" s="383"/>
      <c r="T11" s="384"/>
      <c r="U11" s="384"/>
      <c r="V11" s="385"/>
    </row>
    <row r="12" spans="1:22" ht="14.25">
      <c r="A12" s="604" t="s">
        <v>375</v>
      </c>
      <c r="B12" s="605">
        <v>44396.97</v>
      </c>
      <c r="C12" s="605">
        <v>11855.34</v>
      </c>
      <c r="D12" s="605">
        <v>76439.240000000005</v>
      </c>
      <c r="E12" s="605">
        <v>45376.56</v>
      </c>
      <c r="F12" s="605">
        <v>42134.16</v>
      </c>
      <c r="G12" s="605">
        <v>48670.899999999994</v>
      </c>
      <c r="H12" s="605">
        <v>50157.36</v>
      </c>
      <c r="I12" s="605">
        <v>45191.22</v>
      </c>
      <c r="J12" s="605">
        <v>41550.979999999996</v>
      </c>
      <c r="K12" s="605">
        <v>47951.02</v>
      </c>
      <c r="L12" s="605">
        <v>46190.01</v>
      </c>
      <c r="M12" s="605">
        <v>709191.7</v>
      </c>
      <c r="N12" s="606">
        <f t="shared" ref="N12:N15" si="0">SUM(B12:M12)</f>
        <v>1209105.46</v>
      </c>
      <c r="O12" s="607">
        <f>4136398.1+N12</f>
        <v>5345503.5600000005</v>
      </c>
      <c r="P12" s="606">
        <v>9020700</v>
      </c>
      <c r="Q12" s="606">
        <v>0</v>
      </c>
      <c r="R12" s="608">
        <f t="shared" ref="R12:R15" si="1">+O12/P12</f>
        <v>0.59258190162625968</v>
      </c>
      <c r="S12" s="383"/>
      <c r="T12" s="384"/>
      <c r="U12" s="384"/>
      <c r="V12" s="385"/>
    </row>
    <row r="13" spans="1:22" ht="14.25">
      <c r="A13" s="604" t="s">
        <v>376</v>
      </c>
      <c r="B13" s="605">
        <v>23502.37</v>
      </c>
      <c r="C13" s="605">
        <v>5443.21</v>
      </c>
      <c r="D13" s="605">
        <v>25267.79</v>
      </c>
      <c r="E13" s="605">
        <v>6694.64</v>
      </c>
      <c r="F13" s="605">
        <v>7589.23</v>
      </c>
      <c r="G13" s="605">
        <v>8120.4399999999987</v>
      </c>
      <c r="H13" s="605">
        <v>7570.5499999999993</v>
      </c>
      <c r="I13" s="605">
        <v>5652.4400000000014</v>
      </c>
      <c r="J13" s="605">
        <v>5359.2599999999993</v>
      </c>
      <c r="K13" s="605">
        <v>4077.5600000000004</v>
      </c>
      <c r="L13" s="605">
        <v>833.29</v>
      </c>
      <c r="M13" s="605">
        <v>1607.74</v>
      </c>
      <c r="N13" s="606">
        <f t="shared" si="0"/>
        <v>101718.51999999999</v>
      </c>
      <c r="O13" s="607">
        <f>534827.88+N13</f>
        <v>636546.4</v>
      </c>
      <c r="P13" s="606">
        <v>4664400</v>
      </c>
      <c r="Q13" s="606">
        <v>0</v>
      </c>
      <c r="R13" s="608">
        <f t="shared" si="1"/>
        <v>0.13646908498413515</v>
      </c>
      <c r="S13" s="383"/>
      <c r="T13" s="384"/>
      <c r="U13" s="384"/>
      <c r="V13" s="385"/>
    </row>
    <row r="14" spans="1:22">
      <c r="A14" s="219" t="s">
        <v>210</v>
      </c>
      <c r="B14" s="592">
        <v>6528.78</v>
      </c>
      <c r="C14" s="592">
        <v>9156</v>
      </c>
      <c r="D14" s="592">
        <v>9538.4</v>
      </c>
      <c r="E14" s="592">
        <v>20910.16</v>
      </c>
      <c r="F14" s="592">
        <v>16437.310000000001</v>
      </c>
      <c r="G14" s="592">
        <v>18691.11</v>
      </c>
      <c r="H14" s="592">
        <v>31062.91</v>
      </c>
      <c r="I14" s="592">
        <v>7862.019999999995</v>
      </c>
      <c r="J14" s="592">
        <v>71873.040000000008</v>
      </c>
      <c r="K14" s="592">
        <v>17945.449999999997</v>
      </c>
      <c r="L14" s="592">
        <v>51028.1</v>
      </c>
      <c r="M14" s="592">
        <v>2826.18</v>
      </c>
      <c r="N14" s="395">
        <f t="shared" si="0"/>
        <v>263859.46000000002</v>
      </c>
      <c r="O14" s="396">
        <f>928216.96+N14</f>
        <v>1192076.42</v>
      </c>
      <c r="P14" s="395">
        <f>10535000+Q14</f>
        <v>10300502</v>
      </c>
      <c r="Q14" s="395">
        <v>-234498</v>
      </c>
      <c r="R14" s="370">
        <f t="shared" si="1"/>
        <v>0.11572993432747257</v>
      </c>
      <c r="S14" s="383"/>
      <c r="T14" s="384"/>
      <c r="U14" s="384"/>
      <c r="V14" s="385"/>
    </row>
    <row r="15" spans="1:22" ht="14.25">
      <c r="A15" s="220" t="s">
        <v>211</v>
      </c>
      <c r="B15" s="593">
        <v>0</v>
      </c>
      <c r="C15" s="593">
        <v>0</v>
      </c>
      <c r="D15" s="593">
        <v>0</v>
      </c>
      <c r="E15" s="593">
        <v>0</v>
      </c>
      <c r="F15" s="593">
        <v>0</v>
      </c>
      <c r="G15" s="593">
        <v>0</v>
      </c>
      <c r="H15" s="593">
        <v>0</v>
      </c>
      <c r="I15" s="593">
        <v>0</v>
      </c>
      <c r="J15" s="593">
        <v>0</v>
      </c>
      <c r="K15" s="593">
        <v>0</v>
      </c>
      <c r="L15" s="593">
        <v>0</v>
      </c>
      <c r="M15" s="593">
        <v>0</v>
      </c>
      <c r="N15" s="395">
        <f t="shared" si="0"/>
        <v>0</v>
      </c>
      <c r="O15" s="396">
        <f>15328.47+N15</f>
        <v>15328.47</v>
      </c>
      <c r="P15" s="397">
        <v>20000</v>
      </c>
      <c r="Q15" s="395">
        <v>0</v>
      </c>
      <c r="R15" s="370">
        <f t="shared" si="1"/>
        <v>0.76642349999999992</v>
      </c>
      <c r="S15" s="383"/>
      <c r="T15" s="384"/>
      <c r="U15" s="384"/>
      <c r="V15" s="385"/>
    </row>
    <row r="16" spans="1:22">
      <c r="A16" s="541" t="s">
        <v>212</v>
      </c>
      <c r="B16" s="398">
        <f>SUM(B11:B15)</f>
        <v>204842.3</v>
      </c>
      <c r="C16" s="399">
        <f t="shared" ref="C16:M16" si="2">SUM(C11:C15)</f>
        <v>34818</v>
      </c>
      <c r="D16" s="399">
        <f t="shared" si="2"/>
        <v>122093.87</v>
      </c>
      <c r="E16" s="399">
        <f t="shared" si="2"/>
        <v>83609.31</v>
      </c>
      <c r="F16" s="399">
        <f t="shared" si="2"/>
        <v>78512.06</v>
      </c>
      <c r="G16" s="399">
        <f t="shared" si="2"/>
        <v>88754.14</v>
      </c>
      <c r="H16" s="399">
        <f t="shared" si="2"/>
        <v>100461.47</v>
      </c>
      <c r="I16" s="399">
        <f t="shared" si="2"/>
        <v>69823.42</v>
      </c>
      <c r="J16" s="399">
        <f t="shared" si="2"/>
        <v>130820.05000000002</v>
      </c>
      <c r="K16" s="399">
        <f>SUM(K11:K15)</f>
        <v>94947.18</v>
      </c>
      <c r="L16" s="399">
        <f t="shared" si="2"/>
        <v>107684.36</v>
      </c>
      <c r="M16" s="399">
        <f t="shared" si="2"/>
        <v>968897.47</v>
      </c>
      <c r="N16" s="542">
        <f>SUM(N11:N15)</f>
        <v>2085263.63</v>
      </c>
      <c r="O16" s="543">
        <f>SUM(O11:O15)</f>
        <v>8611201.3000000026</v>
      </c>
      <c r="P16" s="400">
        <f>SUM(P11:P15)</f>
        <v>26874802</v>
      </c>
      <c r="Q16" s="401">
        <f>SUM(Q11:Q15)</f>
        <v>-234498</v>
      </c>
      <c r="R16" s="371">
        <f>O16/P16</f>
        <v>0.32041915322762199</v>
      </c>
      <c r="S16" s="383"/>
      <c r="T16" s="384"/>
      <c r="U16" s="384"/>
      <c r="V16" s="385"/>
    </row>
    <row r="17" spans="1:22">
      <c r="A17" s="220"/>
      <c r="B17" s="394"/>
      <c r="C17" s="396"/>
      <c r="D17" s="396"/>
      <c r="E17" s="396"/>
      <c r="F17" s="340"/>
      <c r="G17" s="396"/>
      <c r="H17" s="340"/>
      <c r="I17" s="340"/>
      <c r="J17" s="340"/>
      <c r="K17" s="340"/>
      <c r="L17" s="340"/>
      <c r="M17" s="340"/>
      <c r="N17" s="395"/>
      <c r="O17" s="395"/>
      <c r="P17" s="397"/>
      <c r="Q17" s="395"/>
      <c r="R17" s="370"/>
      <c r="S17" s="383"/>
      <c r="T17" s="384"/>
      <c r="U17" s="384"/>
      <c r="V17" s="385"/>
    </row>
    <row r="18" spans="1:22">
      <c r="A18" s="218" t="s">
        <v>213</v>
      </c>
      <c r="B18" s="394"/>
      <c r="C18" s="396"/>
      <c r="D18" s="396"/>
      <c r="E18" s="396"/>
      <c r="F18" s="340"/>
      <c r="G18" s="396"/>
      <c r="H18" s="340"/>
      <c r="I18" s="340"/>
      <c r="J18" s="340"/>
      <c r="K18" s="340"/>
      <c r="L18" s="340"/>
      <c r="M18" s="340"/>
      <c r="N18" s="395"/>
      <c r="O18" s="395"/>
      <c r="P18" s="397"/>
      <c r="Q18" s="395"/>
      <c r="R18" s="370"/>
      <c r="S18" s="383"/>
      <c r="T18" s="384"/>
      <c r="U18" s="384"/>
      <c r="V18" s="385"/>
    </row>
    <row r="19" spans="1:22">
      <c r="A19" s="219"/>
      <c r="B19" s="394">
        <v>0</v>
      </c>
      <c r="C19" s="396">
        <v>0</v>
      </c>
      <c r="D19" s="396">
        <v>0</v>
      </c>
      <c r="E19" s="396">
        <v>0</v>
      </c>
      <c r="F19" s="396">
        <v>0</v>
      </c>
      <c r="G19" s="396">
        <v>0</v>
      </c>
      <c r="H19" s="396">
        <v>0</v>
      </c>
      <c r="I19" s="396">
        <v>0</v>
      </c>
      <c r="J19" s="396">
        <v>0</v>
      </c>
      <c r="K19" s="396">
        <v>0</v>
      </c>
      <c r="L19" s="396">
        <v>0</v>
      </c>
      <c r="M19" s="396">
        <v>0</v>
      </c>
      <c r="N19" s="395">
        <f>SUM(B19:M19)</f>
        <v>0</v>
      </c>
      <c r="O19" s="396">
        <f>0+N19</f>
        <v>0</v>
      </c>
      <c r="P19" s="397">
        <v>0</v>
      </c>
      <c r="Q19" s="395">
        <v>0</v>
      </c>
      <c r="R19" s="370">
        <v>0</v>
      </c>
      <c r="S19" s="383"/>
      <c r="T19" s="384"/>
      <c r="U19" s="384"/>
      <c r="V19" s="385"/>
    </row>
    <row r="20" spans="1:22">
      <c r="A20" s="541" t="s">
        <v>214</v>
      </c>
      <c r="B20" s="542">
        <f t="shared" ref="B20:M20" si="3">SUM(B19:B19)</f>
        <v>0</v>
      </c>
      <c r="C20" s="543">
        <f t="shared" si="3"/>
        <v>0</v>
      </c>
      <c r="D20" s="543">
        <f t="shared" si="3"/>
        <v>0</v>
      </c>
      <c r="E20" s="543">
        <f t="shared" si="3"/>
        <v>0</v>
      </c>
      <c r="F20" s="543">
        <f t="shared" si="3"/>
        <v>0</v>
      </c>
      <c r="G20" s="543">
        <f t="shared" si="3"/>
        <v>0</v>
      </c>
      <c r="H20" s="543">
        <f t="shared" si="3"/>
        <v>0</v>
      </c>
      <c r="I20" s="543">
        <f t="shared" si="3"/>
        <v>0</v>
      </c>
      <c r="J20" s="543">
        <f t="shared" si="3"/>
        <v>0</v>
      </c>
      <c r="K20" s="543">
        <f t="shared" si="3"/>
        <v>0</v>
      </c>
      <c r="L20" s="543">
        <f t="shared" si="3"/>
        <v>0</v>
      </c>
      <c r="M20" s="543">
        <f t="shared" si="3"/>
        <v>0</v>
      </c>
      <c r="N20" s="401">
        <f>SUM(N19:N19)</f>
        <v>0</v>
      </c>
      <c r="O20" s="401">
        <f>SUM(O19:O19)</f>
        <v>0</v>
      </c>
      <c r="P20" s="400">
        <f>SUM(P19:P19)</f>
        <v>0</v>
      </c>
      <c r="Q20" s="401">
        <f>SUM(Q19:Q19)</f>
        <v>0</v>
      </c>
      <c r="R20" s="372">
        <v>0</v>
      </c>
      <c r="S20" s="383"/>
      <c r="T20" s="384"/>
      <c r="U20" s="384"/>
      <c r="V20" s="385"/>
    </row>
    <row r="21" spans="1:22">
      <c r="A21" s="221"/>
      <c r="B21" s="394"/>
      <c r="C21" s="396"/>
      <c r="D21" s="396"/>
      <c r="E21" s="396"/>
      <c r="F21" s="396"/>
      <c r="G21" s="396"/>
      <c r="H21" s="396"/>
      <c r="I21" s="396"/>
      <c r="J21" s="396"/>
      <c r="K21" s="396"/>
      <c r="L21" s="396"/>
      <c r="M21" s="396"/>
      <c r="N21" s="395"/>
      <c r="O21" s="395"/>
      <c r="P21" s="397"/>
      <c r="Q21" s="395"/>
      <c r="R21" s="373"/>
      <c r="S21" s="383"/>
      <c r="T21" s="384"/>
      <c r="U21" s="384"/>
      <c r="V21" s="385"/>
    </row>
    <row r="22" spans="1:22">
      <c r="A22" s="218" t="s">
        <v>215</v>
      </c>
      <c r="B22" s="394"/>
      <c r="C22" s="396"/>
      <c r="D22" s="396"/>
      <c r="E22" s="396"/>
      <c r="F22" s="340"/>
      <c r="G22" s="396"/>
      <c r="H22" s="340"/>
      <c r="I22" s="340"/>
      <c r="J22" s="340"/>
      <c r="K22" s="340"/>
      <c r="L22" s="340"/>
      <c r="M22" s="340"/>
      <c r="N22" s="395"/>
      <c r="O22" s="395"/>
      <c r="P22" s="397"/>
      <c r="Q22" s="395"/>
      <c r="R22" s="370"/>
      <c r="S22" s="383"/>
      <c r="T22" s="384"/>
      <c r="U22" s="384"/>
      <c r="V22" s="385"/>
    </row>
    <row r="23" spans="1:22" ht="14.25">
      <c r="A23" s="219" t="s">
        <v>373</v>
      </c>
      <c r="B23" s="398">
        <v>96846.080000000002</v>
      </c>
      <c r="C23" s="398">
        <v>105481.64</v>
      </c>
      <c r="D23" s="398">
        <v>267497.59999999998</v>
      </c>
      <c r="E23" s="398">
        <v>23356.45</v>
      </c>
      <c r="F23" s="398">
        <v>-19352.11</v>
      </c>
      <c r="G23" s="398">
        <v>320557.86999999994</v>
      </c>
      <c r="H23" s="398">
        <v>14894.960000000021</v>
      </c>
      <c r="I23" s="398">
        <v>5637.2999999999965</v>
      </c>
      <c r="J23" s="398">
        <v>519123.77000000014</v>
      </c>
      <c r="K23" s="398">
        <v>-54253.319999999971</v>
      </c>
      <c r="L23" s="398">
        <v>-27877.299999999974</v>
      </c>
      <c r="M23" s="398">
        <v>183188.5</v>
      </c>
      <c r="N23" s="395">
        <f>SUM(B23:M23)</f>
        <v>1435101.44</v>
      </c>
      <c r="O23" s="396">
        <f>3846751.02+N23</f>
        <v>5281852.46</v>
      </c>
      <c r="P23" s="397">
        <v>8320000</v>
      </c>
      <c r="Q23" s="395">
        <v>0</v>
      </c>
      <c r="R23" s="370">
        <f t="shared" ref="R23" si="4">+O23/P23</f>
        <v>0.63483803605769229</v>
      </c>
      <c r="S23" s="383"/>
      <c r="T23" s="384"/>
      <c r="U23" s="384"/>
      <c r="V23" s="385"/>
    </row>
    <row r="24" spans="1:22">
      <c r="A24" s="541" t="s">
        <v>216</v>
      </c>
      <c r="B24" s="398">
        <f t="shared" ref="B24:M24" si="5">SUM(B23:B23)</f>
        <v>96846.080000000002</v>
      </c>
      <c r="C24" s="399">
        <f t="shared" si="5"/>
        <v>105481.64</v>
      </c>
      <c r="D24" s="399">
        <f t="shared" si="5"/>
        <v>267497.59999999998</v>
      </c>
      <c r="E24" s="399">
        <f t="shared" si="5"/>
        <v>23356.45</v>
      </c>
      <c r="F24" s="399">
        <f t="shared" si="5"/>
        <v>-19352.11</v>
      </c>
      <c r="G24" s="399">
        <f t="shared" si="5"/>
        <v>320557.86999999994</v>
      </c>
      <c r="H24" s="399">
        <f t="shared" si="5"/>
        <v>14894.960000000021</v>
      </c>
      <c r="I24" s="399">
        <f t="shared" si="5"/>
        <v>5637.2999999999965</v>
      </c>
      <c r="J24" s="399">
        <f t="shared" si="5"/>
        <v>519123.77000000014</v>
      </c>
      <c r="K24" s="399">
        <f t="shared" si="5"/>
        <v>-54253.319999999971</v>
      </c>
      <c r="L24" s="399">
        <f t="shared" si="5"/>
        <v>-27877.299999999974</v>
      </c>
      <c r="M24" s="399">
        <f t="shared" si="5"/>
        <v>183188.5</v>
      </c>
      <c r="N24" s="401">
        <f>SUM(N23:N23)</f>
        <v>1435101.44</v>
      </c>
      <c r="O24" s="401">
        <f>O23</f>
        <v>5281852.46</v>
      </c>
      <c r="P24" s="400">
        <f>SUM(P23:P23)</f>
        <v>8320000</v>
      </c>
      <c r="Q24" s="401">
        <f>SUM(Q23:Q23)</f>
        <v>0</v>
      </c>
      <c r="R24" s="372">
        <f>O24/P24</f>
        <v>0.63483803605769229</v>
      </c>
      <c r="S24" s="383"/>
      <c r="T24" s="384"/>
      <c r="U24" s="384"/>
      <c r="V24" s="385"/>
    </row>
    <row r="25" spans="1:22">
      <c r="A25" s="218"/>
      <c r="B25" s="394"/>
      <c r="C25" s="396"/>
      <c r="D25" s="396"/>
      <c r="E25" s="396"/>
      <c r="F25" s="340"/>
      <c r="G25" s="396"/>
      <c r="H25" s="340"/>
      <c r="I25" s="340"/>
      <c r="J25" s="340"/>
      <c r="K25" s="340"/>
      <c r="L25" s="340"/>
      <c r="M25" s="340"/>
      <c r="N25" s="395"/>
      <c r="O25" s="395"/>
      <c r="P25" s="397"/>
      <c r="Q25" s="395"/>
      <c r="R25" s="370"/>
      <c r="S25" s="383"/>
      <c r="T25" s="384"/>
      <c r="U25" s="384"/>
      <c r="V25" s="385"/>
    </row>
    <row r="26" spans="1:22">
      <c r="A26" s="218" t="s">
        <v>217</v>
      </c>
      <c r="B26" s="394"/>
      <c r="C26" s="396"/>
      <c r="D26" s="396"/>
      <c r="E26" s="396"/>
      <c r="F26" s="340"/>
      <c r="G26" s="396"/>
      <c r="H26" s="340"/>
      <c r="I26" s="340"/>
      <c r="J26" s="340"/>
      <c r="K26" s="340"/>
      <c r="L26" s="340"/>
      <c r="M26" s="340"/>
      <c r="N26" s="395"/>
      <c r="O26" s="395"/>
      <c r="P26" s="397"/>
      <c r="Q26" s="395"/>
      <c r="R26" s="370"/>
      <c r="S26" s="383"/>
      <c r="T26" s="384"/>
      <c r="U26" s="384"/>
      <c r="V26" s="385"/>
    </row>
    <row r="27" spans="1:22">
      <c r="A27" s="219" t="s">
        <v>218</v>
      </c>
      <c r="B27" s="544">
        <v>22998.69</v>
      </c>
      <c r="C27" s="544">
        <v>17649.72</v>
      </c>
      <c r="D27" s="544">
        <v>50080.86</v>
      </c>
      <c r="E27" s="544">
        <v>21034.57</v>
      </c>
      <c r="F27" s="544">
        <v>41123.129999999997</v>
      </c>
      <c r="G27" s="544">
        <v>14076.98</v>
      </c>
      <c r="H27" s="544">
        <v>15605.669999999998</v>
      </c>
      <c r="I27" s="544">
        <v>16998.690000000002</v>
      </c>
      <c r="J27" s="544">
        <v>14511.95</v>
      </c>
      <c r="K27" s="544">
        <v>10887.869999999999</v>
      </c>
      <c r="L27" s="544">
        <v>33869.159999999996</v>
      </c>
      <c r="M27" s="544">
        <v>184898.8</v>
      </c>
      <c r="N27" s="395">
        <f>SUM(B27:M27)</f>
        <v>443736.08999999997</v>
      </c>
      <c r="O27" s="396">
        <f>1326274.55+N27</f>
        <v>1770010.6400000001</v>
      </c>
      <c r="P27" s="397">
        <v>3483000</v>
      </c>
      <c r="Q27" s="395">
        <v>0</v>
      </c>
      <c r="R27" s="370">
        <f t="shared" ref="R27:R29" si="6">+O27/P27</f>
        <v>0.50818565604364063</v>
      </c>
      <c r="S27" s="383"/>
      <c r="T27" s="384"/>
      <c r="U27" s="384"/>
      <c r="V27" s="385"/>
    </row>
    <row r="28" spans="1:22">
      <c r="A28" s="219" t="s">
        <v>219</v>
      </c>
      <c r="B28" s="394">
        <v>29512.2</v>
      </c>
      <c r="C28" s="394">
        <v>26532.54</v>
      </c>
      <c r="D28" s="394">
        <v>28340.68</v>
      </c>
      <c r="E28" s="394">
        <v>40374.32</v>
      </c>
      <c r="F28" s="394">
        <v>18415.8</v>
      </c>
      <c r="G28" s="394">
        <v>28532.93</v>
      </c>
      <c r="H28" s="394">
        <v>28883.03</v>
      </c>
      <c r="I28" s="394">
        <v>36229.440000000002</v>
      </c>
      <c r="J28" s="394">
        <v>38438.119999999995</v>
      </c>
      <c r="K28" s="394">
        <v>34117.82</v>
      </c>
      <c r="L28" s="394">
        <v>27661.829999999998</v>
      </c>
      <c r="M28" s="394">
        <v>19735.939999999999</v>
      </c>
      <c r="N28" s="395">
        <f>SUM(B28:M28)</f>
        <v>356774.65</v>
      </c>
      <c r="O28" s="396">
        <f>1608657.01+N28</f>
        <v>1965431.6600000001</v>
      </c>
      <c r="P28" s="397">
        <v>3794000</v>
      </c>
      <c r="Q28" s="395">
        <v>0</v>
      </c>
      <c r="R28" s="370">
        <f t="shared" si="6"/>
        <v>0.51803681075382191</v>
      </c>
      <c r="S28" s="383"/>
      <c r="T28" s="384"/>
      <c r="U28" s="384"/>
      <c r="V28" s="385"/>
    </row>
    <row r="29" spans="1:22" ht="14.25">
      <c r="A29" s="222" t="s">
        <v>364</v>
      </c>
      <c r="B29" s="398">
        <v>7417.57</v>
      </c>
      <c r="C29" s="398">
        <v>9017.99</v>
      </c>
      <c r="D29" s="398">
        <v>10205.700000000001</v>
      </c>
      <c r="E29" s="398">
        <v>25262.73</v>
      </c>
      <c r="F29" s="398">
        <v>7641.63</v>
      </c>
      <c r="G29" s="398">
        <v>10083.32</v>
      </c>
      <c r="H29" s="398">
        <v>8791.14</v>
      </c>
      <c r="I29" s="398">
        <v>9782.409999999998</v>
      </c>
      <c r="J29" s="398">
        <v>7997.3500000000013</v>
      </c>
      <c r="K29" s="398">
        <v>11552.440000000002</v>
      </c>
      <c r="L29" s="398">
        <v>12129.449999999997</v>
      </c>
      <c r="M29" s="398">
        <v>6878.2800000000016</v>
      </c>
      <c r="N29" s="395">
        <f>SUM(B29:M29)</f>
        <v>126760.01000000001</v>
      </c>
      <c r="O29" s="396">
        <f>982735.49+N29</f>
        <v>1109495.5</v>
      </c>
      <c r="P29" s="395">
        <f>11967000+Q29</f>
        <v>11267000</v>
      </c>
      <c r="Q29" s="395">
        <v>-700000</v>
      </c>
      <c r="R29" s="370">
        <f t="shared" si="6"/>
        <v>9.8473018549747049E-2</v>
      </c>
      <c r="S29" s="383"/>
      <c r="T29" s="384"/>
      <c r="U29" s="384"/>
      <c r="V29" s="385"/>
    </row>
    <row r="30" spans="1:22">
      <c r="A30" s="541" t="s">
        <v>221</v>
      </c>
      <c r="B30" s="398">
        <f t="shared" ref="B30:I30" si="7">SUM(B27:B29)</f>
        <v>59928.46</v>
      </c>
      <c r="C30" s="399">
        <f t="shared" si="7"/>
        <v>53200.25</v>
      </c>
      <c r="D30" s="399">
        <f t="shared" si="7"/>
        <v>88627.24</v>
      </c>
      <c r="E30" s="399">
        <f>SUM(E27:E29)</f>
        <v>86671.62</v>
      </c>
      <c r="F30" s="402">
        <f t="shared" si="7"/>
        <v>67180.56</v>
      </c>
      <c r="G30" s="399">
        <f t="shared" si="7"/>
        <v>52693.23</v>
      </c>
      <c r="H30" s="402">
        <f t="shared" si="7"/>
        <v>53279.839999999997</v>
      </c>
      <c r="I30" s="402">
        <f t="shared" si="7"/>
        <v>63010.54</v>
      </c>
      <c r="J30" s="402">
        <f>SUM(J27:J29)</f>
        <v>60947.419999999991</v>
      </c>
      <c r="K30" s="402">
        <f>SUM(K27:K29)</f>
        <v>56558.130000000005</v>
      </c>
      <c r="L30" s="402">
        <f>SUM(L27:L29)</f>
        <v>73660.439999999988</v>
      </c>
      <c r="M30" s="402">
        <f t="shared" ref="M30:Q30" si="8">SUM(M27:M29)</f>
        <v>211513.02</v>
      </c>
      <c r="N30" s="401">
        <f t="shared" si="8"/>
        <v>927270.75</v>
      </c>
      <c r="O30" s="401">
        <f t="shared" si="8"/>
        <v>4844937.8000000007</v>
      </c>
      <c r="P30" s="400">
        <f>SUM(P27:P29)</f>
        <v>18544000</v>
      </c>
      <c r="Q30" s="401">
        <f t="shared" si="8"/>
        <v>-700000</v>
      </c>
      <c r="R30" s="372">
        <f>O30/P30</f>
        <v>0.26126713761863679</v>
      </c>
      <c r="S30" s="383"/>
      <c r="T30" s="384"/>
      <c r="U30" s="384"/>
      <c r="V30" s="385"/>
    </row>
    <row r="31" spans="1:22">
      <c r="A31" s="219"/>
      <c r="B31" s="394"/>
      <c r="C31" s="396"/>
      <c r="D31" s="396"/>
      <c r="E31" s="396"/>
      <c r="F31" s="340"/>
      <c r="G31" s="396"/>
      <c r="H31" s="340"/>
      <c r="I31" s="340"/>
      <c r="J31" s="340"/>
      <c r="K31" s="340"/>
      <c r="L31" s="340"/>
      <c r="M31" s="340"/>
      <c r="N31" s="395"/>
      <c r="O31" s="395"/>
      <c r="P31" s="397"/>
      <c r="Q31" s="395"/>
      <c r="R31" s="370"/>
      <c r="S31" s="383"/>
      <c r="T31" s="384"/>
      <c r="U31" s="384"/>
      <c r="V31" s="385"/>
    </row>
    <row r="32" spans="1:22">
      <c r="A32" s="218" t="s">
        <v>222</v>
      </c>
      <c r="B32" s="394"/>
      <c r="C32" s="396"/>
      <c r="D32" s="396"/>
      <c r="E32" s="396"/>
      <c r="F32" s="340"/>
      <c r="G32" s="396"/>
      <c r="H32" s="340"/>
      <c r="I32" s="340"/>
      <c r="J32" s="340"/>
      <c r="K32" s="340"/>
      <c r="L32" s="340"/>
      <c r="M32" s="340"/>
      <c r="N32" s="395"/>
      <c r="O32" s="395"/>
      <c r="P32" s="397"/>
      <c r="Q32" s="395"/>
      <c r="R32" s="370"/>
      <c r="S32" s="383"/>
      <c r="T32" s="384"/>
      <c r="U32" s="384"/>
      <c r="V32" s="385"/>
    </row>
    <row r="33" spans="1:22">
      <c r="A33" s="219" t="s">
        <v>223</v>
      </c>
      <c r="B33" s="544">
        <v>0</v>
      </c>
      <c r="C33" s="544">
        <v>0</v>
      </c>
      <c r="D33" s="544">
        <v>0</v>
      </c>
      <c r="E33" s="544">
        <v>0</v>
      </c>
      <c r="F33" s="544">
        <v>0</v>
      </c>
      <c r="G33" s="544">
        <v>0</v>
      </c>
      <c r="H33" s="544">
        <v>0</v>
      </c>
      <c r="I33" s="544">
        <v>0</v>
      </c>
      <c r="J33" s="544">
        <v>0</v>
      </c>
      <c r="K33" s="544">
        <v>0</v>
      </c>
      <c r="L33" s="544">
        <v>0</v>
      </c>
      <c r="M33" s="544">
        <v>0</v>
      </c>
      <c r="N33" s="395">
        <f>SUM(B33:M33)</f>
        <v>0</v>
      </c>
      <c r="O33" s="396">
        <f>8110.62+N33</f>
        <v>8110.62</v>
      </c>
      <c r="P33" s="397">
        <v>2507000</v>
      </c>
      <c r="Q33" s="395">
        <v>0</v>
      </c>
      <c r="R33" s="370">
        <f t="shared" ref="R33:R37" si="9">+O33/P33</f>
        <v>3.2351894694854408E-3</v>
      </c>
      <c r="S33" s="383"/>
      <c r="T33" s="384"/>
      <c r="U33" s="384"/>
      <c r="V33" s="385"/>
    </row>
    <row r="34" spans="1:22" ht="14.25">
      <c r="A34" s="219" t="s">
        <v>339</v>
      </c>
      <c r="B34" s="394">
        <v>111344.26</v>
      </c>
      <c r="C34" s="394">
        <v>1498.38</v>
      </c>
      <c r="D34" s="394">
        <v>2143.62</v>
      </c>
      <c r="E34" s="394">
        <v>1953.39</v>
      </c>
      <c r="F34" s="394">
        <v>1678.15</v>
      </c>
      <c r="G34" s="394">
        <v>621.53</v>
      </c>
      <c r="H34" s="394">
        <v>3349.6</v>
      </c>
      <c r="I34" s="394">
        <v>1602.93</v>
      </c>
      <c r="J34" s="394">
        <v>744.21999999999991</v>
      </c>
      <c r="K34" s="394">
        <v>3434.87</v>
      </c>
      <c r="L34" s="394">
        <v>2474.23</v>
      </c>
      <c r="M34" s="394">
        <v>1809.5900000000001</v>
      </c>
      <c r="N34" s="395">
        <f>SUM(B34:M34)</f>
        <v>132654.76999999999</v>
      </c>
      <c r="O34" s="396">
        <f>63741.58+N34</f>
        <v>196396.34999999998</v>
      </c>
      <c r="P34" s="395">
        <v>500000</v>
      </c>
      <c r="Q34" s="395">
        <v>0</v>
      </c>
      <c r="R34" s="370">
        <f t="shared" si="9"/>
        <v>0.39279269999999994</v>
      </c>
      <c r="S34" s="383"/>
      <c r="T34" s="384"/>
      <c r="U34" s="384"/>
      <c r="V34" s="385"/>
    </row>
    <row r="35" spans="1:22" ht="14.25">
      <c r="A35" s="219" t="s">
        <v>224</v>
      </c>
      <c r="B35" s="394">
        <v>0</v>
      </c>
      <c r="C35" s="394">
        <v>0</v>
      </c>
      <c r="D35" s="394">
        <v>0</v>
      </c>
      <c r="E35" s="394">
        <v>0</v>
      </c>
      <c r="F35" s="394">
        <v>0</v>
      </c>
      <c r="G35" s="394">
        <v>0</v>
      </c>
      <c r="H35" s="394">
        <v>0</v>
      </c>
      <c r="I35" s="394">
        <v>4056.99</v>
      </c>
      <c r="J35" s="394">
        <v>5515.4</v>
      </c>
      <c r="K35" s="394">
        <v>6221.42</v>
      </c>
      <c r="L35" s="394">
        <v>1878.69</v>
      </c>
      <c r="M35" s="394">
        <v>1904.87</v>
      </c>
      <c r="N35" s="395">
        <f>SUM(B35:M35)</f>
        <v>19577.37</v>
      </c>
      <c r="O35" s="396">
        <f>0+N35</f>
        <v>19577.37</v>
      </c>
      <c r="P35" s="395">
        <v>708000</v>
      </c>
      <c r="Q35" s="395">
        <v>0</v>
      </c>
      <c r="R35" s="370">
        <f>+O35/P35</f>
        <v>2.7651652542372882E-2</v>
      </c>
      <c r="S35" s="383"/>
      <c r="T35" s="384"/>
      <c r="U35" s="384"/>
      <c r="V35" s="385"/>
    </row>
    <row r="36" spans="1:22" ht="14.25">
      <c r="A36" s="226" t="s">
        <v>225</v>
      </c>
      <c r="B36" s="394">
        <v>1680.34</v>
      </c>
      <c r="C36" s="394">
        <v>1872.97</v>
      </c>
      <c r="D36" s="394">
        <v>2679.54</v>
      </c>
      <c r="E36" s="394">
        <v>2441.7399999999998</v>
      </c>
      <c r="F36" s="394">
        <v>2097.66</v>
      </c>
      <c r="G36" s="394">
        <v>776.91</v>
      </c>
      <c r="H36" s="394">
        <v>-1986.67</v>
      </c>
      <c r="I36" s="394">
        <v>0</v>
      </c>
      <c r="J36" s="394">
        <v>0</v>
      </c>
      <c r="K36" s="394">
        <v>0</v>
      </c>
      <c r="L36" s="394">
        <v>0</v>
      </c>
      <c r="M36" s="394">
        <v>0</v>
      </c>
      <c r="N36" s="395">
        <f>SUM(B36:M36)</f>
        <v>9562.49</v>
      </c>
      <c r="O36" s="396">
        <f>615027.66+N36</f>
        <v>624590.15</v>
      </c>
      <c r="P36" s="397">
        <v>2148000</v>
      </c>
      <c r="Q36" s="395">
        <v>0</v>
      </c>
      <c r="R36" s="370">
        <f t="shared" si="9"/>
        <v>0.29077753724394789</v>
      </c>
      <c r="S36" s="383"/>
      <c r="T36" s="384"/>
      <c r="U36" s="384"/>
      <c r="V36" s="385"/>
    </row>
    <row r="37" spans="1:22">
      <c r="A37" s="227" t="s">
        <v>226</v>
      </c>
      <c r="B37" s="398">
        <v>0</v>
      </c>
      <c r="C37" s="398">
        <v>0</v>
      </c>
      <c r="D37" s="398">
        <v>0</v>
      </c>
      <c r="E37" s="398">
        <v>0</v>
      </c>
      <c r="F37" s="398">
        <v>0</v>
      </c>
      <c r="G37" s="398">
        <v>0</v>
      </c>
      <c r="H37" s="398">
        <v>0</v>
      </c>
      <c r="I37" s="398">
        <v>0</v>
      </c>
      <c r="J37" s="398">
        <v>0</v>
      </c>
      <c r="K37" s="398">
        <v>0</v>
      </c>
      <c r="L37" s="398">
        <v>0</v>
      </c>
      <c r="M37" s="398">
        <v>0</v>
      </c>
      <c r="N37" s="395">
        <f>SUM(B37:M37)</f>
        <v>0</v>
      </c>
      <c r="O37" s="396">
        <f>36771.92+N37</f>
        <v>36771.919999999998</v>
      </c>
      <c r="P37" s="395">
        <v>340000</v>
      </c>
      <c r="Q37" s="395">
        <v>0</v>
      </c>
      <c r="R37" s="370">
        <f t="shared" si="9"/>
        <v>0.10815270588235294</v>
      </c>
      <c r="S37" s="383"/>
      <c r="T37" s="384"/>
      <c r="U37" s="384"/>
      <c r="V37" s="385"/>
    </row>
    <row r="38" spans="1:22">
      <c r="A38" s="541" t="s">
        <v>227</v>
      </c>
      <c r="B38" s="398">
        <f t="shared" ref="B38:Q38" si="10">SUM(B33:B37)</f>
        <v>113024.59999999999</v>
      </c>
      <c r="C38" s="399">
        <f t="shared" si="10"/>
        <v>3371.3500000000004</v>
      </c>
      <c r="D38" s="399">
        <f t="shared" si="10"/>
        <v>4823.16</v>
      </c>
      <c r="E38" s="399">
        <f t="shared" si="10"/>
        <v>4395.13</v>
      </c>
      <c r="F38" s="399">
        <f t="shared" si="10"/>
        <v>3775.81</v>
      </c>
      <c r="G38" s="399">
        <f t="shared" si="10"/>
        <v>1398.44</v>
      </c>
      <c r="H38" s="399">
        <f t="shared" si="10"/>
        <v>1362.9299999999998</v>
      </c>
      <c r="I38" s="399">
        <f t="shared" si="10"/>
        <v>5659.92</v>
      </c>
      <c r="J38" s="399">
        <f t="shared" si="10"/>
        <v>6259.62</v>
      </c>
      <c r="K38" s="399">
        <f t="shared" si="10"/>
        <v>9656.2900000000009</v>
      </c>
      <c r="L38" s="399">
        <f t="shared" si="10"/>
        <v>4352.92</v>
      </c>
      <c r="M38" s="399">
        <f t="shared" si="10"/>
        <v>3714.46</v>
      </c>
      <c r="N38" s="401">
        <f>SUM(N33:N37)</f>
        <v>161794.62999999998</v>
      </c>
      <c r="O38" s="401">
        <f>SUM(O33:O37)</f>
        <v>885446.41</v>
      </c>
      <c r="P38" s="400">
        <f t="shared" si="10"/>
        <v>6203000</v>
      </c>
      <c r="Q38" s="401">
        <f t="shared" si="10"/>
        <v>0</v>
      </c>
      <c r="R38" s="372">
        <f>O38/P38</f>
        <v>0.14274486699983879</v>
      </c>
      <c r="S38" s="383"/>
      <c r="T38" s="384"/>
      <c r="U38" s="384"/>
      <c r="V38" s="385"/>
    </row>
    <row r="39" spans="1:22">
      <c r="A39" s="219"/>
      <c r="B39" s="394"/>
      <c r="C39" s="396"/>
      <c r="D39" s="396"/>
      <c r="E39" s="396"/>
      <c r="F39" s="340"/>
      <c r="G39" s="396"/>
      <c r="H39" s="340"/>
      <c r="I39" s="340"/>
      <c r="J39" s="340"/>
      <c r="K39" s="340"/>
      <c r="L39" s="340"/>
      <c r="M39" s="340"/>
      <c r="N39" s="395"/>
      <c r="O39" s="395"/>
      <c r="P39" s="397"/>
      <c r="Q39" s="395"/>
      <c r="R39" s="370"/>
      <c r="S39" s="383"/>
      <c r="T39" s="384"/>
      <c r="U39" s="384"/>
      <c r="V39" s="385"/>
    </row>
    <row r="40" spans="1:22">
      <c r="A40" s="218" t="s">
        <v>228</v>
      </c>
      <c r="B40" s="394"/>
      <c r="C40" s="396"/>
      <c r="D40" s="396"/>
      <c r="E40" s="396"/>
      <c r="F40" s="340"/>
      <c r="G40" s="396"/>
      <c r="H40" s="340"/>
      <c r="I40" s="340"/>
      <c r="J40" s="340"/>
      <c r="K40" s="340"/>
      <c r="L40" s="340"/>
      <c r="M40" s="340"/>
      <c r="N40" s="395"/>
      <c r="O40" s="395"/>
      <c r="P40" s="397"/>
      <c r="Q40" s="395"/>
      <c r="R40" s="370"/>
      <c r="S40" s="383"/>
      <c r="T40" s="384"/>
      <c r="U40" s="384"/>
      <c r="V40" s="385"/>
    </row>
    <row r="41" spans="1:22">
      <c r="A41" s="219" t="s">
        <v>229</v>
      </c>
      <c r="B41" s="542">
        <v>2750</v>
      </c>
      <c r="C41" s="542">
        <v>0</v>
      </c>
      <c r="D41" s="542">
        <v>40412.11</v>
      </c>
      <c r="E41" s="542">
        <v>1641.05</v>
      </c>
      <c r="F41" s="542">
        <v>43449.3</v>
      </c>
      <c r="G41" s="542">
        <v>130793</v>
      </c>
      <c r="H41" s="542">
        <v>27632.190000000002</v>
      </c>
      <c r="I41" s="542">
        <v>106978.57000000002</v>
      </c>
      <c r="J41" s="542">
        <v>215528.91999999987</v>
      </c>
      <c r="K41" s="542">
        <v>9428</v>
      </c>
      <c r="L41" s="542">
        <v>0</v>
      </c>
      <c r="M41" s="542">
        <v>102183.50999999998</v>
      </c>
      <c r="N41" s="395">
        <f>SUM(B41:M41)</f>
        <v>680796.64999999991</v>
      </c>
      <c r="O41" s="396">
        <f>2744777.24+N41</f>
        <v>3425573.89</v>
      </c>
      <c r="P41" s="397">
        <v>4502000</v>
      </c>
      <c r="Q41" s="395">
        <v>0</v>
      </c>
      <c r="R41" s="370">
        <f t="shared" ref="R41" si="11">+O41/P41</f>
        <v>0.76090046423811641</v>
      </c>
      <c r="S41" s="383"/>
      <c r="T41" s="384"/>
      <c r="U41" s="384"/>
      <c r="V41" s="385"/>
    </row>
    <row r="42" spans="1:22">
      <c r="A42" s="541" t="s">
        <v>230</v>
      </c>
      <c r="B42" s="398">
        <f t="shared" ref="B42:N42" si="12">SUM(B41:B41)</f>
        <v>2750</v>
      </c>
      <c r="C42" s="399">
        <f t="shared" si="12"/>
        <v>0</v>
      </c>
      <c r="D42" s="399">
        <f t="shared" si="12"/>
        <v>40412.11</v>
      </c>
      <c r="E42" s="399">
        <f>SUM(E41:E41)</f>
        <v>1641.05</v>
      </c>
      <c r="F42" s="402">
        <f t="shared" ref="F42:M42" si="13">SUM(F41:F41)</f>
        <v>43449.3</v>
      </c>
      <c r="G42" s="399">
        <f t="shared" si="13"/>
        <v>130793</v>
      </c>
      <c r="H42" s="402">
        <f t="shared" si="13"/>
        <v>27632.190000000002</v>
      </c>
      <c r="I42" s="402">
        <f t="shared" si="13"/>
        <v>106978.57000000002</v>
      </c>
      <c r="J42" s="402">
        <f t="shared" si="13"/>
        <v>215528.91999999987</v>
      </c>
      <c r="K42" s="402">
        <f t="shared" si="13"/>
        <v>9428</v>
      </c>
      <c r="L42" s="402">
        <f t="shared" si="13"/>
        <v>0</v>
      </c>
      <c r="M42" s="402">
        <f t="shared" si="13"/>
        <v>102183.50999999998</v>
      </c>
      <c r="N42" s="401">
        <f t="shared" si="12"/>
        <v>680796.64999999991</v>
      </c>
      <c r="O42" s="401">
        <f>O41</f>
        <v>3425573.89</v>
      </c>
      <c r="P42" s="400">
        <f>SUM(P41)</f>
        <v>4502000</v>
      </c>
      <c r="Q42" s="401">
        <f>SUM(Q41:Q41)</f>
        <v>0</v>
      </c>
      <c r="R42" s="372">
        <f>O42/P42</f>
        <v>0.76090046423811641</v>
      </c>
      <c r="S42" s="383"/>
      <c r="T42" s="384"/>
      <c r="U42" s="384"/>
      <c r="V42" s="385"/>
    </row>
    <row r="43" spans="1:22">
      <c r="A43" s="218"/>
      <c r="B43" s="394"/>
      <c r="C43" s="396"/>
      <c r="D43" s="396"/>
      <c r="E43" s="396"/>
      <c r="F43" s="340"/>
      <c r="G43" s="396"/>
      <c r="H43" s="340"/>
      <c r="I43" s="340"/>
      <c r="J43" s="340"/>
      <c r="K43" s="340"/>
      <c r="L43" s="340"/>
      <c r="M43" s="340"/>
      <c r="N43" s="395"/>
      <c r="O43" s="394"/>
      <c r="P43" s="545"/>
      <c r="Q43" s="395"/>
      <c r="R43" s="370"/>
      <c r="S43" s="383"/>
      <c r="T43" s="384"/>
      <c r="U43" s="384"/>
      <c r="V43" s="385"/>
    </row>
    <row r="44" spans="1:22">
      <c r="A44" s="218" t="s">
        <v>231</v>
      </c>
      <c r="B44" s="394"/>
      <c r="C44" s="396"/>
      <c r="D44" s="396"/>
      <c r="E44" s="396"/>
      <c r="F44" s="340"/>
      <c r="G44" s="396"/>
      <c r="H44" s="340"/>
      <c r="I44" s="340"/>
      <c r="J44" s="340"/>
      <c r="K44" s="340"/>
      <c r="L44" s="340"/>
      <c r="M44" s="340"/>
      <c r="N44" s="395"/>
      <c r="O44" s="394"/>
      <c r="P44" s="397"/>
      <c r="Q44" s="395"/>
      <c r="R44" s="370"/>
      <c r="S44" s="383"/>
      <c r="T44" s="384"/>
      <c r="U44" s="384"/>
      <c r="V44" s="385"/>
    </row>
    <row r="45" spans="1:22" ht="14.25">
      <c r="A45" s="219" t="s">
        <v>232</v>
      </c>
      <c r="B45" s="394">
        <v>37208.21</v>
      </c>
      <c r="C45" s="394">
        <v>42548.15</v>
      </c>
      <c r="D45" s="394">
        <v>57578.57</v>
      </c>
      <c r="E45" s="394">
        <v>51549.17</v>
      </c>
      <c r="F45" s="394">
        <v>49262.57</v>
      </c>
      <c r="G45" s="394">
        <v>42520.360000000015</v>
      </c>
      <c r="H45" s="394">
        <v>37597.159999999996</v>
      </c>
      <c r="I45" s="394">
        <v>46096.33</v>
      </c>
      <c r="J45" s="394">
        <v>48262.52</v>
      </c>
      <c r="K45" s="394">
        <v>53754.659999999996</v>
      </c>
      <c r="L45" s="394">
        <v>43391.94</v>
      </c>
      <c r="M45" s="394">
        <v>41748.28</v>
      </c>
      <c r="N45" s="395">
        <f>SUM(B45:M45)</f>
        <v>551517.92000000004</v>
      </c>
      <c r="O45" s="396">
        <f>1537671.17+N45</f>
        <v>2089189.0899999999</v>
      </c>
      <c r="P45" s="403">
        <f>4095000+Q45</f>
        <v>3929000</v>
      </c>
      <c r="Q45" s="395">
        <v>-166000</v>
      </c>
      <c r="R45" s="370">
        <f t="shared" ref="R45:R48" si="14">+O45/P45</f>
        <v>0.53173557902774238</v>
      </c>
      <c r="S45" s="383"/>
      <c r="T45" s="384"/>
      <c r="U45" s="384"/>
      <c r="V45" s="385"/>
    </row>
    <row r="46" spans="1:22" s="143" customFormat="1" ht="14.25">
      <c r="A46" s="220" t="s">
        <v>365</v>
      </c>
      <c r="B46" s="394">
        <v>120524.82</v>
      </c>
      <c r="C46" s="394">
        <v>107796.59</v>
      </c>
      <c r="D46" s="394">
        <v>152213.19</v>
      </c>
      <c r="E46" s="394">
        <v>150024.01</v>
      </c>
      <c r="F46" s="394">
        <v>74803.5</v>
      </c>
      <c r="G46" s="394">
        <v>506283.61</v>
      </c>
      <c r="H46" s="394">
        <v>38850.829999999994</v>
      </c>
      <c r="I46" s="394">
        <v>52255.11</v>
      </c>
      <c r="J46" s="394">
        <v>287264.66000000003</v>
      </c>
      <c r="K46" s="394">
        <v>-87213.060000000012</v>
      </c>
      <c r="L46" s="394">
        <v>91808.46</v>
      </c>
      <c r="M46" s="394">
        <v>308119.20999999996</v>
      </c>
      <c r="N46" s="397">
        <f>SUM(B46:M46)</f>
        <v>1802730.9300000002</v>
      </c>
      <c r="O46" s="396">
        <f>5263328.72+N46</f>
        <v>7066059.6500000004</v>
      </c>
      <c r="P46" s="403">
        <f>7948000+Q46</f>
        <v>8514000</v>
      </c>
      <c r="Q46" s="397">
        <v>566000</v>
      </c>
      <c r="R46" s="374">
        <f t="shared" si="14"/>
        <v>0.82993418487197557</v>
      </c>
      <c r="S46" s="383"/>
      <c r="T46" s="384"/>
      <c r="U46" s="384"/>
      <c r="V46" s="385"/>
    </row>
    <row r="47" spans="1:22">
      <c r="A47" s="219" t="s">
        <v>233</v>
      </c>
      <c r="B47" s="394">
        <v>23261.4</v>
      </c>
      <c r="C47" s="394">
        <v>81327.199999999997</v>
      </c>
      <c r="D47" s="394">
        <v>69734.070000000007</v>
      </c>
      <c r="E47" s="394">
        <v>49413.17</v>
      </c>
      <c r="F47" s="394">
        <v>35721.1</v>
      </c>
      <c r="G47" s="394">
        <v>33500.620000000003</v>
      </c>
      <c r="H47" s="394">
        <v>87598.66</v>
      </c>
      <c r="I47" s="394">
        <v>49483.81</v>
      </c>
      <c r="J47" s="394">
        <v>59311.259999999995</v>
      </c>
      <c r="K47" s="394">
        <v>45587.57</v>
      </c>
      <c r="L47" s="394">
        <v>139446.66999999998</v>
      </c>
      <c r="M47" s="394">
        <v>119651.68000000001</v>
      </c>
      <c r="N47" s="395">
        <f>SUM(B47:M47)</f>
        <v>794037.21000000008</v>
      </c>
      <c r="O47" s="396">
        <f>2125886.36+N47</f>
        <v>2919923.57</v>
      </c>
      <c r="P47" s="404">
        <f>5795000+Q47</f>
        <v>5200600</v>
      </c>
      <c r="Q47" s="395">
        <v>-594400</v>
      </c>
      <c r="R47" s="370">
        <f t="shared" si="14"/>
        <v>0.56145897973310765</v>
      </c>
      <c r="S47" s="383"/>
      <c r="T47" s="384"/>
      <c r="U47" s="384"/>
      <c r="V47" s="385"/>
    </row>
    <row r="48" spans="1:22">
      <c r="A48" s="219" t="s">
        <v>234</v>
      </c>
      <c r="B48" s="394">
        <v>3379.21</v>
      </c>
      <c r="C48" s="394">
        <v>24798.66</v>
      </c>
      <c r="D48" s="394">
        <v>0</v>
      </c>
      <c r="E48" s="394">
        <v>0</v>
      </c>
      <c r="F48" s="394">
        <v>0</v>
      </c>
      <c r="G48" s="394">
        <v>103866.39</v>
      </c>
      <c r="H48" s="394">
        <v>0</v>
      </c>
      <c r="I48" s="394">
        <v>0</v>
      </c>
      <c r="J48" s="394">
        <v>0</v>
      </c>
      <c r="K48" s="394">
        <v>0</v>
      </c>
      <c r="L48" s="394">
        <v>137984.76999999999</v>
      </c>
      <c r="M48" s="394">
        <v>88485.63</v>
      </c>
      <c r="N48" s="395">
        <f>SUM(B48:M48)</f>
        <v>358514.66000000003</v>
      </c>
      <c r="O48" s="396">
        <f>239455.8+N48</f>
        <v>597970.46</v>
      </c>
      <c r="P48" s="405">
        <v>1000000</v>
      </c>
      <c r="Q48" s="395">
        <v>0</v>
      </c>
      <c r="R48" s="370">
        <f t="shared" si="14"/>
        <v>0.59797045999999998</v>
      </c>
      <c r="S48" s="383"/>
      <c r="T48" s="384"/>
      <c r="U48" s="384"/>
      <c r="V48" s="385"/>
    </row>
    <row r="49" spans="1:22">
      <c r="A49" s="541" t="s">
        <v>235</v>
      </c>
      <c r="B49" s="542">
        <f>SUM(B45:B48)</f>
        <v>184373.63999999998</v>
      </c>
      <c r="C49" s="543">
        <f t="shared" ref="C49:M49" si="15">SUM(C45:C48)</f>
        <v>256470.6</v>
      </c>
      <c r="D49" s="543">
        <f t="shared" si="15"/>
        <v>279525.83</v>
      </c>
      <c r="E49" s="543">
        <f t="shared" si="15"/>
        <v>250986.34999999998</v>
      </c>
      <c r="F49" s="543">
        <f t="shared" si="15"/>
        <v>159787.17000000001</v>
      </c>
      <c r="G49" s="543">
        <f>SUM(G45:G48)</f>
        <v>686170.98</v>
      </c>
      <c r="H49" s="543">
        <f t="shared" si="15"/>
        <v>164046.65</v>
      </c>
      <c r="I49" s="543">
        <f t="shared" si="15"/>
        <v>147835.25</v>
      </c>
      <c r="J49" s="543">
        <f t="shared" si="15"/>
        <v>394838.44000000006</v>
      </c>
      <c r="K49" s="543">
        <f t="shared" si="15"/>
        <v>12129.169999999984</v>
      </c>
      <c r="L49" s="543">
        <f t="shared" si="15"/>
        <v>412631.83999999997</v>
      </c>
      <c r="M49" s="543">
        <f t="shared" si="15"/>
        <v>558004.80000000005</v>
      </c>
      <c r="N49" s="401">
        <f>N48+N47+N46+N45</f>
        <v>3506800.72</v>
      </c>
      <c r="O49" s="401">
        <f>SUM(O45:O48)</f>
        <v>12673142.77</v>
      </c>
      <c r="P49" s="400">
        <f>SUM(P45:P48)</f>
        <v>18643600</v>
      </c>
      <c r="Q49" s="401">
        <f>SUM(Q45:Q48)</f>
        <v>-194400</v>
      </c>
      <c r="R49" s="372">
        <f>O49/P49</f>
        <v>0.67975834978223093</v>
      </c>
      <c r="S49" s="383"/>
      <c r="T49" s="384"/>
      <c r="U49" s="384"/>
      <c r="V49" s="385"/>
    </row>
    <row r="50" spans="1:22">
      <c r="A50" s="218"/>
      <c r="B50" s="394"/>
      <c r="C50" s="396"/>
      <c r="D50" s="396"/>
      <c r="E50" s="396"/>
      <c r="F50" s="340"/>
      <c r="G50" s="396"/>
      <c r="H50" s="340"/>
      <c r="I50" s="340"/>
      <c r="J50" s="340"/>
      <c r="K50" s="340"/>
      <c r="L50" s="340"/>
      <c r="M50" s="340"/>
      <c r="N50" s="395"/>
      <c r="O50" s="395"/>
      <c r="P50" s="397"/>
      <c r="Q50" s="395"/>
      <c r="R50" s="370"/>
      <c r="S50" s="383"/>
      <c r="T50" s="384"/>
      <c r="U50" s="384"/>
      <c r="V50" s="385"/>
    </row>
    <row r="51" spans="1:22" ht="15" customHeight="1">
      <c r="A51" s="546" t="s">
        <v>236</v>
      </c>
      <c r="B51" s="542">
        <f>B49+B42+B38+B30+B24+B20+B16</f>
        <v>661765.08000000007</v>
      </c>
      <c r="C51" s="543">
        <f>C49+C42+C38+C30+C24+C20+C16</f>
        <v>453341.84</v>
      </c>
      <c r="D51" s="543">
        <f t="shared" ref="D51:M51" si="16">D49+D42+D38+D30+D24+D20+D16</f>
        <v>802979.80999999994</v>
      </c>
      <c r="E51" s="543">
        <f t="shared" si="16"/>
        <v>450659.91</v>
      </c>
      <c r="F51" s="543">
        <f t="shared" si="16"/>
        <v>333352.79000000004</v>
      </c>
      <c r="G51" s="543">
        <f t="shared" si="16"/>
        <v>1280367.6599999997</v>
      </c>
      <c r="H51" s="543">
        <f t="shared" si="16"/>
        <v>361678.04000000004</v>
      </c>
      <c r="I51" s="543">
        <f t="shared" si="16"/>
        <v>398945</v>
      </c>
      <c r="J51" s="543">
        <f t="shared" si="16"/>
        <v>1327518.22</v>
      </c>
      <c r="K51" s="543">
        <f t="shared" si="16"/>
        <v>128465.45000000001</v>
      </c>
      <c r="L51" s="543">
        <f t="shared" si="16"/>
        <v>570452.26</v>
      </c>
      <c r="M51" s="543">
        <f t="shared" si="16"/>
        <v>2027501.76</v>
      </c>
      <c r="N51" s="401">
        <f>N49+N42+N38+N30+N24+N20+N16</f>
        <v>8797027.8200000003</v>
      </c>
      <c r="O51" s="401">
        <f>O49+O42+O38+O30+O24+O20+O16</f>
        <v>35722154.630000003</v>
      </c>
      <c r="P51" s="547">
        <f>P49+P42+P38+P30+P24+P20+P16</f>
        <v>83087402</v>
      </c>
      <c r="Q51" s="547">
        <f>Q16+Q30+Q49</f>
        <v>-1128898</v>
      </c>
      <c r="R51" s="372">
        <f>O51/P51</f>
        <v>0.42993466843505351</v>
      </c>
      <c r="S51" s="383"/>
      <c r="T51" s="384"/>
      <c r="U51" s="384"/>
      <c r="V51" s="385"/>
    </row>
    <row r="52" spans="1:22" ht="15" customHeight="1">
      <c r="A52" s="548"/>
      <c r="B52" s="341"/>
      <c r="C52" s="340"/>
      <c r="D52" s="340"/>
      <c r="E52" s="340"/>
      <c r="F52" s="340"/>
      <c r="G52" s="342"/>
      <c r="H52" s="340"/>
      <c r="I52" s="340"/>
      <c r="J52" s="340"/>
      <c r="K52" s="340"/>
      <c r="L52" s="340"/>
      <c r="M52" s="340"/>
      <c r="N52" s="340"/>
      <c r="O52" s="340"/>
      <c r="P52" s="340" t="s">
        <v>56</v>
      </c>
      <c r="Q52" s="340"/>
      <c r="R52" s="368"/>
      <c r="S52" s="383"/>
      <c r="T52" s="384"/>
      <c r="U52" s="384"/>
      <c r="V52" s="384"/>
    </row>
    <row r="53" spans="1:22" ht="10.5" customHeight="1" thickBot="1">
      <c r="A53" s="148"/>
      <c r="B53" s="146"/>
      <c r="C53" s="105"/>
      <c r="D53" s="105"/>
      <c r="E53" s="105"/>
      <c r="F53" s="105"/>
      <c r="G53" s="105"/>
      <c r="H53" s="105"/>
      <c r="I53" s="105"/>
      <c r="J53" s="105"/>
      <c r="K53" s="105"/>
      <c r="L53" s="105"/>
      <c r="M53" s="105"/>
      <c r="N53" s="105"/>
      <c r="O53" s="105"/>
      <c r="P53" s="106"/>
      <c r="Q53" s="106"/>
      <c r="R53" s="214"/>
    </row>
    <row r="54" spans="1:22">
      <c r="A54" s="143"/>
      <c r="G54" s="179"/>
      <c r="P54" s="179" t="s">
        <v>56</v>
      </c>
    </row>
    <row r="55" spans="1:22" ht="15">
      <c r="A55" s="189" t="s">
        <v>67</v>
      </c>
      <c r="B55" s="143"/>
      <c r="N55" s="245"/>
      <c r="P55" s="97" t="s">
        <v>56</v>
      </c>
    </row>
    <row r="56" spans="1:22" ht="17.25">
      <c r="A56" s="225" t="s">
        <v>237</v>
      </c>
    </row>
    <row r="57" spans="1:22" ht="16.5">
      <c r="A57" s="225" t="s">
        <v>238</v>
      </c>
    </row>
    <row r="58" spans="1:22" ht="16.5">
      <c r="A58" s="225" t="s">
        <v>239</v>
      </c>
    </row>
    <row r="59" spans="1:22" ht="16.5">
      <c r="A59" s="225" t="s">
        <v>240</v>
      </c>
    </row>
    <row r="60" spans="1:22" ht="16.5">
      <c r="A60" s="225" t="s">
        <v>241</v>
      </c>
    </row>
    <row r="61" spans="1:22" ht="16.5">
      <c r="A61" s="225" t="s">
        <v>242</v>
      </c>
    </row>
    <row r="62" spans="1:22" ht="16.5">
      <c r="A62" s="225" t="s">
        <v>340</v>
      </c>
    </row>
    <row r="63" spans="1:22" ht="16.5">
      <c r="A63" s="225" t="s">
        <v>348</v>
      </c>
    </row>
    <row r="64" spans="1:22" ht="16.5">
      <c r="A64" s="225" t="s">
        <v>359</v>
      </c>
    </row>
    <row r="65" spans="1:1" ht="16.5">
      <c r="A65" s="225" t="s">
        <v>366</v>
      </c>
    </row>
    <row r="66" spans="1:1" s="610" customFormat="1" ht="14.25">
      <c r="A66" s="609" t="s">
        <v>392</v>
      </c>
    </row>
    <row r="67" spans="1:1" ht="16.5">
      <c r="A67" s="225" t="s">
        <v>387</v>
      </c>
    </row>
    <row r="68" spans="1:1" ht="15">
      <c r="A68" s="165" t="s">
        <v>79</v>
      </c>
    </row>
  </sheetData>
  <printOptions horizontalCentered="1"/>
  <pageMargins left="0" right="0" top="0.55000000000000004" bottom="0.17" header="0.3" footer="0.15"/>
  <pageSetup paperSize="5" scale="38" orientation="landscape" cellComments="atEnd" r:id="rId1"/>
  <headerFooter alignWithMargins="0">
    <oddHeader xml:space="preserve">&amp;C&amp;"Arial,Bold"
</oddHeader>
    <oddFooter>&amp;Rpage 7 of 11
&amp;A
&amp;D  &amp;T</oddFooter>
  </headerFooter>
  <customProperties>
    <customPr name="_pios_id" r:id="rId2"/>
  </customProperties>
  <ignoredErrors>
    <ignoredError sqref="F42" unlockedFormula="1"/>
  </ignoredError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34"/>
  <sheetViews>
    <sheetView zoomScaleNormal="100" zoomScaleSheetLayoutView="100" workbookViewId="0">
      <selection activeCell="A2" sqref="A2"/>
    </sheetView>
  </sheetViews>
  <sheetFormatPr defaultColWidth="9.28515625" defaultRowHeight="12.75"/>
  <cols>
    <col min="1" max="1" width="29.28515625" style="107" customWidth="1"/>
    <col min="2" max="2" width="22.5703125" style="107" bestFit="1" customWidth="1"/>
    <col min="3" max="3" width="49.7109375" style="107" customWidth="1"/>
    <col min="4" max="4" width="11.28515625" style="107" customWidth="1"/>
    <col min="5" max="5" width="57" style="107" customWidth="1"/>
    <col min="6" max="13" width="9.28515625" style="107"/>
    <col min="14" max="14" width="23.7109375" style="107" bestFit="1" customWidth="1"/>
    <col min="15" max="16384" width="9.28515625" style="107"/>
  </cols>
  <sheetData>
    <row r="1" spans="1:5">
      <c r="C1" s="113" t="s">
        <v>39</v>
      </c>
    </row>
    <row r="2" spans="1:5">
      <c r="C2" s="113" t="s">
        <v>243</v>
      </c>
    </row>
    <row r="3" spans="1:5">
      <c r="C3" s="144" t="s">
        <v>244</v>
      </c>
    </row>
    <row r="4" spans="1:5">
      <c r="C4" s="16"/>
    </row>
    <row r="5" spans="1:5">
      <c r="C5" s="16"/>
      <c r="D5" s="142"/>
    </row>
    <row r="6" spans="1:5" s="16" customFormat="1">
      <c r="A6" s="194"/>
      <c r="B6" s="194"/>
    </row>
    <row r="7" spans="1:5" s="16" customFormat="1"/>
    <row r="8" spans="1:5" s="18" customFormat="1">
      <c r="A8" s="17" t="s">
        <v>134</v>
      </c>
      <c r="B8" s="17" t="s">
        <v>245</v>
      </c>
      <c r="C8" s="17" t="s">
        <v>246</v>
      </c>
      <c r="D8" s="17" t="s">
        <v>136</v>
      </c>
      <c r="E8" s="17" t="s">
        <v>247</v>
      </c>
    </row>
    <row r="9" spans="1:5" s="18" customFormat="1" ht="51">
      <c r="A9" s="247" t="s">
        <v>209</v>
      </c>
      <c r="B9" s="248">
        <v>-234498</v>
      </c>
      <c r="C9" s="255" t="s">
        <v>248</v>
      </c>
      <c r="D9" s="250">
        <v>43302</v>
      </c>
      <c r="E9" s="249" t="s">
        <v>249</v>
      </c>
    </row>
    <row r="10" spans="1:5" s="18" customFormat="1" ht="51">
      <c r="A10" s="247" t="s">
        <v>250</v>
      </c>
      <c r="B10" s="248">
        <v>-700000</v>
      </c>
      <c r="C10" s="255" t="s">
        <v>251</v>
      </c>
      <c r="D10" s="250">
        <v>43302</v>
      </c>
      <c r="E10" s="249" t="s">
        <v>252</v>
      </c>
    </row>
    <row r="11" spans="1:5" s="18" customFormat="1" ht="63.75">
      <c r="A11" s="247" t="s">
        <v>253</v>
      </c>
      <c r="B11" s="248">
        <v>-194400</v>
      </c>
      <c r="C11" s="255" t="s">
        <v>254</v>
      </c>
      <c r="D11" s="250">
        <v>43304</v>
      </c>
      <c r="E11" s="249" t="s">
        <v>255</v>
      </c>
    </row>
    <row r="12" spans="1:5" s="18" customFormat="1" ht="140.25">
      <c r="A12" s="247" t="s">
        <v>256</v>
      </c>
      <c r="B12" s="248">
        <v>1128898</v>
      </c>
      <c r="C12" s="255" t="s">
        <v>257</v>
      </c>
      <c r="D12" s="250">
        <v>43302</v>
      </c>
      <c r="E12" s="249" t="s">
        <v>258</v>
      </c>
    </row>
    <row r="13" spans="1:5" s="251" customFormat="1" ht="51">
      <c r="A13" s="247" t="s">
        <v>231</v>
      </c>
      <c r="B13" s="248">
        <v>-166000</v>
      </c>
      <c r="C13" s="255" t="s">
        <v>259</v>
      </c>
      <c r="D13" s="250">
        <v>44061</v>
      </c>
      <c r="E13" s="249" t="s">
        <v>260</v>
      </c>
    </row>
    <row r="14" spans="1:5" s="254" customFormat="1" ht="51">
      <c r="A14" s="247" t="s">
        <v>231</v>
      </c>
      <c r="B14" s="253">
        <v>-400000</v>
      </c>
      <c r="C14" s="255" t="s">
        <v>233</v>
      </c>
      <c r="D14" s="250">
        <v>44061</v>
      </c>
      <c r="E14" s="249" t="s">
        <v>260</v>
      </c>
    </row>
    <row r="15" spans="1:5" s="254" customFormat="1" ht="51">
      <c r="A15" s="247" t="s">
        <v>231</v>
      </c>
      <c r="B15" s="253">
        <v>566000</v>
      </c>
      <c r="C15" s="256" t="s">
        <v>261</v>
      </c>
      <c r="D15" s="250">
        <v>44061</v>
      </c>
      <c r="E15" s="249" t="s">
        <v>260</v>
      </c>
    </row>
    <row r="16" spans="1:5" s="254" customFormat="1">
      <c r="A16" s="252" t="s">
        <v>56</v>
      </c>
      <c r="B16" s="253" t="s">
        <v>56</v>
      </c>
      <c r="C16" s="256" t="s">
        <v>56</v>
      </c>
      <c r="D16" s="250"/>
      <c r="E16" s="249"/>
    </row>
    <row r="17" spans="1:5">
      <c r="A17" s="109" t="s">
        <v>111</v>
      </c>
      <c r="B17" s="158">
        <f>SUM(B9:B16)</f>
        <v>0</v>
      </c>
      <c r="C17" s="108"/>
      <c r="D17" s="108"/>
      <c r="E17" s="108"/>
    </row>
    <row r="18" spans="1:5">
      <c r="A18" s="108"/>
      <c r="B18" s="108"/>
      <c r="C18" s="108"/>
      <c r="D18" s="108"/>
      <c r="E18" s="108"/>
    </row>
    <row r="20" spans="1:5" ht="14.25">
      <c r="A20" s="311" t="s">
        <v>67</v>
      </c>
    </row>
    <row r="21" spans="1:5" ht="14.25">
      <c r="A21" s="312" t="s">
        <v>262</v>
      </c>
    </row>
    <row r="22" spans="1:5" ht="14.25">
      <c r="A22" s="311"/>
    </row>
    <row r="23" spans="1:5" ht="15">
      <c r="A23" s="313" t="s">
        <v>79</v>
      </c>
      <c r="E23" s="110"/>
    </row>
    <row r="34" spans="8:8">
      <c r="H34" s="107" t="s">
        <v>56</v>
      </c>
    </row>
  </sheetData>
  <phoneticPr fontId="46" type="noConversion"/>
  <printOptions horizontalCentered="1"/>
  <pageMargins left="0" right="0" top="0.55000000000000004" bottom="0.17" header="0.3" footer="0.15"/>
  <pageSetup paperSize="5" scale="82"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73"/>
  <sheetViews>
    <sheetView zoomScaleNormal="100" zoomScaleSheetLayoutView="75" workbookViewId="0">
      <pane xSplit="1" ySplit="8" topLeftCell="B34" activePane="bottomRight" state="frozen"/>
      <selection pane="topRight" activeCell="O33" sqref="O33"/>
      <selection pane="bottomLeft" activeCell="O33" sqref="O33"/>
      <selection pane="bottomRight" activeCell="N51" sqref="N51"/>
    </sheetView>
  </sheetViews>
  <sheetFormatPr defaultColWidth="17" defaultRowHeight="12"/>
  <cols>
    <col min="1" max="1" width="46.28515625" style="611" customWidth="1"/>
    <col min="2" max="9" width="11.5703125" style="611" customWidth="1"/>
    <col min="10" max="10" width="11.5703125" style="613" customWidth="1"/>
    <col min="11" max="14" width="11.5703125" style="611" customWidth="1"/>
    <col min="15" max="16" width="0" style="611" hidden="1" customWidth="1"/>
    <col min="17" max="16384" width="17" style="611"/>
  </cols>
  <sheetData>
    <row r="1" spans="1:16">
      <c r="A1" s="611" t="s">
        <v>56</v>
      </c>
      <c r="E1" s="612" t="s">
        <v>39</v>
      </c>
    </row>
    <row r="2" spans="1:16">
      <c r="E2" s="612" t="s">
        <v>263</v>
      </c>
    </row>
    <row r="3" spans="1:16">
      <c r="A3" s="614"/>
      <c r="E3" s="615" t="str">
        <f>'Program MW '!H3</f>
        <v>December  2021</v>
      </c>
      <c r="N3" s="616"/>
    </row>
    <row r="4" spans="1:16" ht="12.75" thickBot="1"/>
    <row r="5" spans="1:16">
      <c r="A5" s="617"/>
      <c r="B5" s="618"/>
      <c r="C5" s="618"/>
      <c r="D5" s="618"/>
      <c r="E5" s="618"/>
      <c r="F5" s="618"/>
      <c r="G5" s="618"/>
      <c r="H5" s="618"/>
      <c r="I5" s="618"/>
      <c r="J5" s="619"/>
      <c r="K5" s="618"/>
      <c r="L5" s="618"/>
      <c r="M5" s="618"/>
      <c r="N5" s="620"/>
    </row>
    <row r="6" spans="1:16" ht="24">
      <c r="A6" s="621" t="s">
        <v>264</v>
      </c>
      <c r="B6" s="622" t="s">
        <v>41</v>
      </c>
      <c r="C6" s="622" t="s">
        <v>42</v>
      </c>
      <c r="D6" s="622" t="s">
        <v>43</v>
      </c>
      <c r="E6" s="622" t="s">
        <v>44</v>
      </c>
      <c r="F6" s="622" t="s">
        <v>31</v>
      </c>
      <c r="G6" s="622" t="s">
        <v>45</v>
      </c>
      <c r="H6" s="622" t="s">
        <v>59</v>
      </c>
      <c r="I6" s="622" t="s">
        <v>60</v>
      </c>
      <c r="J6" s="623" t="s">
        <v>61</v>
      </c>
      <c r="K6" s="622" t="s">
        <v>62</v>
      </c>
      <c r="L6" s="622" t="s">
        <v>63</v>
      </c>
      <c r="M6" s="622" t="s">
        <v>64</v>
      </c>
      <c r="N6" s="624" t="s">
        <v>265</v>
      </c>
    </row>
    <row r="7" spans="1:16">
      <c r="A7" s="625"/>
      <c r="B7" s="626"/>
      <c r="C7" s="626"/>
      <c r="D7" s="626"/>
      <c r="E7" s="626"/>
      <c r="F7" s="626"/>
      <c r="G7" s="626"/>
      <c r="H7" s="627"/>
      <c r="I7" s="626"/>
      <c r="J7" s="421"/>
      <c r="K7" s="626"/>
      <c r="L7" s="626"/>
      <c r="M7" s="626"/>
      <c r="N7" s="628"/>
    </row>
    <row r="8" spans="1:16">
      <c r="A8" s="625" t="s">
        <v>266</v>
      </c>
      <c r="B8" s="626"/>
      <c r="C8" s="626"/>
      <c r="D8" s="626"/>
      <c r="E8" s="626"/>
      <c r="F8" s="626"/>
      <c r="G8" s="626"/>
      <c r="H8" s="627"/>
      <c r="I8" s="626"/>
      <c r="J8" s="421"/>
      <c r="K8" s="626"/>
      <c r="L8" s="626"/>
      <c r="M8" s="626"/>
      <c r="N8" s="628"/>
    </row>
    <row r="9" spans="1:16">
      <c r="A9" s="629" t="s">
        <v>267</v>
      </c>
      <c r="B9" s="630">
        <v>5.4340000000000002</v>
      </c>
      <c r="C9" s="630">
        <v>8.3640000000000008</v>
      </c>
      <c r="D9" s="630">
        <f>24.646-C9-B9</f>
        <v>10.847999999999999</v>
      </c>
      <c r="E9" s="630">
        <v>10.628</v>
      </c>
      <c r="F9" s="630">
        <v>12.351000000000001</v>
      </c>
      <c r="G9" s="630">
        <v>13.272</v>
      </c>
      <c r="H9" s="630">
        <v>11.590999999999999</v>
      </c>
      <c r="I9" s="630">
        <v>11.098000000000001</v>
      </c>
      <c r="J9" s="630">
        <v>11.967000000000001</v>
      </c>
      <c r="K9" s="630">
        <v>24.972999999999999</v>
      </c>
      <c r="L9" s="630">
        <v>9.6329999999999991</v>
      </c>
      <c r="M9" s="630">
        <v>10.827</v>
      </c>
      <c r="N9" s="631">
        <f t="shared" ref="N9:N34" si="0">SUM(B9:M9)</f>
        <v>140.98599999999999</v>
      </c>
      <c r="O9" s="632">
        <v>0</v>
      </c>
      <c r="P9" s="632">
        <v>0</v>
      </c>
    </row>
    <row r="10" spans="1:16" ht="13.5">
      <c r="A10" s="629" t="s">
        <v>268</v>
      </c>
      <c r="B10" s="633">
        <v>44.155000000000001</v>
      </c>
      <c r="C10" s="633">
        <v>11.638999999999999</v>
      </c>
      <c r="D10" s="633">
        <f>131.908-C10-B10</f>
        <v>76.11399999999999</v>
      </c>
      <c r="E10" s="633">
        <v>45.377000000000002</v>
      </c>
      <c r="F10" s="633">
        <v>41.933999999999997</v>
      </c>
      <c r="G10" s="633">
        <v>48.670999999999999</v>
      </c>
      <c r="H10" s="633">
        <v>50.156999999999996</v>
      </c>
      <c r="I10" s="633">
        <v>45.191000000000003</v>
      </c>
      <c r="J10" s="633">
        <v>41.551000000000002</v>
      </c>
      <c r="K10" s="633">
        <v>47.951000000000001</v>
      </c>
      <c r="L10" s="633">
        <v>46.19</v>
      </c>
      <c r="M10" s="633">
        <v>43.848999999999997</v>
      </c>
      <c r="N10" s="631">
        <f t="shared" si="0"/>
        <v>542.779</v>
      </c>
    </row>
    <row r="11" spans="1:16" ht="14.25" customHeight="1">
      <c r="A11" s="629" t="s">
        <v>269</v>
      </c>
      <c r="B11" s="633">
        <v>5.3719999999999999</v>
      </c>
      <c r="C11" s="572">
        <v>5.4429999999999996</v>
      </c>
      <c r="D11" s="572">
        <f>16.812-C11-B11</f>
        <v>5.9970000000000017</v>
      </c>
      <c r="E11" s="572">
        <v>6.6950000000000003</v>
      </c>
      <c r="F11" s="572">
        <v>5.6539999999999999</v>
      </c>
      <c r="G11" s="572">
        <v>6.0540000000000003</v>
      </c>
      <c r="H11" s="572">
        <v>4.8209999999999997</v>
      </c>
      <c r="I11" s="572">
        <v>5.6520000000000001</v>
      </c>
      <c r="J11" s="572">
        <v>5.359</v>
      </c>
      <c r="K11" s="572">
        <v>4.0780000000000003</v>
      </c>
      <c r="L11" s="572">
        <v>0.83299999999999996</v>
      </c>
      <c r="M11" s="572">
        <v>1.1839999999999999</v>
      </c>
      <c r="N11" s="631">
        <f t="shared" si="0"/>
        <v>57.142000000000003</v>
      </c>
    </row>
    <row r="12" spans="1:16">
      <c r="A12" s="629" t="s">
        <v>270</v>
      </c>
      <c r="B12" s="633">
        <v>0</v>
      </c>
      <c r="C12" s="572">
        <v>0</v>
      </c>
      <c r="D12" s="572">
        <v>0</v>
      </c>
      <c r="E12" s="572">
        <v>0</v>
      </c>
      <c r="F12" s="572">
        <v>0</v>
      </c>
      <c r="G12" s="572">
        <v>0</v>
      </c>
      <c r="H12" s="572">
        <v>0</v>
      </c>
      <c r="I12" s="572">
        <v>0</v>
      </c>
      <c r="J12" s="572">
        <v>0</v>
      </c>
      <c r="K12" s="572">
        <v>54.6</v>
      </c>
      <c r="L12" s="572">
        <v>0</v>
      </c>
      <c r="M12" s="572">
        <v>0</v>
      </c>
      <c r="N12" s="631">
        <f t="shared" si="0"/>
        <v>54.6</v>
      </c>
    </row>
    <row r="13" spans="1:16">
      <c r="A13" s="629" t="s">
        <v>210</v>
      </c>
      <c r="B13" s="633">
        <v>6.5279999999999996</v>
      </c>
      <c r="C13" s="572">
        <v>9.1560000000000006</v>
      </c>
      <c r="D13" s="572">
        <f>25.223-C13-B13</f>
        <v>9.5390000000000015</v>
      </c>
      <c r="E13" s="572">
        <v>17.847000000000001</v>
      </c>
      <c r="F13" s="572">
        <v>16.437000000000001</v>
      </c>
      <c r="G13" s="572">
        <v>18.690999999999999</v>
      </c>
      <c r="H13" s="572">
        <v>15.734999999999999</v>
      </c>
      <c r="I13" s="572">
        <v>14.573</v>
      </c>
      <c r="J13" s="572">
        <v>9.5129999999999999</v>
      </c>
      <c r="K13" s="572">
        <v>15.968999999999999</v>
      </c>
      <c r="L13" s="572">
        <v>8.5440000000000005</v>
      </c>
      <c r="M13" s="572">
        <v>6.2770000000000001</v>
      </c>
      <c r="N13" s="631">
        <f t="shared" si="0"/>
        <v>148.809</v>
      </c>
    </row>
    <row r="14" spans="1:16">
      <c r="A14" s="629" t="s">
        <v>271</v>
      </c>
      <c r="B14" s="633">
        <v>10.265000000000001</v>
      </c>
      <c r="C14" s="572">
        <v>9.8539999999999992</v>
      </c>
      <c r="D14" s="572">
        <v>13.487</v>
      </c>
      <c r="E14" s="572">
        <v>12.321999999999999</v>
      </c>
      <c r="F14" s="572">
        <v>28.375</v>
      </c>
      <c r="G14" s="572">
        <v>11.579000000000001</v>
      </c>
      <c r="H14" s="572">
        <v>25.823</v>
      </c>
      <c r="I14" s="572">
        <v>2.95</v>
      </c>
      <c r="J14" s="572">
        <v>23.155999999999999</v>
      </c>
      <c r="K14" s="572">
        <v>11.933</v>
      </c>
      <c r="L14" s="572">
        <v>11.821</v>
      </c>
      <c r="M14" s="572">
        <v>6.8789999999999996</v>
      </c>
      <c r="N14" s="631">
        <f t="shared" si="0"/>
        <v>168.44399999999999</v>
      </c>
    </row>
    <row r="15" spans="1:16">
      <c r="A15" s="629" t="s">
        <v>272</v>
      </c>
      <c r="B15" s="633">
        <v>22.998999999999999</v>
      </c>
      <c r="C15" s="572">
        <v>17.649999999999999</v>
      </c>
      <c r="D15" s="572">
        <f>90.729-C15-B15</f>
        <v>50.080000000000013</v>
      </c>
      <c r="E15" s="572">
        <v>21.035</v>
      </c>
      <c r="F15" s="572">
        <v>41.122999999999998</v>
      </c>
      <c r="G15" s="572">
        <v>14.077</v>
      </c>
      <c r="H15" s="572">
        <v>15.606</v>
      </c>
      <c r="I15" s="572">
        <v>16.998999999999999</v>
      </c>
      <c r="J15" s="572">
        <v>14.512</v>
      </c>
      <c r="K15" s="572">
        <v>10.888</v>
      </c>
      <c r="L15" s="572">
        <v>33.869</v>
      </c>
      <c r="M15" s="572">
        <v>184.899</v>
      </c>
      <c r="N15" s="631">
        <f t="shared" si="0"/>
        <v>443.73699999999997</v>
      </c>
    </row>
    <row r="16" spans="1:16">
      <c r="A16" s="629" t="s">
        <v>219</v>
      </c>
      <c r="B16" s="633">
        <v>11.461</v>
      </c>
      <c r="C16" s="572">
        <v>10.833</v>
      </c>
      <c r="D16" s="572">
        <f>35.334-C16-B16</f>
        <v>13.040000000000004</v>
      </c>
      <c r="E16" s="572">
        <v>20.324000000000002</v>
      </c>
      <c r="F16" s="572">
        <v>12.916</v>
      </c>
      <c r="G16" s="572">
        <v>14.782999999999999</v>
      </c>
      <c r="H16" s="572">
        <v>13.433</v>
      </c>
      <c r="I16" s="572">
        <v>15.829000000000001</v>
      </c>
      <c r="J16" s="572">
        <v>13.638</v>
      </c>
      <c r="K16" s="572">
        <v>15.468</v>
      </c>
      <c r="L16" s="572">
        <v>14.412000000000001</v>
      </c>
      <c r="M16" s="572">
        <v>11.736000000000001</v>
      </c>
      <c r="N16" s="631">
        <f t="shared" si="0"/>
        <v>167.87299999999999</v>
      </c>
    </row>
    <row r="17" spans="1:17">
      <c r="A17" s="629" t="s">
        <v>220</v>
      </c>
      <c r="B17" s="633">
        <v>7.4180000000000001</v>
      </c>
      <c r="C17" s="572">
        <v>9.0180000000000007</v>
      </c>
      <c r="D17" s="572">
        <f>26.365-C17-B17</f>
        <v>9.9289999999999985</v>
      </c>
      <c r="E17" s="572">
        <v>25.263000000000002</v>
      </c>
      <c r="F17" s="572">
        <v>6.0819999999999999</v>
      </c>
      <c r="G17" s="572">
        <v>10.083</v>
      </c>
      <c r="H17" s="572">
        <v>8.7910000000000004</v>
      </c>
      <c r="I17" s="572">
        <v>9.782</v>
      </c>
      <c r="J17" s="572">
        <v>7.9969999999999999</v>
      </c>
      <c r="K17" s="572">
        <v>10.552</v>
      </c>
      <c r="L17" s="572">
        <v>12.129</v>
      </c>
      <c r="M17" s="572">
        <v>7.8780000000000001</v>
      </c>
      <c r="N17" s="631">
        <f t="shared" si="0"/>
        <v>124.922</v>
      </c>
    </row>
    <row r="18" spans="1:17">
      <c r="A18" s="629" t="s">
        <v>273</v>
      </c>
      <c r="B18" s="633">
        <v>0</v>
      </c>
      <c r="C18" s="572">
        <v>0</v>
      </c>
      <c r="D18" s="572">
        <v>0</v>
      </c>
      <c r="E18" s="572">
        <v>0</v>
      </c>
      <c r="F18" s="572">
        <v>0</v>
      </c>
      <c r="G18" s="572">
        <v>0</v>
      </c>
      <c r="H18" s="572">
        <v>0</v>
      </c>
      <c r="I18" s="572">
        <v>0</v>
      </c>
      <c r="J18" s="572">
        <v>0</v>
      </c>
      <c r="K18" s="572">
        <v>0</v>
      </c>
      <c r="L18" s="572">
        <v>0</v>
      </c>
      <c r="M18" s="572">
        <v>0</v>
      </c>
      <c r="N18" s="631">
        <f t="shared" si="0"/>
        <v>0</v>
      </c>
    </row>
    <row r="19" spans="1:17" ht="13.5">
      <c r="A19" s="629" t="s">
        <v>274</v>
      </c>
      <c r="B19" s="633">
        <v>1.681</v>
      </c>
      <c r="C19" s="572">
        <v>1.873</v>
      </c>
      <c r="D19" s="572">
        <f>6.233-C19-B19</f>
        <v>2.6789999999999994</v>
      </c>
      <c r="E19" s="572">
        <v>2.4420000000000002</v>
      </c>
      <c r="F19" s="572">
        <v>2.0979999999999999</v>
      </c>
      <c r="G19" s="572">
        <v>0.77700000000000002</v>
      </c>
      <c r="H19" s="572">
        <v>-1.9870000000000001</v>
      </c>
      <c r="I19" s="572">
        <v>0</v>
      </c>
      <c r="J19" s="572">
        <v>0</v>
      </c>
      <c r="K19" s="572">
        <v>0</v>
      </c>
      <c r="L19" s="572">
        <v>0</v>
      </c>
      <c r="M19" s="572">
        <v>0</v>
      </c>
      <c r="N19" s="631">
        <f t="shared" si="0"/>
        <v>9.5629999999999988</v>
      </c>
    </row>
    <row r="20" spans="1:17">
      <c r="A20" s="634" t="s">
        <v>189</v>
      </c>
      <c r="B20" s="633">
        <v>0</v>
      </c>
      <c r="C20" s="572">
        <v>0</v>
      </c>
      <c r="D20" s="572">
        <v>0</v>
      </c>
      <c r="E20" s="572">
        <v>0</v>
      </c>
      <c r="F20" s="572">
        <v>0</v>
      </c>
      <c r="G20" s="572">
        <v>0</v>
      </c>
      <c r="H20" s="572">
        <v>0</v>
      </c>
      <c r="I20" s="572">
        <v>0</v>
      </c>
      <c r="J20" s="572">
        <v>0</v>
      </c>
      <c r="K20" s="572">
        <v>0</v>
      </c>
      <c r="L20" s="572">
        <v>0</v>
      </c>
      <c r="M20" s="572">
        <v>0</v>
      </c>
      <c r="N20" s="631">
        <f t="shared" si="0"/>
        <v>0</v>
      </c>
    </row>
    <row r="21" spans="1:17" ht="14.25">
      <c r="A21" s="634" t="s">
        <v>275</v>
      </c>
      <c r="B21" s="633">
        <v>0</v>
      </c>
      <c r="C21" s="572">
        <v>0</v>
      </c>
      <c r="D21" s="572">
        <v>0</v>
      </c>
      <c r="E21" s="572">
        <v>0</v>
      </c>
      <c r="F21" s="572">
        <v>0</v>
      </c>
      <c r="G21" s="572">
        <v>0</v>
      </c>
      <c r="H21" s="572">
        <v>0</v>
      </c>
      <c r="I21" s="572">
        <v>4.0570000000000004</v>
      </c>
      <c r="J21" s="572">
        <v>5.5149999999999997</v>
      </c>
      <c r="K21" s="572">
        <v>6.2210000000000001</v>
      </c>
      <c r="L21" s="572">
        <v>1.879</v>
      </c>
      <c r="M21" s="572">
        <v>1.905</v>
      </c>
      <c r="N21" s="631">
        <f>SUM(B21:M21)</f>
        <v>19.577000000000002</v>
      </c>
    </row>
    <row r="22" spans="1:17">
      <c r="A22" s="634" t="s">
        <v>276</v>
      </c>
      <c r="B22" s="633">
        <v>111.34399999999999</v>
      </c>
      <c r="C22" s="572">
        <v>1.498</v>
      </c>
      <c r="D22" s="572">
        <f>114.985-C22-B22</f>
        <v>2.1430000000000007</v>
      </c>
      <c r="E22" s="572">
        <v>1.9530000000000001</v>
      </c>
      <c r="F22" s="572">
        <v>1.6779999999999999</v>
      </c>
      <c r="G22" s="572">
        <v>0.622</v>
      </c>
      <c r="H22" s="572">
        <v>3.35</v>
      </c>
      <c r="I22" s="572">
        <v>1.603</v>
      </c>
      <c r="J22" s="572">
        <v>0.74399999999999999</v>
      </c>
      <c r="K22" s="572">
        <v>3.4350000000000001</v>
      </c>
      <c r="L22" s="572">
        <v>2.4740000000000002</v>
      </c>
      <c r="M22" s="572">
        <v>1.81</v>
      </c>
      <c r="N22" s="631">
        <f t="shared" si="0"/>
        <v>132.65399999999997</v>
      </c>
    </row>
    <row r="23" spans="1:17" ht="14.25">
      <c r="A23" s="629" t="s">
        <v>277</v>
      </c>
      <c r="B23" s="633">
        <v>2.75</v>
      </c>
      <c r="C23" s="572">
        <v>0</v>
      </c>
      <c r="D23" s="572">
        <f>43.162-C23-B23</f>
        <v>40.411999999999999</v>
      </c>
      <c r="E23" s="572">
        <v>1.641</v>
      </c>
      <c r="F23" s="572">
        <v>43.448999999999998</v>
      </c>
      <c r="G23" s="572">
        <v>130.79300000000001</v>
      </c>
      <c r="H23" s="572">
        <v>27.632000000000001</v>
      </c>
      <c r="I23" s="572">
        <v>106.979</v>
      </c>
      <c r="J23" s="572">
        <v>215.529</v>
      </c>
      <c r="K23" s="572">
        <v>9.4280000000000008</v>
      </c>
      <c r="L23" s="572">
        <v>0</v>
      </c>
      <c r="M23" s="572">
        <v>102.184</v>
      </c>
      <c r="N23" s="631">
        <f t="shared" si="0"/>
        <v>680.79699999999991</v>
      </c>
    </row>
    <row r="24" spans="1:17">
      <c r="A24" s="629" t="s">
        <v>278</v>
      </c>
      <c r="B24" s="633">
        <v>37.207999999999998</v>
      </c>
      <c r="C24" s="572">
        <v>42.548000000000002</v>
      </c>
      <c r="D24" s="572">
        <v>57.579000000000001</v>
      </c>
      <c r="E24" s="572">
        <v>51.548999999999999</v>
      </c>
      <c r="F24" s="572">
        <v>49.262999999999998</v>
      </c>
      <c r="G24" s="572">
        <v>43.06</v>
      </c>
      <c r="H24" s="572">
        <v>37.057000000000002</v>
      </c>
      <c r="I24" s="572">
        <v>46.095999999999997</v>
      </c>
      <c r="J24" s="572">
        <v>48.262999999999998</v>
      </c>
      <c r="K24" s="572">
        <v>53.755000000000003</v>
      </c>
      <c r="L24" s="572">
        <v>43.392000000000003</v>
      </c>
      <c r="M24" s="572">
        <v>41.747999999999998</v>
      </c>
      <c r="N24" s="631">
        <f t="shared" si="0"/>
        <v>551.51800000000003</v>
      </c>
    </row>
    <row r="25" spans="1:17" ht="13.5">
      <c r="A25" s="629" t="s">
        <v>351</v>
      </c>
      <c r="B25" s="633">
        <v>120.524</v>
      </c>
      <c r="C25" s="572">
        <v>107.79600000000001</v>
      </c>
      <c r="D25" s="572">
        <f>380.534-C25-B25</f>
        <v>152.214</v>
      </c>
      <c r="E25" s="572">
        <v>150.024</v>
      </c>
      <c r="F25" s="572">
        <v>74.804000000000002</v>
      </c>
      <c r="G25" s="572">
        <v>506.28399999999999</v>
      </c>
      <c r="H25" s="572">
        <v>38.850999999999999</v>
      </c>
      <c r="I25" s="572">
        <v>52.255000000000003</v>
      </c>
      <c r="J25" s="572">
        <v>287.26499999999999</v>
      </c>
      <c r="K25" s="572">
        <v>-87.212999999999994</v>
      </c>
      <c r="L25" s="572">
        <v>91.808000000000007</v>
      </c>
      <c r="M25" s="572">
        <v>308.11900000000003</v>
      </c>
      <c r="N25" s="631">
        <f t="shared" si="0"/>
        <v>1802.7309999999998</v>
      </c>
    </row>
    <row r="26" spans="1:17" ht="13.5">
      <c r="A26" s="629" t="s">
        <v>279</v>
      </c>
      <c r="B26" s="633">
        <v>23.262</v>
      </c>
      <c r="C26" s="572">
        <v>81.326999999999998</v>
      </c>
      <c r="D26" s="572">
        <f>174.323-C26-B26</f>
        <v>69.734000000000009</v>
      </c>
      <c r="E26" s="572">
        <v>49.412999999999997</v>
      </c>
      <c r="F26" s="572">
        <v>35.180999999999997</v>
      </c>
      <c r="G26" s="572">
        <v>33.500999999999998</v>
      </c>
      <c r="H26" s="572">
        <v>88.138999999999996</v>
      </c>
      <c r="I26" s="572">
        <v>49.484000000000002</v>
      </c>
      <c r="J26" s="572">
        <v>59.311</v>
      </c>
      <c r="K26" s="572">
        <v>45.588000000000001</v>
      </c>
      <c r="L26" s="572">
        <v>139.447</v>
      </c>
      <c r="M26" s="572">
        <v>119.652</v>
      </c>
      <c r="N26" s="631">
        <f t="shared" si="0"/>
        <v>794.03899999999999</v>
      </c>
      <c r="Q26" s="635"/>
    </row>
    <row r="27" spans="1:17">
      <c r="A27" s="629" t="s">
        <v>234</v>
      </c>
      <c r="B27" s="633">
        <v>3.379</v>
      </c>
      <c r="C27" s="572">
        <v>24.798999999999999</v>
      </c>
      <c r="D27" s="572">
        <f>28.178-C27-B27</f>
        <v>0</v>
      </c>
      <c r="E27" s="572">
        <v>0</v>
      </c>
      <c r="F27" s="572">
        <v>0</v>
      </c>
      <c r="G27" s="572">
        <v>103.866</v>
      </c>
      <c r="H27" s="572">
        <v>0</v>
      </c>
      <c r="I27" s="572">
        <v>0</v>
      </c>
      <c r="J27" s="572">
        <v>0</v>
      </c>
      <c r="K27" s="572">
        <v>0</v>
      </c>
      <c r="L27" s="572">
        <v>137.98500000000001</v>
      </c>
      <c r="M27" s="572">
        <v>88.486000000000004</v>
      </c>
      <c r="N27" s="631">
        <f t="shared" si="0"/>
        <v>358.51499999999999</v>
      </c>
      <c r="Q27" s="635"/>
    </row>
    <row r="28" spans="1:17" ht="13.5">
      <c r="A28" s="636" t="s">
        <v>280</v>
      </c>
      <c r="B28" s="633">
        <v>55.295999999999999</v>
      </c>
      <c r="C28" s="572">
        <v>-33.177999999999997</v>
      </c>
      <c r="D28" s="572">
        <v>56.866</v>
      </c>
      <c r="E28" s="572">
        <v>0</v>
      </c>
      <c r="F28" s="572">
        <v>8.9420000000000002</v>
      </c>
      <c r="G28" s="572">
        <v>59.112000000000002</v>
      </c>
      <c r="H28" s="572">
        <v>0</v>
      </c>
      <c r="I28" s="572">
        <v>0</v>
      </c>
      <c r="J28" s="572">
        <v>210.114</v>
      </c>
      <c r="K28" s="572">
        <v>0</v>
      </c>
      <c r="L28" s="572">
        <v>49.238</v>
      </c>
      <c r="M28" s="572">
        <v>11.206</v>
      </c>
      <c r="N28" s="631">
        <f t="shared" si="0"/>
        <v>417.59600000000006</v>
      </c>
      <c r="Q28" s="635"/>
    </row>
    <row r="29" spans="1:17" ht="15" customHeight="1">
      <c r="A29" s="629" t="s">
        <v>281</v>
      </c>
      <c r="B29" s="633">
        <v>22.978999999999999</v>
      </c>
      <c r="C29" s="572">
        <v>1.4</v>
      </c>
      <c r="D29" s="572">
        <v>1.101</v>
      </c>
      <c r="E29" s="572">
        <v>1.042</v>
      </c>
      <c r="F29" s="572">
        <v>0.94699999999999995</v>
      </c>
      <c r="G29" s="572">
        <v>0.91600000000000004</v>
      </c>
      <c r="H29" s="572">
        <v>-0.193</v>
      </c>
      <c r="I29" s="572">
        <v>0.27700000000000002</v>
      </c>
      <c r="J29" s="572">
        <v>0.2</v>
      </c>
      <c r="K29" s="572">
        <v>21.103999999999999</v>
      </c>
      <c r="L29" s="572">
        <v>0.216</v>
      </c>
      <c r="M29" s="572">
        <v>23.202999999999999</v>
      </c>
      <c r="N29" s="631">
        <f t="shared" si="0"/>
        <v>73.191999999999993</v>
      </c>
      <c r="Q29" s="635"/>
    </row>
    <row r="30" spans="1:17" ht="13.5">
      <c r="A30" s="629" t="s">
        <v>282</v>
      </c>
      <c r="B30" s="633">
        <v>8.077</v>
      </c>
      <c r="C30" s="572">
        <v>40.624000000000002</v>
      </c>
      <c r="D30" s="572">
        <v>2.5049999999999999</v>
      </c>
      <c r="E30" s="572">
        <v>10.302</v>
      </c>
      <c r="F30" s="572">
        <v>0.998</v>
      </c>
      <c r="G30" s="572">
        <v>0.20699999999999999</v>
      </c>
      <c r="H30" s="572">
        <v>1.411</v>
      </c>
      <c r="I30" s="572">
        <v>13.917</v>
      </c>
      <c r="J30" s="572">
        <v>0.2</v>
      </c>
      <c r="K30" s="572">
        <v>5.0490000000000004</v>
      </c>
      <c r="L30" s="572">
        <v>0.61299999999999999</v>
      </c>
      <c r="M30" s="572">
        <v>81.352999999999994</v>
      </c>
      <c r="N30" s="631">
        <f t="shared" si="0"/>
        <v>165.256</v>
      </c>
      <c r="Q30" s="635"/>
    </row>
    <row r="31" spans="1:17" ht="13.5">
      <c r="A31" s="629" t="s">
        <v>283</v>
      </c>
      <c r="B31" s="633">
        <v>7.1999999999999995E-2</v>
      </c>
      <c r="C31" s="572">
        <v>1.6519999999999999</v>
      </c>
      <c r="D31" s="572">
        <v>0.84399999999999997</v>
      </c>
      <c r="E31" s="572">
        <v>8.3000000000000004E-2</v>
      </c>
      <c r="F31" s="572">
        <v>0.85599999999999998</v>
      </c>
      <c r="G31" s="572">
        <v>1.637</v>
      </c>
      <c r="H31" s="572">
        <v>0.159</v>
      </c>
      <c r="I31" s="572">
        <v>9.1999999999999998E-2</v>
      </c>
      <c r="J31" s="572">
        <v>6.7000000000000004E-2</v>
      </c>
      <c r="K31" s="572">
        <v>9.2999999999999999E-2</v>
      </c>
      <c r="L31" s="572">
        <v>7.1999999999999995E-2</v>
      </c>
      <c r="M31" s="572">
        <v>4.2999999999999997E-2</v>
      </c>
      <c r="N31" s="631">
        <f t="shared" si="0"/>
        <v>5.67</v>
      </c>
      <c r="Q31" s="635"/>
    </row>
    <row r="32" spans="1:17">
      <c r="A32" s="629" t="s">
        <v>284</v>
      </c>
      <c r="B32" s="633">
        <v>11.85</v>
      </c>
      <c r="C32" s="572">
        <v>31.484999999999999</v>
      </c>
      <c r="D32" s="572">
        <v>36.584000000000003</v>
      </c>
      <c r="E32" s="572">
        <v>25.762</v>
      </c>
      <c r="F32" s="572">
        <v>10.907</v>
      </c>
      <c r="G32" s="572">
        <v>9.8930000000000007</v>
      </c>
      <c r="H32" s="572">
        <v>8.8230000000000004</v>
      </c>
      <c r="I32" s="572">
        <v>11.628</v>
      </c>
      <c r="J32" s="572">
        <v>10.295999999999999</v>
      </c>
      <c r="K32" s="572">
        <v>11.84</v>
      </c>
      <c r="L32" s="572">
        <v>11.114000000000001</v>
      </c>
      <c r="M32" s="572">
        <v>7.181</v>
      </c>
      <c r="N32" s="631">
        <f t="shared" si="0"/>
        <v>187.36300000000003</v>
      </c>
      <c r="Q32" s="635"/>
    </row>
    <row r="33" spans="1:17" ht="13.5">
      <c r="A33" s="629" t="s">
        <v>350</v>
      </c>
      <c r="B33" s="633">
        <v>3.2120000000000002</v>
      </c>
      <c r="C33" s="572">
        <v>-50.23</v>
      </c>
      <c r="D33" s="572">
        <v>-2.1789999999999998</v>
      </c>
      <c r="E33" s="572">
        <v>0</v>
      </c>
      <c r="F33" s="572">
        <v>58.034999999999997</v>
      </c>
      <c r="G33" s="572">
        <v>35.96</v>
      </c>
      <c r="H33" s="572">
        <v>163.94399999999999</v>
      </c>
      <c r="I33" s="572">
        <v>0</v>
      </c>
      <c r="J33" s="572">
        <v>8.06</v>
      </c>
      <c r="K33" s="572">
        <v>-0.161</v>
      </c>
      <c r="L33" s="572">
        <v>0</v>
      </c>
      <c r="M33" s="572">
        <v>9.1349999999999998</v>
      </c>
      <c r="N33" s="631">
        <f t="shared" si="0"/>
        <v>225.77599999999998</v>
      </c>
      <c r="Q33" s="635"/>
    </row>
    <row r="34" spans="1:17" ht="13.5">
      <c r="A34" s="629" t="s">
        <v>349</v>
      </c>
      <c r="B34" s="637">
        <v>0</v>
      </c>
      <c r="C34" s="638">
        <v>544.17999999999995</v>
      </c>
      <c r="D34" s="638">
        <v>285.53699999999998</v>
      </c>
      <c r="E34" s="638">
        <v>285.32600000000002</v>
      </c>
      <c r="F34" s="638">
        <v>185.32599999999999</v>
      </c>
      <c r="G34" s="638">
        <v>235.32599999999999</v>
      </c>
      <c r="H34" s="638">
        <v>248.40199999999999</v>
      </c>
      <c r="I34" s="638">
        <v>248.40199999999999</v>
      </c>
      <c r="J34" s="638">
        <v>250.02799999999999</v>
      </c>
      <c r="K34" s="638">
        <v>-0.14099999999999999</v>
      </c>
      <c r="L34" s="638">
        <v>496.80399999999997</v>
      </c>
      <c r="M34" s="638">
        <v>248.40199999999999</v>
      </c>
      <c r="N34" s="631">
        <f t="shared" si="0"/>
        <v>3027.5920000000001</v>
      </c>
      <c r="Q34" s="635"/>
    </row>
    <row r="35" spans="1:17" ht="12.75" thickBot="1">
      <c r="A35" s="639" t="s">
        <v>285</v>
      </c>
      <c r="B35" s="640">
        <f t="shared" ref="B35:M35" si="1">SUM(B9:B34)</f>
        <v>515.26599999999996</v>
      </c>
      <c r="C35" s="641">
        <f t="shared" si="1"/>
        <v>877.73099999999999</v>
      </c>
      <c r="D35" s="641">
        <f t="shared" si="1"/>
        <v>895.05299999999988</v>
      </c>
      <c r="E35" s="641">
        <f t="shared" si="1"/>
        <v>739.02800000000002</v>
      </c>
      <c r="F35" s="641">
        <f t="shared" si="1"/>
        <v>637.35599999999999</v>
      </c>
      <c r="G35" s="641">
        <f t="shared" si="1"/>
        <v>1299.164</v>
      </c>
      <c r="H35" s="641">
        <f t="shared" si="1"/>
        <v>761.54500000000007</v>
      </c>
      <c r="I35" s="641">
        <f t="shared" si="1"/>
        <v>656.86399999999981</v>
      </c>
      <c r="J35" s="641">
        <f t="shared" si="1"/>
        <v>1223.2850000000001</v>
      </c>
      <c r="K35" s="641">
        <f t="shared" si="1"/>
        <v>265.40999999999991</v>
      </c>
      <c r="L35" s="641">
        <f t="shared" si="1"/>
        <v>1112.473</v>
      </c>
      <c r="M35" s="641">
        <f t="shared" si="1"/>
        <v>1317.9560000000001</v>
      </c>
      <c r="N35" s="642">
        <f>SUM(N9:N34)</f>
        <v>10301.131000000001</v>
      </c>
      <c r="Q35" s="635"/>
    </row>
    <row r="36" spans="1:17">
      <c r="A36" s="629"/>
      <c r="B36" s="633"/>
      <c r="C36" s="572"/>
      <c r="D36" s="572"/>
      <c r="E36" s="572"/>
      <c r="F36" s="572"/>
      <c r="G36" s="572"/>
      <c r="H36" s="572"/>
      <c r="I36" s="572"/>
      <c r="J36" s="572"/>
      <c r="K36" s="572"/>
      <c r="L36" s="572"/>
      <c r="M36" s="572"/>
      <c r="N36" s="631"/>
      <c r="Q36" s="635"/>
    </row>
    <row r="37" spans="1:17">
      <c r="A37" s="643" t="s">
        <v>286</v>
      </c>
      <c r="B37" s="633"/>
      <c r="C37" s="572"/>
      <c r="D37" s="572"/>
      <c r="E37" s="572"/>
      <c r="F37" s="572"/>
      <c r="G37" s="572"/>
      <c r="H37" s="572"/>
      <c r="I37" s="572"/>
      <c r="J37" s="572"/>
      <c r="K37" s="572"/>
      <c r="L37" s="572"/>
      <c r="M37" s="572"/>
      <c r="N37" s="631"/>
    </row>
    <row r="38" spans="1:17" ht="13.5">
      <c r="A38" s="629" t="s">
        <v>377</v>
      </c>
      <c r="B38" s="572">
        <v>124.98</v>
      </c>
      <c r="C38" s="572">
        <v>0</v>
      </c>
      <c r="D38" s="572">
        <f>124.98-C38-B38</f>
        <v>0</v>
      </c>
      <c r="E38" s="572">
        <v>0</v>
      </c>
      <c r="F38" s="572">
        <v>0</v>
      </c>
      <c r="G38" s="572">
        <v>0</v>
      </c>
      <c r="H38" s="572">
        <v>0.08</v>
      </c>
      <c r="I38" s="644">
        <v>0.02</v>
      </c>
      <c r="J38" s="572">
        <v>7.0000000000000007E-2</v>
      </c>
      <c r="K38" s="572">
        <v>0</v>
      </c>
      <c r="L38" s="572">
        <v>0</v>
      </c>
      <c r="M38" s="572">
        <v>244.44499999999999</v>
      </c>
      <c r="N38" s="631">
        <f t="shared" ref="N38:N48" si="2">SUM(B38:M38)</f>
        <v>369.59499999999997</v>
      </c>
    </row>
    <row r="39" spans="1:17" ht="14.25">
      <c r="A39" s="629" t="s">
        <v>378</v>
      </c>
      <c r="B39" s="572">
        <v>0.24199999999999999</v>
      </c>
      <c r="C39" s="572">
        <v>0.216</v>
      </c>
      <c r="D39" s="572">
        <f>0.782-C39-B39</f>
        <v>0.32400000000000007</v>
      </c>
      <c r="E39" s="572">
        <v>0</v>
      </c>
      <c r="F39" s="572">
        <v>0.2</v>
      </c>
      <c r="G39" s="572">
        <v>0</v>
      </c>
      <c r="H39" s="572">
        <v>0</v>
      </c>
      <c r="I39" s="572">
        <v>0</v>
      </c>
      <c r="J39" s="572">
        <v>0</v>
      </c>
      <c r="K39" s="572">
        <v>0</v>
      </c>
      <c r="L39" s="572">
        <v>0</v>
      </c>
      <c r="M39" s="572">
        <v>665.34299999999996</v>
      </c>
      <c r="N39" s="631">
        <f t="shared" si="2"/>
        <v>666.32499999999993</v>
      </c>
    </row>
    <row r="40" spans="1:17" ht="13.5">
      <c r="A40" s="629" t="s">
        <v>379</v>
      </c>
      <c r="B40" s="572">
        <v>18.131</v>
      </c>
      <c r="C40" s="572">
        <v>0</v>
      </c>
      <c r="D40" s="572">
        <f>37.401-C40-B40</f>
        <v>19.270000000000003</v>
      </c>
      <c r="E40" s="572">
        <v>0</v>
      </c>
      <c r="F40" s="572">
        <v>1.9</v>
      </c>
      <c r="G40" s="572">
        <v>2.0670000000000002</v>
      </c>
      <c r="H40" s="572">
        <v>2.75</v>
      </c>
      <c r="I40" s="572">
        <v>5.0000000000000001E-3</v>
      </c>
      <c r="J40" s="572">
        <v>0</v>
      </c>
      <c r="K40" s="572">
        <v>0</v>
      </c>
      <c r="L40" s="572">
        <v>0</v>
      </c>
      <c r="M40" s="572">
        <v>0.42299999999999999</v>
      </c>
      <c r="N40" s="631">
        <f t="shared" si="2"/>
        <v>44.546000000000006</v>
      </c>
    </row>
    <row r="41" spans="1:17" ht="14.25">
      <c r="A41" s="629" t="s">
        <v>369</v>
      </c>
      <c r="B41" s="572">
        <v>0</v>
      </c>
      <c r="C41" s="572">
        <v>0</v>
      </c>
      <c r="D41" s="572">
        <v>0</v>
      </c>
      <c r="E41" s="572">
        <v>3.0630000000000002</v>
      </c>
      <c r="F41" s="572">
        <v>0</v>
      </c>
      <c r="G41" s="572">
        <v>0</v>
      </c>
      <c r="H41" s="572">
        <v>15.327999999999999</v>
      </c>
      <c r="I41" s="572">
        <v>-6.7110000000000003</v>
      </c>
      <c r="J41" s="572">
        <v>62.36</v>
      </c>
      <c r="K41" s="572">
        <v>1.976</v>
      </c>
      <c r="L41" s="572">
        <v>42.484000000000002</v>
      </c>
      <c r="M41" s="572">
        <v>-3.4510000000000001</v>
      </c>
      <c r="N41" s="631">
        <f t="shared" si="2"/>
        <v>115.04900000000001</v>
      </c>
    </row>
    <row r="42" spans="1:17" ht="13.5">
      <c r="A42" s="629" t="s">
        <v>358</v>
      </c>
      <c r="B42" s="572">
        <v>86.581000000000003</v>
      </c>
      <c r="C42" s="572">
        <v>95.628</v>
      </c>
      <c r="D42" s="572">
        <v>254.01</v>
      </c>
      <c r="E42" s="572">
        <v>11.034000000000001</v>
      </c>
      <c r="F42" s="572">
        <v>-47.726999999999997</v>
      </c>
      <c r="G42" s="572">
        <v>308.97899999999998</v>
      </c>
      <c r="H42" s="572">
        <v>-10.928000000000001</v>
      </c>
      <c r="I42" s="572">
        <v>2.6869999999999998</v>
      </c>
      <c r="J42" s="572">
        <v>495.96800000000002</v>
      </c>
      <c r="K42" s="572">
        <v>-66.186000000000007</v>
      </c>
      <c r="L42" s="572">
        <v>-39.698</v>
      </c>
      <c r="M42" s="572">
        <v>176.309</v>
      </c>
      <c r="N42" s="631">
        <f t="shared" si="2"/>
        <v>1266.6569999999999</v>
      </c>
    </row>
    <row r="43" spans="1:17">
      <c r="A43" s="629" t="s">
        <v>287</v>
      </c>
      <c r="B43" s="572">
        <v>18.05</v>
      </c>
      <c r="C43" s="572">
        <v>15.7</v>
      </c>
      <c r="D43" s="572">
        <f>49.05-C43-B43</f>
        <v>15.299999999999994</v>
      </c>
      <c r="E43" s="572">
        <v>20.05</v>
      </c>
      <c r="F43" s="572">
        <v>5.5</v>
      </c>
      <c r="G43" s="572">
        <v>13.75</v>
      </c>
      <c r="H43" s="572">
        <v>15.45</v>
      </c>
      <c r="I43" s="572">
        <v>20.399999999999999</v>
      </c>
      <c r="J43" s="572">
        <v>24.8</v>
      </c>
      <c r="K43" s="572">
        <v>18.649999999999999</v>
      </c>
      <c r="L43" s="572">
        <v>13.25</v>
      </c>
      <c r="M43" s="572">
        <v>8</v>
      </c>
      <c r="N43" s="631">
        <f t="shared" si="2"/>
        <v>188.9</v>
      </c>
    </row>
    <row r="44" spans="1:17" ht="13.5">
      <c r="A44" s="629" t="s">
        <v>370</v>
      </c>
      <c r="B44" s="572">
        <v>0</v>
      </c>
      <c r="C44" s="572">
        <v>0</v>
      </c>
      <c r="D44" s="572">
        <f>0.276-C44-B44</f>
        <v>0.27600000000000002</v>
      </c>
      <c r="E44" s="572">
        <v>0</v>
      </c>
      <c r="F44" s="572">
        <v>1.56</v>
      </c>
      <c r="G44" s="572">
        <v>0</v>
      </c>
      <c r="H44" s="572">
        <v>0</v>
      </c>
      <c r="I44" s="572">
        <v>0</v>
      </c>
      <c r="J44" s="572">
        <v>0</v>
      </c>
      <c r="K44" s="572">
        <v>1</v>
      </c>
      <c r="L44" s="572">
        <v>0</v>
      </c>
      <c r="M44" s="572">
        <v>-1</v>
      </c>
      <c r="N44" s="631">
        <f t="shared" si="2"/>
        <v>1.8360000000000003</v>
      </c>
    </row>
    <row r="45" spans="1:17">
      <c r="A45" s="629" t="s">
        <v>273</v>
      </c>
      <c r="B45" s="572">
        <v>0</v>
      </c>
      <c r="C45" s="572">
        <v>0</v>
      </c>
      <c r="D45" s="572">
        <v>0</v>
      </c>
      <c r="E45" s="572">
        <v>0</v>
      </c>
      <c r="F45" s="572">
        <v>0</v>
      </c>
      <c r="G45" s="572">
        <v>0</v>
      </c>
      <c r="H45" s="572">
        <v>0</v>
      </c>
      <c r="I45" s="572">
        <v>0</v>
      </c>
      <c r="J45" s="572">
        <v>0</v>
      </c>
      <c r="K45" s="572">
        <v>0</v>
      </c>
      <c r="L45" s="572">
        <v>0</v>
      </c>
      <c r="M45" s="572">
        <v>0</v>
      </c>
      <c r="N45" s="631">
        <f t="shared" si="2"/>
        <v>0</v>
      </c>
    </row>
    <row r="46" spans="1:17">
      <c r="A46" s="634" t="s">
        <v>288</v>
      </c>
      <c r="B46" s="572">
        <v>0</v>
      </c>
      <c r="C46" s="572">
        <v>0</v>
      </c>
      <c r="D46" s="572">
        <v>0</v>
      </c>
      <c r="E46" s="572">
        <v>0</v>
      </c>
      <c r="F46" s="572">
        <v>0</v>
      </c>
      <c r="G46" s="572">
        <v>0</v>
      </c>
      <c r="H46" s="572">
        <v>0</v>
      </c>
      <c r="I46" s="572">
        <v>0</v>
      </c>
      <c r="J46" s="572">
        <v>0</v>
      </c>
      <c r="K46" s="572">
        <v>0</v>
      </c>
      <c r="L46" s="572">
        <v>0</v>
      </c>
      <c r="M46" s="572">
        <v>0</v>
      </c>
      <c r="N46" s="631">
        <f t="shared" si="2"/>
        <v>0</v>
      </c>
    </row>
    <row r="47" spans="1:17" ht="13.5">
      <c r="A47" s="634" t="s">
        <v>289</v>
      </c>
      <c r="B47" s="572">
        <v>0</v>
      </c>
      <c r="C47" s="572">
        <v>0</v>
      </c>
      <c r="D47" s="572">
        <v>0</v>
      </c>
      <c r="E47" s="572">
        <v>0</v>
      </c>
      <c r="F47" s="572">
        <v>0.54</v>
      </c>
      <c r="G47" s="572">
        <v>0</v>
      </c>
      <c r="H47" s="572">
        <v>-0.54</v>
      </c>
      <c r="I47" s="572">
        <v>0</v>
      </c>
      <c r="J47" s="572">
        <v>0</v>
      </c>
      <c r="K47" s="572">
        <v>0</v>
      </c>
      <c r="L47" s="572">
        <v>0</v>
      </c>
      <c r="M47" s="572">
        <v>0</v>
      </c>
      <c r="N47" s="631">
        <f t="shared" si="2"/>
        <v>0</v>
      </c>
    </row>
    <row r="48" spans="1:17" ht="13.5">
      <c r="A48" s="634" t="s">
        <v>290</v>
      </c>
      <c r="B48" s="572">
        <v>0</v>
      </c>
      <c r="C48" s="572">
        <v>0</v>
      </c>
      <c r="D48" s="572">
        <v>0</v>
      </c>
      <c r="E48" s="572">
        <v>0</v>
      </c>
      <c r="F48" s="572">
        <v>0</v>
      </c>
      <c r="G48" s="572">
        <v>-0.54</v>
      </c>
      <c r="H48" s="572">
        <v>0.54</v>
      </c>
      <c r="I48" s="572">
        <v>0</v>
      </c>
      <c r="J48" s="572">
        <v>0</v>
      </c>
      <c r="K48" s="572">
        <v>0</v>
      </c>
      <c r="L48" s="572">
        <v>0</v>
      </c>
      <c r="M48" s="572">
        <v>0</v>
      </c>
      <c r="N48" s="631">
        <f t="shared" si="2"/>
        <v>0</v>
      </c>
    </row>
    <row r="49" spans="1:14">
      <c r="A49" s="629" t="s">
        <v>291</v>
      </c>
      <c r="B49" s="638">
        <v>0</v>
      </c>
      <c r="C49" s="638">
        <v>0</v>
      </c>
      <c r="D49" s="638">
        <v>0</v>
      </c>
      <c r="E49" s="638">
        <v>0</v>
      </c>
      <c r="F49" s="638">
        <v>0</v>
      </c>
      <c r="G49" s="638">
        <v>0</v>
      </c>
      <c r="H49" s="638">
        <v>0</v>
      </c>
      <c r="I49" s="638">
        <v>0</v>
      </c>
      <c r="J49" s="638">
        <v>0</v>
      </c>
      <c r="K49" s="638">
        <v>0</v>
      </c>
      <c r="L49" s="638">
        <v>0</v>
      </c>
      <c r="M49" s="638">
        <v>0</v>
      </c>
      <c r="N49" s="631">
        <f>SUM(B49:M49)</f>
        <v>0</v>
      </c>
    </row>
    <row r="50" spans="1:14">
      <c r="A50" s="645" t="s">
        <v>292</v>
      </c>
      <c r="B50" s="646">
        <f t="shared" ref="B50:M50" si="3">SUM(B38:B49)</f>
        <v>247.98400000000004</v>
      </c>
      <c r="C50" s="646">
        <f t="shared" si="3"/>
        <v>111.544</v>
      </c>
      <c r="D50" s="646">
        <f t="shared" si="3"/>
        <v>289.18</v>
      </c>
      <c r="E50" s="646">
        <f t="shared" si="3"/>
        <v>34.147000000000006</v>
      </c>
      <c r="F50" s="646">
        <f t="shared" si="3"/>
        <v>-38.026999999999994</v>
      </c>
      <c r="G50" s="646">
        <f t="shared" si="3"/>
        <v>324.25599999999997</v>
      </c>
      <c r="H50" s="646">
        <f t="shared" si="3"/>
        <v>22.68</v>
      </c>
      <c r="I50" s="646">
        <f t="shared" si="3"/>
        <v>16.401</v>
      </c>
      <c r="J50" s="646">
        <f t="shared" si="3"/>
        <v>583.19799999999998</v>
      </c>
      <c r="K50" s="646">
        <f t="shared" si="3"/>
        <v>-44.560000000000009</v>
      </c>
      <c r="L50" s="646">
        <f t="shared" si="3"/>
        <v>16.036000000000001</v>
      </c>
      <c r="M50" s="646">
        <f t="shared" si="3"/>
        <v>1090.069</v>
      </c>
      <c r="N50" s="642">
        <f>SUM(N38:N49)</f>
        <v>2652.9079999999994</v>
      </c>
    </row>
    <row r="51" spans="1:14" ht="20.25" customHeight="1" thickBot="1">
      <c r="A51" s="647" t="s">
        <v>293</v>
      </c>
      <c r="B51" s="648">
        <f t="shared" ref="B51:M51" si="4">B50+B35</f>
        <v>763.25</v>
      </c>
      <c r="C51" s="649">
        <f t="shared" si="4"/>
        <v>989.27499999999998</v>
      </c>
      <c r="D51" s="649">
        <f t="shared" si="4"/>
        <v>1184.2329999999999</v>
      </c>
      <c r="E51" s="649">
        <f t="shared" si="4"/>
        <v>773.17500000000007</v>
      </c>
      <c r="F51" s="649">
        <f t="shared" si="4"/>
        <v>599.32899999999995</v>
      </c>
      <c r="G51" s="649">
        <f t="shared" si="4"/>
        <v>1623.42</v>
      </c>
      <c r="H51" s="649">
        <f t="shared" si="4"/>
        <v>784.22500000000002</v>
      </c>
      <c r="I51" s="649">
        <f t="shared" si="4"/>
        <v>673.26499999999976</v>
      </c>
      <c r="J51" s="649">
        <f t="shared" si="4"/>
        <v>1806.4830000000002</v>
      </c>
      <c r="K51" s="649">
        <f t="shared" si="4"/>
        <v>220.84999999999991</v>
      </c>
      <c r="L51" s="649">
        <f t="shared" si="4"/>
        <v>1128.509</v>
      </c>
      <c r="M51" s="649">
        <f t="shared" si="4"/>
        <v>2408.0250000000001</v>
      </c>
      <c r="N51" s="650">
        <f>N50+N35</f>
        <v>12954.039000000001</v>
      </c>
    </row>
    <row r="52" spans="1:14" ht="16.5" customHeight="1">
      <c r="A52" s="651"/>
      <c r="B52" s="652"/>
      <c r="C52" s="652"/>
      <c r="D52" s="652"/>
      <c r="E52" s="652"/>
      <c r="F52" s="652"/>
      <c r="G52" s="652"/>
      <c r="H52" s="652"/>
      <c r="I52" s="652"/>
      <c r="J52" s="580"/>
      <c r="K52" s="652"/>
      <c r="L52" s="652"/>
      <c r="M52" s="652"/>
      <c r="N52" s="653"/>
    </row>
    <row r="53" spans="1:14" ht="30.75" customHeight="1" thickBot="1">
      <c r="A53" s="654" t="s">
        <v>294</v>
      </c>
      <c r="B53" s="655">
        <f>B51+0.041</f>
        <v>763.29100000000005</v>
      </c>
      <c r="C53" s="656">
        <f>C51+0.105</f>
        <v>989.38</v>
      </c>
      <c r="D53" s="656">
        <f>D51+0.156</f>
        <v>1184.3889999999999</v>
      </c>
      <c r="E53" s="656">
        <f>E51+0.222</f>
        <v>773.39700000000005</v>
      </c>
      <c r="F53" s="656">
        <f>F51+0.201</f>
        <v>599.53</v>
      </c>
      <c r="G53" s="656">
        <f>G51+0.213</f>
        <v>1623.633</v>
      </c>
      <c r="H53" s="656">
        <f>H51+0.264</f>
        <v>784.48900000000003</v>
      </c>
      <c r="I53" s="656">
        <f>I51+0.353</f>
        <v>673.61799999999971</v>
      </c>
      <c r="J53" s="656">
        <f>J51+0.415</f>
        <v>1806.8980000000001</v>
      </c>
      <c r="K53" s="656">
        <f>K51+0.465</f>
        <v>221.31499999999991</v>
      </c>
      <c r="L53" s="656">
        <f>L51+0.499</f>
        <v>1129.008</v>
      </c>
      <c r="M53" s="657">
        <f>M51+0.784</f>
        <v>2408.8090000000002</v>
      </c>
      <c r="N53" s="658">
        <f>SUM(B53:M53)</f>
        <v>12957.757000000001</v>
      </c>
    </row>
    <row r="54" spans="1:14" ht="12.75" customHeight="1">
      <c r="A54" s="659"/>
      <c r="B54" s="660"/>
      <c r="C54" s="660"/>
      <c r="D54" s="660"/>
      <c r="E54" s="660"/>
      <c r="F54" s="660"/>
      <c r="G54" s="660"/>
      <c r="H54" s="660"/>
      <c r="I54" s="660"/>
      <c r="J54" s="660"/>
      <c r="K54" s="660"/>
      <c r="L54" s="660"/>
      <c r="M54" s="660"/>
      <c r="N54" s="661"/>
    </row>
    <row r="55" spans="1:14" ht="12.75" customHeight="1">
      <c r="A55" s="662" t="s">
        <v>98</v>
      </c>
      <c r="B55" s="660"/>
      <c r="C55" s="660"/>
      <c r="D55" s="660"/>
      <c r="E55" s="660"/>
      <c r="F55" s="660"/>
      <c r="G55" s="660"/>
      <c r="H55" s="660"/>
      <c r="I55" s="660"/>
      <c r="J55" s="660"/>
      <c r="K55" s="660"/>
      <c r="L55" s="660"/>
      <c r="M55" s="660"/>
      <c r="N55" s="661"/>
    </row>
    <row r="56" spans="1:14" ht="14.25">
      <c r="A56" s="663" t="s">
        <v>295</v>
      </c>
      <c r="G56" s="664"/>
      <c r="H56" s="664"/>
    </row>
    <row r="57" spans="1:14" ht="16.5" customHeight="1">
      <c r="A57" s="610" t="s">
        <v>296</v>
      </c>
      <c r="G57" s="664"/>
      <c r="H57" s="664"/>
    </row>
    <row r="58" spans="1:14" ht="16.5" customHeight="1">
      <c r="A58" s="610" t="s">
        <v>297</v>
      </c>
      <c r="G58" s="664"/>
      <c r="H58" s="664"/>
    </row>
    <row r="59" spans="1:14" s="665" customFormat="1" ht="14.25">
      <c r="A59" s="610" t="s">
        <v>298</v>
      </c>
      <c r="B59" s="610"/>
      <c r="C59" s="610"/>
      <c r="D59" s="610"/>
      <c r="J59" s="666"/>
    </row>
    <row r="60" spans="1:14" ht="14.25">
      <c r="A60" s="610" t="s">
        <v>299</v>
      </c>
      <c r="B60" s="610"/>
      <c r="C60" s="610"/>
      <c r="D60" s="610"/>
      <c r="E60" s="610"/>
      <c r="F60" s="610"/>
    </row>
    <row r="61" spans="1:14" ht="14.25">
      <c r="A61" s="667" t="s">
        <v>342</v>
      </c>
      <c r="B61" s="610"/>
      <c r="C61" s="610"/>
      <c r="D61" s="610"/>
      <c r="E61" s="610"/>
      <c r="F61" s="610"/>
    </row>
    <row r="62" spans="1:14" ht="14.25">
      <c r="A62" s="667" t="s">
        <v>341</v>
      </c>
    </row>
    <row r="63" spans="1:14" ht="14.25">
      <c r="A63" s="667" t="s">
        <v>300</v>
      </c>
    </row>
    <row r="64" spans="1:14" ht="14.25">
      <c r="A64" s="667" t="s">
        <v>301</v>
      </c>
    </row>
    <row r="65" spans="1:1" ht="14.25">
      <c r="A65" s="668" t="s">
        <v>360</v>
      </c>
    </row>
    <row r="66" spans="1:1" ht="14.25">
      <c r="A66" s="669" t="s">
        <v>361</v>
      </c>
    </row>
    <row r="67" spans="1:1" ht="14.25">
      <c r="A67" s="669" t="s">
        <v>362</v>
      </c>
    </row>
    <row r="68" spans="1:1" ht="14.25">
      <c r="A68" s="669" t="s">
        <v>363</v>
      </c>
    </row>
    <row r="69" spans="1:1" ht="14.25">
      <c r="A69" s="668" t="s">
        <v>368</v>
      </c>
    </row>
    <row r="70" spans="1:1" ht="14.25">
      <c r="A70" s="668" t="s">
        <v>380</v>
      </c>
    </row>
    <row r="71" spans="1:1" ht="14.25">
      <c r="A71" s="668" t="s">
        <v>381</v>
      </c>
    </row>
    <row r="72" spans="1:1" ht="14.25">
      <c r="A72" s="669" t="s">
        <v>393</v>
      </c>
    </row>
    <row r="73" spans="1:1" ht="15">
      <c r="A73" s="670" t="s">
        <v>79</v>
      </c>
    </row>
  </sheetData>
  <printOptions horizontalCentered="1"/>
  <pageMargins left="0" right="0" top="0.55000000000000004" bottom="0" header="0.3" footer="0.15"/>
  <pageSetup paperSize="5" scale="5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8"/>
  <sheetViews>
    <sheetView showGridLines="0" zoomScale="110" zoomScaleNormal="110" zoomScaleSheetLayoutView="75" workbookViewId="0">
      <selection activeCell="A33" sqref="A33"/>
    </sheetView>
  </sheetViews>
  <sheetFormatPr defaultColWidth="9.28515625" defaultRowHeight="12.75"/>
  <cols>
    <col min="1" max="1" width="39.28515625" style="15" customWidth="1"/>
    <col min="2" max="13" width="11" style="15" customWidth="1"/>
    <col min="14" max="14" width="15.7109375" style="15" bestFit="1" customWidth="1"/>
    <col min="15" max="15" width="9.7109375" style="15" bestFit="1" customWidth="1"/>
    <col min="16" max="16" width="9.28515625" style="15"/>
    <col min="17" max="17" width="22.28515625" style="15" customWidth="1"/>
    <col min="18" max="16384" width="9.28515625" style="15"/>
  </cols>
  <sheetData>
    <row r="2" spans="1:14">
      <c r="E2" s="113" t="s">
        <v>39</v>
      </c>
    </row>
    <row r="3" spans="1:14">
      <c r="C3" s="124"/>
      <c r="D3" s="124"/>
      <c r="E3" s="125" t="s">
        <v>302</v>
      </c>
      <c r="F3" s="124"/>
      <c r="G3" s="124"/>
    </row>
    <row r="4" spans="1:14">
      <c r="A4" s="21"/>
      <c r="D4" s="124"/>
      <c r="E4" s="116" t="str">
        <f>'Program MW '!H3</f>
        <v>December  2021</v>
      </c>
      <c r="F4" s="124"/>
    </row>
    <row r="5" spans="1:14">
      <c r="A5" s="21"/>
      <c r="E5" s="116"/>
    </row>
    <row r="6" spans="1:14" ht="13.5" thickBot="1">
      <c r="A6" s="21"/>
      <c r="E6" s="116"/>
    </row>
    <row r="7" spans="1:14" ht="32.25" customHeight="1">
      <c r="A7" s="22" t="s">
        <v>264</v>
      </c>
      <c r="B7" s="23" t="s">
        <v>41</v>
      </c>
      <c r="C7" s="23" t="s">
        <v>42</v>
      </c>
      <c r="D7" s="23" t="s">
        <v>43</v>
      </c>
      <c r="E7" s="23" t="s">
        <v>44</v>
      </c>
      <c r="F7" s="23" t="s">
        <v>31</v>
      </c>
      <c r="G7" s="23" t="s">
        <v>45</v>
      </c>
      <c r="H7" s="23" t="s">
        <v>59</v>
      </c>
      <c r="I7" s="23" t="s">
        <v>60</v>
      </c>
      <c r="J7" s="23" t="s">
        <v>61</v>
      </c>
      <c r="K7" s="23" t="s">
        <v>62</v>
      </c>
      <c r="L7" s="23" t="s">
        <v>63</v>
      </c>
      <c r="M7" s="23" t="s">
        <v>64</v>
      </c>
      <c r="N7" s="322" t="s">
        <v>303</v>
      </c>
    </row>
    <row r="8" spans="1:14">
      <c r="A8" s="676" t="s">
        <v>304</v>
      </c>
      <c r="N8" s="230"/>
    </row>
    <row r="9" spans="1:14" ht="6" customHeight="1">
      <c r="A9" s="24"/>
      <c r="N9" s="230"/>
    </row>
    <row r="10" spans="1:14">
      <c r="A10" s="24" t="s">
        <v>266</v>
      </c>
      <c r="N10" s="230"/>
    </row>
    <row r="11" spans="1:14" ht="14.25" customHeight="1">
      <c r="A11" s="25" t="s">
        <v>305</v>
      </c>
      <c r="B11" s="386">
        <v>2.012</v>
      </c>
      <c r="C11" s="386">
        <v>2.2959999999999998</v>
      </c>
      <c r="D11" s="386">
        <v>3.0379999999999998</v>
      </c>
      <c r="E11" s="386">
        <v>4.9740000000000002</v>
      </c>
      <c r="F11" s="386">
        <v>4.1189999999999998</v>
      </c>
      <c r="G11" s="386">
        <v>6.4640000000000004</v>
      </c>
      <c r="H11" s="386">
        <v>-1.4610000000000001</v>
      </c>
      <c r="I11" s="386">
        <v>2.1080000000000001</v>
      </c>
      <c r="J11" s="386">
        <v>1.6910000000000001</v>
      </c>
      <c r="K11" s="386">
        <v>2.6960000000000002</v>
      </c>
      <c r="L11" s="386">
        <v>2.391</v>
      </c>
      <c r="M11" s="386">
        <v>1.8859999999999999</v>
      </c>
      <c r="N11" s="387">
        <f>SUM(B11:M11)</f>
        <v>32.214000000000006</v>
      </c>
    </row>
    <row r="12" spans="1:14">
      <c r="A12" s="25" t="s">
        <v>113</v>
      </c>
      <c r="B12" s="386">
        <v>0</v>
      </c>
      <c r="C12" s="386">
        <v>0</v>
      </c>
      <c r="D12" s="386">
        <v>0</v>
      </c>
      <c r="E12" s="386">
        <v>0</v>
      </c>
      <c r="F12" s="386">
        <v>0</v>
      </c>
      <c r="G12" s="386">
        <v>0</v>
      </c>
      <c r="H12" s="386">
        <v>0</v>
      </c>
      <c r="I12" s="386">
        <v>0</v>
      </c>
      <c r="J12" s="386">
        <v>0</v>
      </c>
      <c r="K12" s="386">
        <v>0</v>
      </c>
      <c r="L12" s="386">
        <v>0</v>
      </c>
      <c r="M12" s="386">
        <v>0</v>
      </c>
      <c r="N12" s="387">
        <f>SUM(B12:M12)</f>
        <v>0</v>
      </c>
    </row>
    <row r="13" spans="1:14">
      <c r="A13" s="25" t="s">
        <v>306</v>
      </c>
      <c r="B13" s="386">
        <v>0</v>
      </c>
      <c r="C13" s="386">
        <v>0</v>
      </c>
      <c r="D13" s="386">
        <v>0</v>
      </c>
      <c r="E13" s="386">
        <v>0</v>
      </c>
      <c r="F13" s="386">
        <v>0</v>
      </c>
      <c r="G13" s="386">
        <v>0</v>
      </c>
      <c r="H13" s="386">
        <v>0</v>
      </c>
      <c r="I13" s="386">
        <v>0</v>
      </c>
      <c r="J13" s="386">
        <v>0</v>
      </c>
      <c r="K13" s="386">
        <v>0</v>
      </c>
      <c r="L13" s="386">
        <v>0</v>
      </c>
      <c r="M13" s="386">
        <v>0</v>
      </c>
      <c r="N13" s="387">
        <f>SUM(B13:M13)</f>
        <v>0</v>
      </c>
    </row>
    <row r="14" spans="1:14">
      <c r="A14" s="19" t="s">
        <v>307</v>
      </c>
      <c r="B14" s="549">
        <f t="shared" ref="B14:M14" si="0">SUM(B11:B13)</f>
        <v>2.012</v>
      </c>
      <c r="C14" s="549">
        <f t="shared" si="0"/>
        <v>2.2959999999999998</v>
      </c>
      <c r="D14" s="549">
        <f t="shared" si="0"/>
        <v>3.0379999999999998</v>
      </c>
      <c r="E14" s="549">
        <f t="shared" si="0"/>
        <v>4.9740000000000002</v>
      </c>
      <c r="F14" s="549">
        <f t="shared" si="0"/>
        <v>4.1189999999999998</v>
      </c>
      <c r="G14" s="549">
        <f t="shared" si="0"/>
        <v>6.4640000000000004</v>
      </c>
      <c r="H14" s="549">
        <f t="shared" si="0"/>
        <v>-1.4610000000000001</v>
      </c>
      <c r="I14" s="549">
        <f t="shared" si="0"/>
        <v>2.1080000000000001</v>
      </c>
      <c r="J14" s="549">
        <f t="shared" si="0"/>
        <v>1.6910000000000001</v>
      </c>
      <c r="K14" s="549">
        <f t="shared" si="0"/>
        <v>2.6960000000000002</v>
      </c>
      <c r="L14" s="549">
        <f t="shared" si="0"/>
        <v>2.391</v>
      </c>
      <c r="M14" s="549">
        <f t="shared" si="0"/>
        <v>1.8859999999999999</v>
      </c>
      <c r="N14" s="550">
        <f>SUM(B14:M14)</f>
        <v>32.214000000000006</v>
      </c>
    </row>
    <row r="15" spans="1:14">
      <c r="A15" s="25"/>
      <c r="B15" s="386"/>
      <c r="C15" s="386"/>
      <c r="D15" s="386"/>
      <c r="E15" s="386"/>
      <c r="F15" s="386"/>
      <c r="G15" s="386"/>
      <c r="H15" s="386"/>
      <c r="I15" s="386"/>
      <c r="J15" s="386"/>
      <c r="K15" s="386"/>
      <c r="L15" s="386"/>
      <c r="M15" s="386"/>
      <c r="N15" s="387"/>
    </row>
    <row r="16" spans="1:14">
      <c r="A16" s="24" t="s">
        <v>308</v>
      </c>
      <c r="B16" s="386"/>
      <c r="C16" s="386"/>
      <c r="D16" s="386"/>
      <c r="E16" s="386"/>
      <c r="F16" s="386"/>
      <c r="G16" s="386"/>
      <c r="H16" s="386"/>
      <c r="I16" s="386"/>
      <c r="J16" s="386"/>
      <c r="K16" s="386"/>
      <c r="L16" s="386"/>
      <c r="M16" s="386"/>
      <c r="N16" s="387"/>
    </row>
    <row r="17" spans="1:19" ht="14.25">
      <c r="A17" s="25" t="s">
        <v>309</v>
      </c>
      <c r="B17" s="386">
        <v>0</v>
      </c>
      <c r="C17" s="386">
        <v>0</v>
      </c>
      <c r="D17" s="386">
        <v>0</v>
      </c>
      <c r="E17" s="386">
        <v>0</v>
      </c>
      <c r="F17" s="386">
        <v>0</v>
      </c>
      <c r="G17" s="386">
        <v>0</v>
      </c>
      <c r="H17" s="388">
        <v>0</v>
      </c>
      <c r="I17" s="388">
        <v>0</v>
      </c>
      <c r="J17" s="388">
        <v>0</v>
      </c>
      <c r="K17" s="388">
        <v>0</v>
      </c>
      <c r="L17" s="388">
        <v>0</v>
      </c>
      <c r="M17" s="388">
        <v>0</v>
      </c>
      <c r="N17" s="387">
        <f>SUM(B17:M17)</f>
        <v>0</v>
      </c>
    </row>
    <row r="18" spans="1:19">
      <c r="A18" s="19" t="s">
        <v>310</v>
      </c>
      <c r="B18" s="549">
        <f t="shared" ref="B18:M18" si="1">SUM(B17:B17)</f>
        <v>0</v>
      </c>
      <c r="C18" s="549">
        <f t="shared" si="1"/>
        <v>0</v>
      </c>
      <c r="D18" s="549">
        <f t="shared" si="1"/>
        <v>0</v>
      </c>
      <c r="E18" s="549">
        <f t="shared" si="1"/>
        <v>0</v>
      </c>
      <c r="F18" s="549">
        <f t="shared" si="1"/>
        <v>0</v>
      </c>
      <c r="G18" s="549">
        <f t="shared" si="1"/>
        <v>0</v>
      </c>
      <c r="H18" s="549">
        <f t="shared" si="1"/>
        <v>0</v>
      </c>
      <c r="I18" s="549">
        <f t="shared" si="1"/>
        <v>0</v>
      </c>
      <c r="J18" s="549">
        <f t="shared" si="1"/>
        <v>0</v>
      </c>
      <c r="K18" s="549">
        <f t="shared" si="1"/>
        <v>0</v>
      </c>
      <c r="L18" s="549">
        <f t="shared" si="1"/>
        <v>0</v>
      </c>
      <c r="M18" s="549">
        <f t="shared" si="1"/>
        <v>0</v>
      </c>
      <c r="N18" s="550">
        <f>SUM(B18:M18)</f>
        <v>0</v>
      </c>
    </row>
    <row r="19" spans="1:19">
      <c r="A19" s="27"/>
      <c r="B19" s="386"/>
      <c r="C19" s="386"/>
      <c r="D19" s="386"/>
      <c r="E19" s="386"/>
      <c r="F19" s="386"/>
      <c r="G19" s="386"/>
      <c r="H19" s="386"/>
      <c r="I19" s="386"/>
      <c r="J19" s="386"/>
      <c r="K19" s="386"/>
      <c r="L19" s="386"/>
      <c r="M19" s="386"/>
      <c r="N19" s="387"/>
    </row>
    <row r="20" spans="1:19">
      <c r="A20" s="24" t="s">
        <v>311</v>
      </c>
      <c r="B20" s="386" t="s">
        <v>56</v>
      </c>
      <c r="C20" s="386" t="s">
        <v>56</v>
      </c>
      <c r="D20" s="386" t="s">
        <v>56</v>
      </c>
      <c r="E20" s="386"/>
      <c r="F20" s="386" t="s">
        <v>56</v>
      </c>
      <c r="G20" s="386"/>
      <c r="H20" s="386" t="s">
        <v>56</v>
      </c>
      <c r="I20" s="386" t="s">
        <v>56</v>
      </c>
      <c r="J20" s="386" t="s">
        <v>56</v>
      </c>
      <c r="K20" s="386" t="s">
        <v>56</v>
      </c>
      <c r="L20" s="386" t="s">
        <v>56</v>
      </c>
      <c r="M20" s="386" t="s">
        <v>56</v>
      </c>
      <c r="N20" s="387" t="s">
        <v>56</v>
      </c>
    </row>
    <row r="21" spans="1:19">
      <c r="A21" s="25" t="s">
        <v>312</v>
      </c>
      <c r="B21" s="386">
        <v>0</v>
      </c>
      <c r="C21" s="386">
        <v>0</v>
      </c>
      <c r="D21" s="386">
        <v>0</v>
      </c>
      <c r="E21" s="386">
        <v>0</v>
      </c>
      <c r="F21" s="386">
        <v>0</v>
      </c>
      <c r="G21" s="386">
        <v>0</v>
      </c>
      <c r="H21" s="388">
        <v>0</v>
      </c>
      <c r="I21" s="388">
        <v>0</v>
      </c>
      <c r="J21" s="388">
        <v>0</v>
      </c>
      <c r="K21" s="388">
        <v>0</v>
      </c>
      <c r="L21" s="388">
        <v>0</v>
      </c>
      <c r="M21" s="388">
        <v>0</v>
      </c>
      <c r="N21" s="387">
        <f>SUM(B21:M21)</f>
        <v>0</v>
      </c>
    </row>
    <row r="22" spans="1:19">
      <c r="A22" s="153" t="s">
        <v>313</v>
      </c>
      <c r="B22" s="549">
        <f t="shared" ref="B22:M22" si="2">SUM(B21:B21)</f>
        <v>0</v>
      </c>
      <c r="C22" s="549">
        <f t="shared" si="2"/>
        <v>0</v>
      </c>
      <c r="D22" s="549">
        <f t="shared" si="2"/>
        <v>0</v>
      </c>
      <c r="E22" s="549">
        <f t="shared" si="2"/>
        <v>0</v>
      </c>
      <c r="F22" s="549">
        <f t="shared" si="2"/>
        <v>0</v>
      </c>
      <c r="G22" s="549">
        <f t="shared" si="2"/>
        <v>0</v>
      </c>
      <c r="H22" s="549">
        <f t="shared" si="2"/>
        <v>0</v>
      </c>
      <c r="I22" s="549">
        <f t="shared" si="2"/>
        <v>0</v>
      </c>
      <c r="J22" s="549">
        <f t="shared" si="2"/>
        <v>0</v>
      </c>
      <c r="K22" s="549">
        <f t="shared" si="2"/>
        <v>0</v>
      </c>
      <c r="L22" s="549">
        <f t="shared" si="2"/>
        <v>0</v>
      </c>
      <c r="M22" s="549">
        <f t="shared" si="2"/>
        <v>0</v>
      </c>
      <c r="N22" s="550">
        <f>SUM(B22:M22)</f>
        <v>0</v>
      </c>
    </row>
    <row r="23" spans="1:19">
      <c r="A23" s="29"/>
      <c r="B23" s="386"/>
      <c r="C23" s="386"/>
      <c r="D23" s="386"/>
      <c r="E23" s="386"/>
      <c r="F23" s="386"/>
      <c r="G23" s="551"/>
      <c r="H23" s="386"/>
      <c r="I23" s="551"/>
      <c r="J23" s="386"/>
      <c r="K23" s="386"/>
      <c r="L23" s="551"/>
      <c r="M23" s="386"/>
      <c r="N23" s="387"/>
    </row>
    <row r="24" spans="1:19">
      <c r="A24" s="30" t="s">
        <v>286</v>
      </c>
      <c r="B24" s="386"/>
      <c r="C24" s="386"/>
      <c r="D24" s="386"/>
      <c r="E24" s="386"/>
      <c r="F24" s="386"/>
      <c r="G24" s="386"/>
      <c r="H24" s="386"/>
      <c r="I24" s="386"/>
      <c r="J24" s="386"/>
      <c r="K24" s="386"/>
      <c r="L24" s="386"/>
      <c r="M24" s="386"/>
      <c r="N24" s="387"/>
    </row>
    <row r="25" spans="1:19">
      <c r="A25" s="25" t="s">
        <v>112</v>
      </c>
      <c r="B25" s="386">
        <v>0</v>
      </c>
      <c r="C25" s="386">
        <v>0</v>
      </c>
      <c r="D25" s="386">
        <v>0</v>
      </c>
      <c r="E25" s="386">
        <v>0</v>
      </c>
      <c r="F25" s="386">
        <v>0</v>
      </c>
      <c r="G25" s="386">
        <v>0</v>
      </c>
      <c r="H25" s="388">
        <v>0</v>
      </c>
      <c r="I25" s="388">
        <v>0</v>
      </c>
      <c r="J25" s="388">
        <v>0</v>
      </c>
      <c r="K25" s="388">
        <v>0</v>
      </c>
      <c r="L25" s="388">
        <v>0</v>
      </c>
      <c r="M25" s="388">
        <v>0</v>
      </c>
      <c r="N25" s="387">
        <f>SUM(B25:M25)</f>
        <v>0</v>
      </c>
    </row>
    <row r="26" spans="1:19">
      <c r="A26" s="25" t="s">
        <v>113</v>
      </c>
      <c r="B26" s="386">
        <v>0</v>
      </c>
      <c r="C26" s="386">
        <v>0</v>
      </c>
      <c r="D26" s="386">
        <v>0</v>
      </c>
      <c r="E26" s="386">
        <v>0</v>
      </c>
      <c r="F26" s="386">
        <v>0</v>
      </c>
      <c r="G26" s="386">
        <v>0</v>
      </c>
      <c r="H26" s="388">
        <v>0</v>
      </c>
      <c r="I26" s="388">
        <v>0</v>
      </c>
      <c r="J26" s="388">
        <v>0</v>
      </c>
      <c r="K26" s="388">
        <v>0</v>
      </c>
      <c r="L26" s="388">
        <v>0</v>
      </c>
      <c r="M26" s="388">
        <v>0</v>
      </c>
      <c r="N26" s="387">
        <f>SUM(B26:M26)</f>
        <v>0</v>
      </c>
    </row>
    <row r="27" spans="1:19">
      <c r="A27" s="25" t="s">
        <v>306</v>
      </c>
      <c r="B27" s="386">
        <v>0</v>
      </c>
      <c r="C27" s="386">
        <v>0</v>
      </c>
      <c r="D27" s="386">
        <v>0</v>
      </c>
      <c r="E27" s="386">
        <v>0</v>
      </c>
      <c r="F27" s="386">
        <v>0</v>
      </c>
      <c r="G27" s="386">
        <v>0</v>
      </c>
      <c r="H27" s="388">
        <v>0</v>
      </c>
      <c r="I27" s="388">
        <v>0</v>
      </c>
      <c r="J27" s="388">
        <v>0</v>
      </c>
      <c r="K27" s="388">
        <v>0</v>
      </c>
      <c r="L27" s="388">
        <v>0</v>
      </c>
      <c r="M27" s="389">
        <v>0</v>
      </c>
      <c r="N27" s="387">
        <f>SUM(B27:M27)</f>
        <v>0</v>
      </c>
    </row>
    <row r="28" spans="1:19">
      <c r="A28" s="31" t="s">
        <v>292</v>
      </c>
      <c r="B28" s="549">
        <f t="shared" ref="B28:H28" si="3">SUM(B25:B27)</f>
        <v>0</v>
      </c>
      <c r="C28" s="549">
        <f t="shared" si="3"/>
        <v>0</v>
      </c>
      <c r="D28" s="549">
        <f t="shared" si="3"/>
        <v>0</v>
      </c>
      <c r="E28" s="549">
        <f t="shared" si="3"/>
        <v>0</v>
      </c>
      <c r="F28" s="549">
        <f t="shared" si="3"/>
        <v>0</v>
      </c>
      <c r="G28" s="549">
        <f t="shared" si="3"/>
        <v>0</v>
      </c>
      <c r="H28" s="549">
        <f t="shared" si="3"/>
        <v>0</v>
      </c>
      <c r="I28" s="549">
        <f>SUM(I24:I27)</f>
        <v>0</v>
      </c>
      <c r="J28" s="549">
        <f>SUM(J25:J27)</f>
        <v>0</v>
      </c>
      <c r="K28" s="549">
        <f>SUM(K25:K27)</f>
        <v>0</v>
      </c>
      <c r="L28" s="549">
        <f>SUM(L25:L27)</f>
        <v>0</v>
      </c>
      <c r="M28" s="549">
        <f>SUM(M25:M27)</f>
        <v>0</v>
      </c>
      <c r="N28" s="550">
        <f>SUM(B28:M28)</f>
        <v>0</v>
      </c>
      <c r="O28" s="26"/>
    </row>
    <row r="29" spans="1:19" ht="10.5" customHeight="1">
      <c r="A29" s="552"/>
      <c r="B29" s="551"/>
      <c r="C29" s="551"/>
      <c r="D29" s="551"/>
      <c r="E29" s="551"/>
      <c r="F29" s="551"/>
      <c r="G29" s="551"/>
      <c r="H29" s="551"/>
      <c r="I29" s="551"/>
      <c r="J29" s="551"/>
      <c r="K29" s="551"/>
      <c r="L29" s="551"/>
      <c r="M29" s="551"/>
      <c r="N29" s="553"/>
    </row>
    <row r="30" spans="1:19" ht="15" customHeight="1">
      <c r="A30" s="19" t="s">
        <v>314</v>
      </c>
      <c r="B30" s="554">
        <v>0</v>
      </c>
      <c r="C30" s="554">
        <v>0</v>
      </c>
      <c r="D30" s="554">
        <v>0</v>
      </c>
      <c r="E30" s="554">
        <v>0</v>
      </c>
      <c r="F30" s="554">
        <v>0</v>
      </c>
      <c r="G30" s="554">
        <v>0</v>
      </c>
      <c r="H30" s="554">
        <v>0</v>
      </c>
      <c r="I30" s="554">
        <v>0</v>
      </c>
      <c r="J30" s="549">
        <v>0</v>
      </c>
      <c r="K30" s="549">
        <v>0</v>
      </c>
      <c r="L30" s="554">
        <v>0</v>
      </c>
      <c r="M30" s="554">
        <v>0</v>
      </c>
      <c r="N30" s="555">
        <f>SUM(B30:M30)</f>
        <v>0</v>
      </c>
      <c r="O30" s="28"/>
      <c r="P30" s="28"/>
      <c r="Q30" s="28"/>
      <c r="R30" s="28"/>
      <c r="S30" s="32"/>
    </row>
    <row r="31" spans="1:19" ht="28.5" customHeight="1" thickBot="1">
      <c r="A31" s="20" t="s">
        <v>315</v>
      </c>
      <c r="B31" s="390">
        <f t="shared" ref="B31:M31" si="4">B14+B18+B22+B28+B30</f>
        <v>2.012</v>
      </c>
      <c r="C31" s="390">
        <f t="shared" si="4"/>
        <v>2.2959999999999998</v>
      </c>
      <c r="D31" s="390">
        <f t="shared" si="4"/>
        <v>3.0379999999999998</v>
      </c>
      <c r="E31" s="390">
        <f t="shared" si="4"/>
        <v>4.9740000000000002</v>
      </c>
      <c r="F31" s="390">
        <f t="shared" si="4"/>
        <v>4.1189999999999998</v>
      </c>
      <c r="G31" s="390">
        <f t="shared" si="4"/>
        <v>6.4640000000000004</v>
      </c>
      <c r="H31" s="390">
        <f t="shared" si="4"/>
        <v>-1.4610000000000001</v>
      </c>
      <c r="I31" s="390">
        <f t="shared" si="4"/>
        <v>2.1080000000000001</v>
      </c>
      <c r="J31" s="390">
        <f t="shared" si="4"/>
        <v>1.6910000000000001</v>
      </c>
      <c r="K31" s="390">
        <f t="shared" si="4"/>
        <v>2.6960000000000002</v>
      </c>
      <c r="L31" s="390">
        <f t="shared" si="4"/>
        <v>2.391</v>
      </c>
      <c r="M31" s="390">
        <f t="shared" si="4"/>
        <v>1.8859999999999999</v>
      </c>
      <c r="N31" s="391">
        <f>SUM(B31:M31)</f>
        <v>32.214000000000006</v>
      </c>
      <c r="O31" s="26"/>
    </row>
    <row r="32" spans="1:19" ht="12" customHeight="1">
      <c r="A32" s="33"/>
      <c r="B32" s="34"/>
      <c r="C32" s="34"/>
      <c r="D32" s="166"/>
      <c r="E32" s="34"/>
      <c r="F32" s="34"/>
      <c r="G32" s="34"/>
      <c r="H32" s="34"/>
      <c r="I32" s="166"/>
      <c r="J32" s="166"/>
      <c r="K32" s="166"/>
      <c r="L32" s="166"/>
      <c r="M32" s="166"/>
      <c r="N32" s="34"/>
    </row>
    <row r="33" spans="1:14" ht="14.25">
      <c r="A33" s="677" t="s">
        <v>400</v>
      </c>
    </row>
    <row r="34" spans="1:14" ht="12" customHeight="1">
      <c r="A34" s="165" t="s">
        <v>79</v>
      </c>
      <c r="B34" s="26"/>
      <c r="C34" s="26"/>
      <c r="D34" s="26"/>
      <c r="E34" s="26"/>
      <c r="F34" s="26"/>
      <c r="G34" s="26"/>
      <c r="H34" s="26"/>
      <c r="I34" s="26"/>
      <c r="J34" s="26"/>
      <c r="K34" s="26"/>
      <c r="L34" s="26"/>
      <c r="M34" s="26"/>
      <c r="N34" s="26"/>
    </row>
    <row r="35" spans="1:14" ht="14.25" customHeight="1">
      <c r="A35" s="705"/>
      <c r="B35" s="705"/>
      <c r="C35" s="705"/>
      <c r="D35" s="705"/>
      <c r="E35" s="705"/>
      <c r="F35" s="705"/>
      <c r="G35" s="705"/>
      <c r="H35" s="705"/>
      <c r="I35" s="705"/>
      <c r="J35" s="705"/>
      <c r="K35" s="705"/>
      <c r="L35" s="705"/>
      <c r="M35" s="705"/>
      <c r="N35" s="705"/>
    </row>
    <row r="38" spans="1:14">
      <c r="H38" s="26"/>
    </row>
  </sheetData>
  <mergeCells count="1">
    <mergeCell ref="A35:N35"/>
  </mergeCells>
  <printOptions horizontalCentered="1"/>
  <pageMargins left="0" right="0" top="0.55000000000000004" bottom="0.17" header="0.3" footer="0.15"/>
  <pageSetup paperSize="5" scale="74"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6"/>
  <sheetViews>
    <sheetView showGridLines="0" zoomScaleNormal="100" zoomScaleSheetLayoutView="75" workbookViewId="0">
      <selection activeCell="A9" sqref="A9"/>
    </sheetView>
  </sheetViews>
  <sheetFormatPr defaultColWidth="9.28515625" defaultRowHeight="12.75"/>
  <cols>
    <col min="1" max="1" width="55.28515625" style="15" customWidth="1"/>
    <col min="2" max="13" width="11.5703125" style="15" customWidth="1"/>
    <col min="14" max="14" width="15.7109375" style="15" bestFit="1" customWidth="1"/>
    <col min="15" max="15" width="9.7109375" style="15" bestFit="1" customWidth="1"/>
    <col min="16" max="16" width="22.7109375" style="15" bestFit="1" customWidth="1"/>
    <col min="17" max="17" width="22.28515625" style="15" customWidth="1"/>
    <col min="18" max="16384" width="9.28515625" style="15"/>
  </cols>
  <sheetData>
    <row r="1" spans="1:15" ht="15">
      <c r="A1" s="344"/>
    </row>
    <row r="3" spans="1:15">
      <c r="E3" s="113" t="s">
        <v>39</v>
      </c>
    </row>
    <row r="4" spans="1:15">
      <c r="C4" s="124"/>
      <c r="D4" s="124"/>
      <c r="E4" s="125" t="s">
        <v>316</v>
      </c>
      <c r="F4" s="124"/>
      <c r="G4" s="124"/>
    </row>
    <row r="5" spans="1:15">
      <c r="D5" s="124"/>
      <c r="E5" s="116" t="str">
        <f>'Program MW '!H3</f>
        <v>December  2021</v>
      </c>
      <c r="F5" s="124"/>
    </row>
    <row r="6" spans="1:15">
      <c r="E6" s="116"/>
    </row>
    <row r="7" spans="1:15" ht="13.5" thickBot="1">
      <c r="A7" s="21"/>
    </row>
    <row r="8" spans="1:15" ht="32.25" customHeight="1" thickBot="1">
      <c r="A8" s="265" t="s">
        <v>264</v>
      </c>
      <c r="B8" s="23" t="s">
        <v>41</v>
      </c>
      <c r="C8" s="23" t="s">
        <v>42</v>
      </c>
      <c r="D8" s="23" t="s">
        <v>43</v>
      </c>
      <c r="E8" s="23" t="s">
        <v>44</v>
      </c>
      <c r="F8" s="23" t="s">
        <v>31</v>
      </c>
      <c r="G8" s="23" t="s">
        <v>45</v>
      </c>
      <c r="H8" s="23" t="s">
        <v>59</v>
      </c>
      <c r="I8" s="23" t="s">
        <v>60</v>
      </c>
      <c r="J8" s="23" t="s">
        <v>61</v>
      </c>
      <c r="K8" s="23" t="s">
        <v>62</v>
      </c>
      <c r="L8" s="23" t="s">
        <v>63</v>
      </c>
      <c r="M8" s="23" t="s">
        <v>64</v>
      </c>
      <c r="N8" s="322" t="s">
        <v>303</v>
      </c>
    </row>
    <row r="9" spans="1:15" ht="25.5">
      <c r="A9" s="266" t="s">
        <v>317</v>
      </c>
      <c r="B9" s="167"/>
      <c r="C9" s="167"/>
      <c r="N9" s="556"/>
    </row>
    <row r="10" spans="1:15" ht="6" customHeight="1">
      <c r="A10" s="228"/>
      <c r="B10" s="167"/>
      <c r="C10" s="167"/>
      <c r="N10" s="230"/>
    </row>
    <row r="11" spans="1:15">
      <c r="A11" s="228" t="s">
        <v>266</v>
      </c>
      <c r="B11" s="167"/>
      <c r="C11" s="167"/>
      <c r="N11" s="230"/>
    </row>
    <row r="12" spans="1:15" ht="14.25">
      <c r="A12" s="229" t="s">
        <v>346</v>
      </c>
      <c r="B12" s="386">
        <v>0</v>
      </c>
      <c r="C12" s="386">
        <v>0</v>
      </c>
      <c r="D12" s="386">
        <v>0</v>
      </c>
      <c r="E12" s="386">
        <v>0</v>
      </c>
      <c r="F12" s="386">
        <v>0</v>
      </c>
      <c r="G12" s="386">
        <v>210</v>
      </c>
      <c r="H12" s="386">
        <v>0</v>
      </c>
      <c r="I12" s="386">
        <v>0</v>
      </c>
      <c r="J12" s="386">
        <v>210</v>
      </c>
      <c r="K12" s="386">
        <v>-210</v>
      </c>
      <c r="L12" s="386">
        <v>0</v>
      </c>
      <c r="M12" s="386">
        <v>0</v>
      </c>
      <c r="N12" s="387">
        <f t="shared" ref="N12:N17" si="0">SUM(B12:M12)</f>
        <v>210</v>
      </c>
    </row>
    <row r="13" spans="1:15" ht="14.25">
      <c r="A13" s="229" t="s">
        <v>318</v>
      </c>
      <c r="B13" s="386">
        <v>32.534999999999997</v>
      </c>
      <c r="C13" s="386">
        <v>51.664999999999999</v>
      </c>
      <c r="D13" s="386">
        <f>121.347-C13-B13</f>
        <v>37.146999999999991</v>
      </c>
      <c r="E13" s="386">
        <v>27.42</v>
      </c>
      <c r="F13" s="386">
        <v>29.666</v>
      </c>
      <c r="G13" s="386">
        <v>29.3</v>
      </c>
      <c r="H13" s="386">
        <v>29.231000000000002</v>
      </c>
      <c r="I13" s="386">
        <v>19.876999999999999</v>
      </c>
      <c r="J13" s="386">
        <v>21.550999999999998</v>
      </c>
      <c r="K13" s="386">
        <v>21.491</v>
      </c>
      <c r="L13" s="386">
        <v>26.273</v>
      </c>
      <c r="M13" s="386">
        <v>17.398</v>
      </c>
      <c r="N13" s="387">
        <f t="shared" si="0"/>
        <v>343.55400000000003</v>
      </c>
    </row>
    <row r="14" spans="1:15" ht="14.25">
      <c r="A14" s="229" t="s">
        <v>319</v>
      </c>
      <c r="B14" s="386">
        <v>-9.125</v>
      </c>
      <c r="C14" s="386">
        <v>3.0419999999999998</v>
      </c>
      <c r="D14" s="386">
        <v>0</v>
      </c>
      <c r="E14" s="386">
        <v>0</v>
      </c>
      <c r="F14" s="386">
        <v>0</v>
      </c>
      <c r="G14" s="386">
        <v>0</v>
      </c>
      <c r="H14" s="386">
        <v>0</v>
      </c>
      <c r="I14" s="386">
        <v>0</v>
      </c>
      <c r="J14" s="386">
        <v>0</v>
      </c>
      <c r="K14" s="386">
        <v>0</v>
      </c>
      <c r="L14" s="386">
        <v>0</v>
      </c>
      <c r="M14" s="386">
        <v>0</v>
      </c>
      <c r="N14" s="387">
        <f t="shared" si="0"/>
        <v>-6.0830000000000002</v>
      </c>
    </row>
    <row r="15" spans="1:15" ht="14.25">
      <c r="A15" s="229" t="s">
        <v>320</v>
      </c>
      <c r="B15" s="386">
        <v>0</v>
      </c>
      <c r="C15" s="386">
        <v>0</v>
      </c>
      <c r="D15" s="386">
        <v>0</v>
      </c>
      <c r="E15" s="386">
        <v>0</v>
      </c>
      <c r="F15" s="386">
        <v>0</v>
      </c>
      <c r="G15" s="386">
        <v>0</v>
      </c>
      <c r="H15" s="386">
        <v>0</v>
      </c>
      <c r="I15" s="386">
        <v>0</v>
      </c>
      <c r="J15" s="386">
        <v>0</v>
      </c>
      <c r="K15" s="386">
        <v>0</v>
      </c>
      <c r="L15" s="386">
        <v>0</v>
      </c>
      <c r="M15" s="386">
        <v>0</v>
      </c>
      <c r="N15" s="387">
        <f t="shared" si="0"/>
        <v>0</v>
      </c>
    </row>
    <row r="16" spans="1:15" ht="14.25">
      <c r="A16" s="267" t="s">
        <v>347</v>
      </c>
      <c r="B16" s="386">
        <v>1.7729999999999999</v>
      </c>
      <c r="C16" s="386">
        <v>0.46500000000000002</v>
      </c>
      <c r="D16" s="386">
        <f>3.243-C16-B16</f>
        <v>1.0050000000000001</v>
      </c>
      <c r="E16" s="386">
        <v>22.388000000000002</v>
      </c>
      <c r="F16" s="386">
        <v>13.225</v>
      </c>
      <c r="G16" s="386">
        <v>12.7</v>
      </c>
      <c r="H16" s="386">
        <v>-1.9390000000000001</v>
      </c>
      <c r="I16" s="386">
        <v>19.012</v>
      </c>
      <c r="J16" s="386">
        <v>24.704000000000001</v>
      </c>
      <c r="K16" s="386">
        <v>-1.726</v>
      </c>
      <c r="L16" s="386">
        <v>27.105</v>
      </c>
      <c r="M16" s="386">
        <v>49.875</v>
      </c>
      <c r="N16" s="387">
        <f t="shared" si="0"/>
        <v>168.58699999999999</v>
      </c>
      <c r="O16" s="26"/>
    </row>
    <row r="17" spans="1:16">
      <c r="A17" s="376" t="s">
        <v>307</v>
      </c>
      <c r="B17" s="549">
        <f t="shared" ref="B17:M17" si="1">SUM(B12:B16)</f>
        <v>25.182999999999996</v>
      </c>
      <c r="C17" s="549">
        <f t="shared" si="1"/>
        <v>55.172000000000004</v>
      </c>
      <c r="D17" s="549">
        <f t="shared" si="1"/>
        <v>38.151999999999994</v>
      </c>
      <c r="E17" s="549">
        <f t="shared" si="1"/>
        <v>49.808000000000007</v>
      </c>
      <c r="F17" s="549">
        <f t="shared" si="1"/>
        <v>42.890999999999998</v>
      </c>
      <c r="G17" s="549">
        <f t="shared" si="1"/>
        <v>252</v>
      </c>
      <c r="H17" s="549">
        <f t="shared" si="1"/>
        <v>27.292000000000002</v>
      </c>
      <c r="I17" s="549">
        <f t="shared" si="1"/>
        <v>38.888999999999996</v>
      </c>
      <c r="J17" s="549">
        <f t="shared" si="1"/>
        <v>256.255</v>
      </c>
      <c r="K17" s="549">
        <f t="shared" si="1"/>
        <v>-190.23500000000001</v>
      </c>
      <c r="L17" s="549">
        <f t="shared" si="1"/>
        <v>53.378</v>
      </c>
      <c r="M17" s="549">
        <f t="shared" si="1"/>
        <v>67.272999999999996</v>
      </c>
      <c r="N17" s="550">
        <f t="shared" si="0"/>
        <v>716.05800000000011</v>
      </c>
    </row>
    <row r="18" spans="1:16">
      <c r="A18" s="230"/>
      <c r="B18" s="386"/>
      <c r="C18" s="386"/>
      <c r="D18" s="386"/>
      <c r="E18" s="386"/>
      <c r="F18" s="386"/>
      <c r="G18" s="386"/>
      <c r="H18" s="386"/>
      <c r="I18" s="386"/>
      <c r="J18" s="386" t="s">
        <v>56</v>
      </c>
      <c r="K18" s="386"/>
      <c r="L18" s="386"/>
      <c r="M18" s="386"/>
      <c r="N18" s="387"/>
      <c r="P18" s="262"/>
    </row>
    <row r="19" spans="1:16">
      <c r="A19" s="228" t="s">
        <v>321</v>
      </c>
      <c r="B19" s="386"/>
      <c r="C19" s="386"/>
      <c r="D19" s="386"/>
      <c r="E19" s="386"/>
      <c r="F19" s="386"/>
      <c r="G19" s="386"/>
      <c r="H19" s="386"/>
      <c r="I19" s="386"/>
      <c r="J19" s="386"/>
      <c r="K19" s="386"/>
      <c r="L19" s="386"/>
      <c r="M19" s="386"/>
      <c r="N19" s="387"/>
      <c r="P19" s="262"/>
    </row>
    <row r="20" spans="1:16">
      <c r="A20" s="229" t="s">
        <v>322</v>
      </c>
      <c r="B20" s="386">
        <v>43.359000000000002</v>
      </c>
      <c r="C20" s="386">
        <v>43.359000000000002</v>
      </c>
      <c r="D20" s="386">
        <v>43.359000000000002</v>
      </c>
      <c r="E20" s="386">
        <v>43.359000000000002</v>
      </c>
      <c r="F20" s="386">
        <v>43.347000000000001</v>
      </c>
      <c r="G20" s="386">
        <v>43.3</v>
      </c>
      <c r="H20" s="386">
        <v>43.347000000000001</v>
      </c>
      <c r="I20" s="386">
        <v>43.347000000000001</v>
      </c>
      <c r="J20" s="386">
        <v>43.347000000000001</v>
      </c>
      <c r="K20" s="386">
        <v>43.347000000000001</v>
      </c>
      <c r="L20" s="386">
        <v>43.347000000000001</v>
      </c>
      <c r="M20" s="386">
        <v>43.347000000000001</v>
      </c>
      <c r="N20" s="387">
        <f>SUM(B20:M20)</f>
        <v>520.16499999999996</v>
      </c>
      <c r="P20" s="262"/>
    </row>
    <row r="21" spans="1:16">
      <c r="A21" s="229" t="s">
        <v>323</v>
      </c>
      <c r="B21" s="386">
        <v>18.228999999999999</v>
      </c>
      <c r="C21" s="386">
        <v>11.869</v>
      </c>
      <c r="D21" s="386">
        <v>21.67</v>
      </c>
      <c r="E21" s="386">
        <v>18.100000000000001</v>
      </c>
      <c r="F21" s="386">
        <v>18.010999999999999</v>
      </c>
      <c r="G21" s="386">
        <v>17.899999999999999</v>
      </c>
      <c r="H21" s="386">
        <v>17.843</v>
      </c>
      <c r="I21" s="386">
        <v>17.757999999999999</v>
      </c>
      <c r="J21" s="386">
        <v>17.675000000000001</v>
      </c>
      <c r="K21" s="386">
        <v>17.59</v>
      </c>
      <c r="L21" s="386">
        <v>17.506</v>
      </c>
      <c r="M21" s="386">
        <v>17.422999999999998</v>
      </c>
      <c r="N21" s="387">
        <f t="shared" ref="N21:N22" si="2">SUM(B21:M21)</f>
        <v>211.57400000000001</v>
      </c>
      <c r="P21" s="262"/>
    </row>
    <row r="22" spans="1:16">
      <c r="A22" s="229" t="s">
        <v>324</v>
      </c>
      <c r="B22" s="386">
        <v>1.7729999999999999</v>
      </c>
      <c r="C22" s="386">
        <v>1.7729999999999999</v>
      </c>
      <c r="D22" s="386">
        <v>1.7729999999999999</v>
      </c>
      <c r="E22" s="386">
        <v>1.7729999999999999</v>
      </c>
      <c r="F22" s="386">
        <v>1.7729999999999999</v>
      </c>
      <c r="G22" s="386">
        <v>1.8</v>
      </c>
      <c r="H22" s="386">
        <v>1.1639999999999999</v>
      </c>
      <c r="I22" s="386">
        <v>1.1639999999999999</v>
      </c>
      <c r="J22" s="386">
        <v>1.1639999999999999</v>
      </c>
      <c r="K22" s="386">
        <v>1.1639999999999999</v>
      </c>
      <c r="L22" s="386">
        <v>1.1639999999999999</v>
      </c>
      <c r="M22" s="386">
        <v>1.1659999999999999</v>
      </c>
      <c r="N22" s="387">
        <f t="shared" si="2"/>
        <v>17.651</v>
      </c>
      <c r="P22" s="262"/>
    </row>
    <row r="23" spans="1:16">
      <c r="A23" s="231" t="s">
        <v>325</v>
      </c>
      <c r="B23" s="386">
        <v>5.0369999999999999</v>
      </c>
      <c r="C23" s="386">
        <v>4.7649999999999997</v>
      </c>
      <c r="D23" s="386">
        <v>4.492</v>
      </c>
      <c r="E23" s="386">
        <v>4.2190000000000003</v>
      </c>
      <c r="F23" s="386">
        <v>3.9460000000000002</v>
      </c>
      <c r="G23" s="386">
        <v>3.7</v>
      </c>
      <c r="H23" s="386">
        <v>3.4009999999999998</v>
      </c>
      <c r="I23" s="386">
        <v>3.1280000000000001</v>
      </c>
      <c r="J23" s="386">
        <v>2.855</v>
      </c>
      <c r="K23" s="386">
        <v>2.5830000000000002</v>
      </c>
      <c r="L23" s="386">
        <v>2.31</v>
      </c>
      <c r="M23" s="386">
        <v>2.0369999999999999</v>
      </c>
      <c r="N23" s="387">
        <f>SUM(B23:M23)</f>
        <v>42.472999999999999</v>
      </c>
      <c r="P23" s="262"/>
    </row>
    <row r="24" spans="1:16">
      <c r="A24" s="377" t="s">
        <v>310</v>
      </c>
      <c r="B24" s="549">
        <f>SUM(B20:B23)</f>
        <v>68.39800000000001</v>
      </c>
      <c r="C24" s="549">
        <f t="shared" ref="C24:M24" si="3">SUM(C20:C23)</f>
        <v>61.766000000000005</v>
      </c>
      <c r="D24" s="549">
        <f t="shared" si="3"/>
        <v>71.293999999999997</v>
      </c>
      <c r="E24" s="549">
        <f t="shared" si="3"/>
        <v>67.451000000000008</v>
      </c>
      <c r="F24" s="549">
        <f t="shared" si="3"/>
        <v>67.077000000000012</v>
      </c>
      <c r="G24" s="549">
        <f t="shared" si="3"/>
        <v>66.699999999999989</v>
      </c>
      <c r="H24" s="549">
        <f t="shared" si="3"/>
        <v>65.754999999999995</v>
      </c>
      <c r="I24" s="549">
        <f t="shared" si="3"/>
        <v>65.397000000000006</v>
      </c>
      <c r="J24" s="549">
        <f t="shared" si="3"/>
        <v>65.041000000000011</v>
      </c>
      <c r="K24" s="549">
        <f t="shared" si="3"/>
        <v>64.683999999999997</v>
      </c>
      <c r="L24" s="549">
        <f t="shared" si="3"/>
        <v>64.326999999999998</v>
      </c>
      <c r="M24" s="549">
        <f t="shared" si="3"/>
        <v>63.972999999999992</v>
      </c>
      <c r="N24" s="550">
        <f>SUM(B24:M24)</f>
        <v>791.86300000000006</v>
      </c>
      <c r="P24" s="262"/>
    </row>
    <row r="25" spans="1:16">
      <c r="A25" s="231"/>
      <c r="B25" s="386"/>
      <c r="C25" s="386"/>
      <c r="D25" s="386"/>
      <c r="E25" s="386"/>
      <c r="F25" s="386"/>
      <c r="G25" s="386"/>
      <c r="H25" s="386"/>
      <c r="I25" s="386"/>
      <c r="J25" s="386"/>
      <c r="K25" s="386"/>
      <c r="L25" s="386"/>
      <c r="M25" s="386"/>
      <c r="N25" s="387"/>
      <c r="P25" s="262"/>
    </row>
    <row r="26" spans="1:16">
      <c r="A26" s="228"/>
      <c r="B26" s="386" t="s">
        <v>56</v>
      </c>
      <c r="C26" s="386" t="s">
        <v>56</v>
      </c>
      <c r="D26" s="386" t="s">
        <v>56</v>
      </c>
      <c r="E26" s="386"/>
      <c r="F26" s="386" t="s">
        <v>56</v>
      </c>
      <c r="G26" s="386"/>
      <c r="H26" s="388" t="s">
        <v>56</v>
      </c>
      <c r="I26" s="388" t="s">
        <v>56</v>
      </c>
      <c r="J26" s="388" t="s">
        <v>56</v>
      </c>
      <c r="K26" s="388" t="s">
        <v>56</v>
      </c>
      <c r="L26" s="388" t="s">
        <v>56</v>
      </c>
      <c r="M26" s="388" t="s">
        <v>56</v>
      </c>
      <c r="N26" s="387" t="s">
        <v>56</v>
      </c>
      <c r="P26" s="262"/>
    </row>
    <row r="27" spans="1:16">
      <c r="A27" s="228" t="s">
        <v>311</v>
      </c>
      <c r="B27" s="386">
        <v>0</v>
      </c>
      <c r="C27" s="386">
        <v>0</v>
      </c>
      <c r="D27" s="386">
        <v>0</v>
      </c>
      <c r="E27" s="386">
        <v>0</v>
      </c>
      <c r="F27" s="386">
        <v>0</v>
      </c>
      <c r="G27" s="386">
        <v>0</v>
      </c>
      <c r="H27" s="388">
        <v>0</v>
      </c>
      <c r="I27" s="388">
        <v>0</v>
      </c>
      <c r="J27" s="388">
        <v>0</v>
      </c>
      <c r="K27" s="388">
        <v>0</v>
      </c>
      <c r="L27" s="388">
        <v>0</v>
      </c>
      <c r="M27" s="388">
        <v>0</v>
      </c>
      <c r="N27" s="387">
        <f>SUM(B27:M27)</f>
        <v>0</v>
      </c>
      <c r="P27" s="262"/>
    </row>
    <row r="28" spans="1:16">
      <c r="A28" s="378" t="s">
        <v>313</v>
      </c>
      <c r="B28" s="549">
        <f t="shared" ref="B28:H28" si="4">SUM(B27:B27)</f>
        <v>0</v>
      </c>
      <c r="C28" s="549">
        <f t="shared" si="4"/>
        <v>0</v>
      </c>
      <c r="D28" s="549">
        <f t="shared" si="4"/>
        <v>0</v>
      </c>
      <c r="E28" s="549">
        <f>SUM(E27:E27)</f>
        <v>0</v>
      </c>
      <c r="F28" s="549">
        <f t="shared" si="4"/>
        <v>0</v>
      </c>
      <c r="G28" s="549">
        <f t="shared" si="4"/>
        <v>0</v>
      </c>
      <c r="H28" s="549">
        <f t="shared" si="4"/>
        <v>0</v>
      </c>
      <c r="I28" s="549">
        <f>SUM(I27:I27)</f>
        <v>0</v>
      </c>
      <c r="J28" s="549">
        <f>SUM(J27:J27)</f>
        <v>0</v>
      </c>
      <c r="K28" s="549">
        <f>SUM(K27:K27)</f>
        <v>0</v>
      </c>
      <c r="L28" s="549">
        <f>SUM(L27:L27)</f>
        <v>0</v>
      </c>
      <c r="M28" s="549">
        <f>SUM(M27:M27)</f>
        <v>0</v>
      </c>
      <c r="N28" s="550">
        <f>SUM(B28:M28)</f>
        <v>0</v>
      </c>
      <c r="P28" s="262"/>
    </row>
    <row r="29" spans="1:16">
      <c r="A29" s="232"/>
      <c r="B29" s="386"/>
      <c r="C29" s="386"/>
      <c r="D29" s="386"/>
      <c r="E29" s="386"/>
      <c r="F29" s="386"/>
      <c r="G29" s="551"/>
      <c r="H29" s="386"/>
      <c r="I29" s="551"/>
      <c r="J29" s="386"/>
      <c r="K29" s="386"/>
      <c r="L29" s="551"/>
      <c r="M29" s="386"/>
      <c r="N29" s="387"/>
    </row>
    <row r="30" spans="1:16">
      <c r="A30" s="233"/>
      <c r="B30" s="386"/>
      <c r="C30" s="386"/>
      <c r="D30" s="386"/>
      <c r="E30" s="386"/>
      <c r="F30" s="386"/>
      <c r="G30" s="386"/>
      <c r="H30" s="386"/>
      <c r="I30" s="386"/>
      <c r="J30" s="386"/>
      <c r="K30" s="386"/>
      <c r="L30" s="386"/>
      <c r="M30" s="386"/>
      <c r="N30" s="387"/>
    </row>
    <row r="31" spans="1:16">
      <c r="A31" s="233" t="s">
        <v>286</v>
      </c>
      <c r="B31" s="386">
        <v>0</v>
      </c>
      <c r="C31" s="386">
        <v>0</v>
      </c>
      <c r="D31" s="386">
        <v>0</v>
      </c>
      <c r="E31" s="386">
        <v>0</v>
      </c>
      <c r="F31" s="386">
        <v>0</v>
      </c>
      <c r="G31" s="386">
        <v>0</v>
      </c>
      <c r="H31" s="388">
        <v>0</v>
      </c>
      <c r="I31" s="388">
        <v>0</v>
      </c>
      <c r="J31" s="388">
        <v>0</v>
      </c>
      <c r="K31" s="388">
        <v>0</v>
      </c>
      <c r="L31" s="388">
        <v>0</v>
      </c>
      <c r="M31" s="388">
        <v>0</v>
      </c>
      <c r="N31" s="387">
        <f>SUM(B31:M31)</f>
        <v>0</v>
      </c>
    </row>
    <row r="32" spans="1:16">
      <c r="A32" s="230"/>
      <c r="B32" s="386"/>
      <c r="C32" s="386"/>
      <c r="D32" s="386"/>
      <c r="E32" s="386"/>
      <c r="F32" s="386"/>
      <c r="G32" s="386"/>
      <c r="H32" s="388"/>
      <c r="I32" s="388"/>
      <c r="J32" s="388"/>
      <c r="K32" s="388"/>
      <c r="L32" s="388"/>
      <c r="M32" s="389"/>
      <c r="N32" s="387" t="s">
        <v>56</v>
      </c>
    </row>
    <row r="33" spans="1:19">
      <c r="A33" s="379" t="s">
        <v>292</v>
      </c>
      <c r="B33" s="549">
        <f t="shared" ref="B33:G33" si="5">SUM(B31:B32)</f>
        <v>0</v>
      </c>
      <c r="C33" s="549">
        <f t="shared" si="5"/>
        <v>0</v>
      </c>
      <c r="D33" s="549">
        <f t="shared" si="5"/>
        <v>0</v>
      </c>
      <c r="E33" s="549">
        <f t="shared" si="5"/>
        <v>0</v>
      </c>
      <c r="F33" s="549">
        <f t="shared" si="5"/>
        <v>0</v>
      </c>
      <c r="G33" s="549">
        <f t="shared" si="5"/>
        <v>0</v>
      </c>
      <c r="H33" s="549">
        <f>SUM(H30:H32)</f>
        <v>0</v>
      </c>
      <c r="I33" s="549">
        <f>SUM(I30:I32)</f>
        <v>0</v>
      </c>
      <c r="J33" s="549">
        <f>SUM(J31:J32)</f>
        <v>0</v>
      </c>
      <c r="K33" s="549">
        <f>SUM(K31:K32)</f>
        <v>0</v>
      </c>
      <c r="L33" s="549">
        <f>SUM(L31:L32)</f>
        <v>0</v>
      </c>
      <c r="M33" s="549">
        <f>SUM(M31:M32)</f>
        <v>0</v>
      </c>
      <c r="N33" s="550">
        <f>SUM(B33:M33)</f>
        <v>0</v>
      </c>
      <c r="O33" s="26"/>
    </row>
    <row r="34" spans="1:19" ht="10.5" customHeight="1">
      <c r="A34" s="436"/>
      <c r="B34" s="551"/>
      <c r="C34" s="551"/>
      <c r="D34" s="551"/>
      <c r="E34" s="551"/>
      <c r="F34" s="551"/>
      <c r="G34" s="551"/>
      <c r="H34" s="551">
        <v>0</v>
      </c>
      <c r="I34" s="551"/>
      <c r="J34" s="551"/>
      <c r="K34" s="551"/>
      <c r="L34" s="551"/>
      <c r="M34" s="551"/>
      <c r="N34" s="553"/>
    </row>
    <row r="35" spans="1:19" ht="15" customHeight="1">
      <c r="A35" s="377" t="s">
        <v>314</v>
      </c>
      <c r="B35" s="554">
        <v>0</v>
      </c>
      <c r="C35" s="554">
        <v>0</v>
      </c>
      <c r="D35" s="554">
        <v>0</v>
      </c>
      <c r="E35" s="554">
        <v>0</v>
      </c>
      <c r="F35" s="554">
        <v>0</v>
      </c>
      <c r="G35" s="554">
        <v>0</v>
      </c>
      <c r="H35" s="554">
        <v>0</v>
      </c>
      <c r="I35" s="554">
        <v>0</v>
      </c>
      <c r="J35" s="549">
        <v>0</v>
      </c>
      <c r="K35" s="549">
        <v>0</v>
      </c>
      <c r="L35" s="554">
        <v>0</v>
      </c>
      <c r="M35" s="554">
        <v>0</v>
      </c>
      <c r="N35" s="555">
        <f>SUM(B35:M35)</f>
        <v>0</v>
      </c>
      <c r="O35" s="28"/>
      <c r="P35" s="28"/>
      <c r="Q35" s="28"/>
      <c r="R35" s="28"/>
      <c r="S35" s="32"/>
    </row>
    <row r="36" spans="1:19" ht="15" customHeight="1" thickBot="1">
      <c r="A36" s="234" t="s">
        <v>326</v>
      </c>
      <c r="B36" s="390">
        <f t="shared" ref="B36:L36" si="6">B17+B24+B28+B33+B35</f>
        <v>93.581000000000003</v>
      </c>
      <c r="C36" s="390">
        <f t="shared" si="6"/>
        <v>116.93800000000002</v>
      </c>
      <c r="D36" s="390">
        <f t="shared" si="6"/>
        <v>109.446</v>
      </c>
      <c r="E36" s="390">
        <f t="shared" si="6"/>
        <v>117.25900000000001</v>
      </c>
      <c r="F36" s="390">
        <f t="shared" si="6"/>
        <v>109.96800000000002</v>
      </c>
      <c r="G36" s="390">
        <f t="shared" si="6"/>
        <v>318.7</v>
      </c>
      <c r="H36" s="390">
        <f>H17+H24+H28+H33+H35</f>
        <v>93.046999999999997</v>
      </c>
      <c r="I36" s="390">
        <f t="shared" si="6"/>
        <v>104.286</v>
      </c>
      <c r="J36" s="390">
        <f t="shared" si="6"/>
        <v>321.29599999999999</v>
      </c>
      <c r="K36" s="390">
        <f t="shared" si="6"/>
        <v>-125.55100000000002</v>
      </c>
      <c r="L36" s="390">
        <f t="shared" si="6"/>
        <v>117.705</v>
      </c>
      <c r="M36" s="390">
        <f>M17+M24+M28+M33+M35</f>
        <v>131.24599999999998</v>
      </c>
      <c r="N36" s="391">
        <f>SUM(B36:M36)</f>
        <v>1507.9210000000003</v>
      </c>
      <c r="O36" s="28"/>
      <c r="P36" s="28"/>
      <c r="Q36" s="28"/>
      <c r="R36" s="28"/>
      <c r="S36" s="32"/>
    </row>
    <row r="37" spans="1:19" s="124" customFormat="1" ht="26.25" customHeight="1" thickBot="1">
      <c r="A37" s="366" t="s">
        <v>327</v>
      </c>
      <c r="B37" s="573">
        <f>B36+0.05</f>
        <v>93.631</v>
      </c>
      <c r="C37" s="574">
        <f>C36+0.013</f>
        <v>116.95100000000002</v>
      </c>
      <c r="D37" s="574">
        <f>D36+0.018</f>
        <v>109.464</v>
      </c>
      <c r="E37" s="574">
        <f>E36+0.025</f>
        <v>117.28400000000002</v>
      </c>
      <c r="F37" s="574">
        <f>F36+0.025</f>
        <v>109.99300000000002</v>
      </c>
      <c r="G37" s="574">
        <f>G36+0.029</f>
        <v>318.72899999999998</v>
      </c>
      <c r="H37" s="574">
        <f>H36+0.038</f>
        <v>93.084999999999994</v>
      </c>
      <c r="I37" s="574">
        <f>I36+0.051</f>
        <v>104.337</v>
      </c>
      <c r="J37" s="574">
        <f>J36+0.069</f>
        <v>321.36500000000001</v>
      </c>
      <c r="K37" s="574">
        <f>K36+0.082</f>
        <v>-125.46900000000002</v>
      </c>
      <c r="L37" s="574">
        <f>L36+0.082</f>
        <v>117.78699999999999</v>
      </c>
      <c r="M37" s="575">
        <f>M36+0.174</f>
        <v>131.41999999999999</v>
      </c>
      <c r="N37" s="393">
        <f>SUM(B37:M37)</f>
        <v>1508.5770000000002</v>
      </c>
      <c r="O37" s="367"/>
    </row>
    <row r="38" spans="1:19">
      <c r="A38" s="33"/>
      <c r="B38" s="34"/>
      <c r="C38" s="34"/>
      <c r="D38" s="34"/>
      <c r="E38" s="34"/>
      <c r="F38" s="34"/>
      <c r="G38" s="34"/>
      <c r="H38" s="34"/>
      <c r="I38" s="34"/>
      <c r="J38" s="34"/>
      <c r="K38" s="34"/>
      <c r="L38" s="34"/>
      <c r="M38" s="34"/>
      <c r="N38" s="34"/>
    </row>
    <row r="39" spans="1:19" ht="15">
      <c r="A39" s="298" t="s">
        <v>67</v>
      </c>
      <c r="B39" s="299"/>
      <c r="C39" s="299"/>
      <c r="D39" s="299"/>
      <c r="E39" s="299"/>
      <c r="F39" s="299"/>
      <c r="G39" s="299"/>
      <c r="H39" s="299"/>
      <c r="I39" s="299"/>
      <c r="J39" s="299"/>
      <c r="K39" s="299"/>
      <c r="L39" s="299"/>
      <c r="M39" s="299"/>
      <c r="N39" s="299"/>
    </row>
    <row r="40" spans="1:19" ht="14.25">
      <c r="A40" s="603" t="s">
        <v>394</v>
      </c>
      <c r="B40" s="671"/>
      <c r="C40" s="671"/>
      <c r="D40" s="671"/>
      <c r="E40" s="671"/>
      <c r="F40" s="671"/>
      <c r="G40" s="671"/>
      <c r="H40" s="671"/>
      <c r="I40" s="671"/>
      <c r="J40" s="671"/>
      <c r="K40" s="671"/>
      <c r="L40" s="671"/>
      <c r="M40" s="671"/>
      <c r="N40" s="671"/>
    </row>
    <row r="41" spans="1:19" ht="15" customHeight="1">
      <c r="A41" s="706" t="s">
        <v>395</v>
      </c>
      <c r="B41" s="706"/>
      <c r="C41" s="706"/>
      <c r="D41" s="706"/>
      <c r="E41" s="706"/>
      <c r="F41" s="706"/>
      <c r="G41" s="706"/>
      <c r="H41" s="706"/>
      <c r="I41" s="706"/>
      <c r="J41" s="706"/>
      <c r="K41" s="706"/>
      <c r="L41" s="706"/>
      <c r="M41" s="706"/>
      <c r="N41" s="706"/>
    </row>
    <row r="42" spans="1:19" ht="15" customHeight="1">
      <c r="A42" s="672" t="s">
        <v>396</v>
      </c>
      <c r="B42" s="673"/>
      <c r="C42" s="673"/>
      <c r="D42" s="673"/>
      <c r="E42" s="673"/>
      <c r="F42" s="673"/>
      <c r="G42" s="673"/>
      <c r="H42" s="673"/>
      <c r="I42" s="673"/>
      <c r="J42" s="673"/>
      <c r="K42" s="673"/>
      <c r="L42" s="673"/>
      <c r="M42" s="673"/>
      <c r="N42" s="673"/>
    </row>
    <row r="43" spans="1:19" ht="15" customHeight="1">
      <c r="A43" s="672" t="s">
        <v>397</v>
      </c>
      <c r="B43" s="673"/>
      <c r="C43" s="673"/>
      <c r="D43" s="673"/>
      <c r="E43" s="673"/>
      <c r="F43" s="673"/>
      <c r="G43" s="673"/>
      <c r="H43" s="673"/>
      <c r="I43" s="673"/>
      <c r="J43" s="673"/>
      <c r="K43" s="673"/>
      <c r="L43" s="673"/>
      <c r="M43" s="673"/>
      <c r="N43" s="673"/>
    </row>
    <row r="44" spans="1:19" ht="15" customHeight="1">
      <c r="A44" s="672" t="s">
        <v>398</v>
      </c>
      <c r="B44" s="674"/>
      <c r="C44" s="674"/>
      <c r="D44" s="674"/>
      <c r="E44" s="674"/>
      <c r="F44" s="674"/>
      <c r="G44" s="674"/>
      <c r="H44" s="674"/>
      <c r="I44" s="674"/>
      <c r="J44" s="674"/>
      <c r="K44" s="674"/>
      <c r="L44" s="674"/>
      <c r="M44" s="674"/>
      <c r="N44" s="674"/>
    </row>
    <row r="45" spans="1:19" ht="14.25">
      <c r="A45" s="672" t="s">
        <v>399</v>
      </c>
      <c r="B45" s="673"/>
      <c r="C45" s="673"/>
      <c r="D45" s="673"/>
      <c r="E45" s="675"/>
      <c r="F45" s="673"/>
      <c r="G45" s="673"/>
      <c r="H45" s="673"/>
      <c r="I45" s="673"/>
      <c r="J45" s="673"/>
      <c r="K45" s="673"/>
      <c r="L45" s="673"/>
      <c r="M45" s="673"/>
      <c r="N45" s="673"/>
    </row>
    <row r="46" spans="1:19" ht="15">
      <c r="A46" s="165" t="s">
        <v>79</v>
      </c>
      <c r="H46" s="26"/>
    </row>
  </sheetData>
  <mergeCells count="1">
    <mergeCell ref="A41:N41"/>
  </mergeCells>
  <printOptions horizontalCentered="1"/>
  <pageMargins left="0" right="0" top="0.55000000000000004" bottom="0.17" header="0.3" footer="0.15"/>
  <pageSetup paperSize="5" scale="6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AE49B-D9A7-4664-A36E-ADD6121550E7}">
  <sheetPr>
    <pageSetUpPr fitToPage="1"/>
  </sheetPr>
  <dimension ref="A1:S39"/>
  <sheetViews>
    <sheetView showGridLines="0" zoomScaleNormal="100" zoomScaleSheetLayoutView="75" workbookViewId="0">
      <selection activeCell="F62" sqref="F62"/>
    </sheetView>
  </sheetViews>
  <sheetFormatPr defaultColWidth="9.28515625" defaultRowHeight="12.75"/>
  <cols>
    <col min="1" max="1" width="55.28515625" style="422" customWidth="1"/>
    <col min="2" max="13" width="11.5703125" style="422" customWidth="1"/>
    <col min="14" max="14" width="15.7109375" style="422" bestFit="1" customWidth="1"/>
    <col min="15" max="15" width="9.7109375" style="422" bestFit="1" customWidth="1"/>
    <col min="16" max="16" width="22.7109375" style="422" bestFit="1" customWidth="1"/>
    <col min="17" max="17" width="22.28515625" style="422" customWidth="1"/>
    <col min="18" max="16384" width="9.28515625" style="422"/>
  </cols>
  <sheetData>
    <row r="1" spans="1:16" ht="15">
      <c r="A1" s="557"/>
    </row>
    <row r="3" spans="1:16">
      <c r="E3" s="113" t="s">
        <v>353</v>
      </c>
    </row>
    <row r="4" spans="1:16">
      <c r="C4" s="423"/>
      <c r="D4" s="423"/>
      <c r="E4" s="125" t="s">
        <v>354</v>
      </c>
      <c r="F4" s="423"/>
      <c r="G4" s="423"/>
    </row>
    <row r="5" spans="1:16">
      <c r="D5" s="423"/>
      <c r="E5" s="144" t="str">
        <f>'Program MW '!H3</f>
        <v>December  2021</v>
      </c>
      <c r="F5" s="423"/>
    </row>
    <row r="6" spans="1:16">
      <c r="E6" s="144"/>
    </row>
    <row r="7" spans="1:16" ht="13.5" thickBot="1">
      <c r="A7" s="21"/>
    </row>
    <row r="8" spans="1:16" ht="32.25" customHeight="1" thickBot="1">
      <c r="A8" s="265" t="s">
        <v>264</v>
      </c>
      <c r="B8" s="23" t="s">
        <v>41</v>
      </c>
      <c r="C8" s="23" t="s">
        <v>42</v>
      </c>
      <c r="D8" s="23" t="s">
        <v>43</v>
      </c>
      <c r="E8" s="23" t="s">
        <v>44</v>
      </c>
      <c r="F8" s="23" t="s">
        <v>31</v>
      </c>
      <c r="G8" s="23" t="s">
        <v>45</v>
      </c>
      <c r="H8" s="23" t="s">
        <v>59</v>
      </c>
      <c r="I8" s="23" t="s">
        <v>60</v>
      </c>
      <c r="J8" s="23" t="s">
        <v>61</v>
      </c>
      <c r="K8" s="23" t="s">
        <v>62</v>
      </c>
      <c r="L8" s="23" t="s">
        <v>63</v>
      </c>
      <c r="M8" s="23" t="s">
        <v>64</v>
      </c>
      <c r="N8" s="322" t="s">
        <v>303</v>
      </c>
    </row>
    <row r="9" spans="1:16" ht="25.5">
      <c r="A9" s="266" t="s">
        <v>355</v>
      </c>
      <c r="B9" s="424"/>
      <c r="C9" s="424"/>
      <c r="N9" s="425"/>
    </row>
    <row r="10" spans="1:16" ht="6" customHeight="1">
      <c r="A10" s="228"/>
      <c r="B10" s="424"/>
      <c r="C10" s="424"/>
      <c r="N10" s="426"/>
    </row>
    <row r="11" spans="1:16">
      <c r="A11" s="228" t="s">
        <v>266</v>
      </c>
      <c r="B11" s="424"/>
      <c r="C11" s="424"/>
      <c r="N11" s="426"/>
    </row>
    <row r="12" spans="1:16">
      <c r="A12" s="229" t="s">
        <v>328</v>
      </c>
      <c r="B12" s="427">
        <v>0</v>
      </c>
      <c r="C12" s="427">
        <v>0</v>
      </c>
      <c r="D12" s="427">
        <v>0</v>
      </c>
      <c r="E12" s="427">
        <v>0</v>
      </c>
      <c r="F12" s="427">
        <v>0</v>
      </c>
      <c r="G12" s="427">
        <v>0</v>
      </c>
      <c r="H12" s="427">
        <v>10.29247</v>
      </c>
      <c r="I12" s="427">
        <v>4.5910000000000002</v>
      </c>
      <c r="J12" s="427">
        <v>20.315999999999999</v>
      </c>
      <c r="K12" s="427">
        <v>57.838000000000001</v>
      </c>
      <c r="L12" s="427">
        <v>87.155000000000001</v>
      </c>
      <c r="M12" s="427">
        <v>19.914999999999999</v>
      </c>
      <c r="N12" s="428">
        <f>SUM(B12:M12)</f>
        <v>200.10747000000001</v>
      </c>
    </row>
    <row r="13" spans="1:16">
      <c r="A13" s="376" t="s">
        <v>307</v>
      </c>
      <c r="B13" s="430">
        <f t="shared" ref="B13:M13" si="0">SUM(B12:B12)</f>
        <v>0</v>
      </c>
      <c r="C13" s="430">
        <f t="shared" si="0"/>
        <v>0</v>
      </c>
      <c r="D13" s="430">
        <f t="shared" si="0"/>
        <v>0</v>
      </c>
      <c r="E13" s="430">
        <f t="shared" si="0"/>
        <v>0</v>
      </c>
      <c r="F13" s="430">
        <f t="shared" si="0"/>
        <v>0</v>
      </c>
      <c r="G13" s="430">
        <f t="shared" si="0"/>
        <v>0</v>
      </c>
      <c r="H13" s="430">
        <f t="shared" si="0"/>
        <v>10.29247</v>
      </c>
      <c r="I13" s="430">
        <f t="shared" si="0"/>
        <v>4.5910000000000002</v>
      </c>
      <c r="J13" s="430">
        <f t="shared" si="0"/>
        <v>20.315999999999999</v>
      </c>
      <c r="K13" s="430">
        <f t="shared" si="0"/>
        <v>57.838000000000001</v>
      </c>
      <c r="L13" s="430">
        <f t="shared" si="0"/>
        <v>87.155000000000001</v>
      </c>
      <c r="M13" s="430">
        <f t="shared" si="0"/>
        <v>19.914999999999999</v>
      </c>
      <c r="N13" s="431">
        <f>SUM(B13:M13)</f>
        <v>200.10747000000001</v>
      </c>
    </row>
    <row r="14" spans="1:16">
      <c r="A14" s="426"/>
      <c r="B14" s="427"/>
      <c r="C14" s="427"/>
      <c r="D14" s="427"/>
      <c r="E14" s="427"/>
      <c r="F14" s="427"/>
      <c r="G14" s="427"/>
      <c r="H14" s="427"/>
      <c r="I14" s="427"/>
      <c r="J14" s="427" t="s">
        <v>56</v>
      </c>
      <c r="K14" s="427"/>
      <c r="L14" s="427"/>
      <c r="M14" s="427"/>
      <c r="N14" s="428"/>
      <c r="P14" s="432"/>
    </row>
    <row r="15" spans="1:16">
      <c r="A15" s="228" t="s">
        <v>321</v>
      </c>
      <c r="B15" s="427"/>
      <c r="C15" s="427"/>
      <c r="D15" s="427"/>
      <c r="E15" s="427"/>
      <c r="F15" s="427"/>
      <c r="G15" s="427"/>
      <c r="H15" s="427"/>
      <c r="I15" s="427"/>
      <c r="J15" s="427"/>
      <c r="K15" s="427"/>
      <c r="L15" s="427"/>
      <c r="M15" s="427"/>
      <c r="N15" s="428"/>
      <c r="P15" s="432"/>
    </row>
    <row r="16" spans="1:16">
      <c r="A16" s="229" t="s">
        <v>322</v>
      </c>
      <c r="B16" s="427">
        <v>0</v>
      </c>
      <c r="C16" s="427">
        <v>0</v>
      </c>
      <c r="D16" s="427">
        <v>0</v>
      </c>
      <c r="E16" s="427">
        <v>0</v>
      </c>
      <c r="F16" s="427">
        <v>0</v>
      </c>
      <c r="G16" s="427">
        <v>0</v>
      </c>
      <c r="H16" s="427">
        <v>0</v>
      </c>
      <c r="I16" s="427">
        <v>0</v>
      </c>
      <c r="J16" s="427">
        <v>0</v>
      </c>
      <c r="K16" s="427">
        <v>0</v>
      </c>
      <c r="L16" s="427">
        <v>0</v>
      </c>
      <c r="M16" s="427">
        <v>0</v>
      </c>
      <c r="N16" s="428">
        <f>SUM(B16:M16)</f>
        <v>0</v>
      </c>
      <c r="P16" s="432"/>
    </row>
    <row r="17" spans="1:19">
      <c r="A17" s="229" t="s">
        <v>329</v>
      </c>
      <c r="B17" s="427">
        <v>0</v>
      </c>
      <c r="C17" s="427">
        <v>0</v>
      </c>
      <c r="D17" s="427">
        <v>0</v>
      </c>
      <c r="E17" s="427">
        <v>0</v>
      </c>
      <c r="F17" s="427">
        <v>0</v>
      </c>
      <c r="G17" s="427">
        <v>0</v>
      </c>
      <c r="H17" s="427">
        <v>0</v>
      </c>
      <c r="I17" s="427">
        <v>0</v>
      </c>
      <c r="J17" s="427">
        <v>0</v>
      </c>
      <c r="K17" s="427">
        <v>0</v>
      </c>
      <c r="L17" s="427">
        <v>0</v>
      </c>
      <c r="M17" s="427">
        <v>0</v>
      </c>
      <c r="N17" s="428">
        <f>SUM(B17:M17)</f>
        <v>0</v>
      </c>
      <c r="P17" s="432"/>
    </row>
    <row r="18" spans="1:19">
      <c r="A18" s="229" t="s">
        <v>330</v>
      </c>
      <c r="B18" s="427">
        <v>0</v>
      </c>
      <c r="C18" s="427">
        <v>0</v>
      </c>
      <c r="D18" s="427">
        <v>0</v>
      </c>
      <c r="E18" s="427">
        <v>0</v>
      </c>
      <c r="F18" s="427">
        <v>0</v>
      </c>
      <c r="G18" s="427">
        <v>0</v>
      </c>
      <c r="H18" s="427">
        <v>0</v>
      </c>
      <c r="I18" s="427">
        <v>0</v>
      </c>
      <c r="J18" s="427">
        <v>0</v>
      </c>
      <c r="K18" s="427">
        <v>0</v>
      </c>
      <c r="L18" s="427">
        <v>0</v>
      </c>
      <c r="M18" s="427">
        <v>0</v>
      </c>
      <c r="N18" s="428">
        <f>SUM(B18:M18)</f>
        <v>0</v>
      </c>
      <c r="P18" s="432"/>
    </row>
    <row r="19" spans="1:19">
      <c r="A19" s="231" t="s">
        <v>325</v>
      </c>
      <c r="B19" s="427">
        <v>0</v>
      </c>
      <c r="C19" s="427">
        <v>0</v>
      </c>
      <c r="D19" s="427">
        <v>0</v>
      </c>
      <c r="E19" s="427">
        <v>0</v>
      </c>
      <c r="F19" s="427">
        <v>0</v>
      </c>
      <c r="G19" s="427">
        <v>0</v>
      </c>
      <c r="H19" s="427">
        <v>0</v>
      </c>
      <c r="I19" s="427">
        <v>0</v>
      </c>
      <c r="J19" s="427">
        <v>0</v>
      </c>
      <c r="K19" s="427">
        <v>0</v>
      </c>
      <c r="L19" s="427">
        <v>0</v>
      </c>
      <c r="M19" s="427">
        <v>0</v>
      </c>
      <c r="N19" s="428">
        <f>SUM(B19:M19)</f>
        <v>0</v>
      </c>
      <c r="P19" s="432"/>
    </row>
    <row r="20" spans="1:19">
      <c r="A20" s="377" t="s">
        <v>310</v>
      </c>
      <c r="B20" s="430">
        <f t="shared" ref="B20:M20" si="1">SUM(B16:B19)</f>
        <v>0</v>
      </c>
      <c r="C20" s="430">
        <f t="shared" si="1"/>
        <v>0</v>
      </c>
      <c r="D20" s="430">
        <f t="shared" si="1"/>
        <v>0</v>
      </c>
      <c r="E20" s="430">
        <f t="shared" si="1"/>
        <v>0</v>
      </c>
      <c r="F20" s="430">
        <f t="shared" si="1"/>
        <v>0</v>
      </c>
      <c r="G20" s="430">
        <f t="shared" si="1"/>
        <v>0</v>
      </c>
      <c r="H20" s="430">
        <f t="shared" si="1"/>
        <v>0</v>
      </c>
      <c r="I20" s="430">
        <f t="shared" si="1"/>
        <v>0</v>
      </c>
      <c r="J20" s="430">
        <f t="shared" si="1"/>
        <v>0</v>
      </c>
      <c r="K20" s="430">
        <f t="shared" si="1"/>
        <v>0</v>
      </c>
      <c r="L20" s="430">
        <f t="shared" si="1"/>
        <v>0</v>
      </c>
      <c r="M20" s="430">
        <f t="shared" si="1"/>
        <v>0</v>
      </c>
      <c r="N20" s="431">
        <f>SUM(B20:M20)</f>
        <v>0</v>
      </c>
      <c r="P20" s="432"/>
    </row>
    <row r="21" spans="1:19">
      <c r="A21" s="231"/>
      <c r="B21" s="427"/>
      <c r="C21" s="427"/>
      <c r="D21" s="427"/>
      <c r="E21" s="427"/>
      <c r="F21" s="427"/>
      <c r="G21" s="427"/>
      <c r="H21" s="427"/>
      <c r="I21" s="427"/>
      <c r="J21" s="427"/>
      <c r="K21" s="427"/>
      <c r="L21" s="427"/>
      <c r="M21" s="427"/>
      <c r="N21" s="428"/>
      <c r="P21" s="432"/>
    </row>
    <row r="22" spans="1:19">
      <c r="A22" s="228"/>
      <c r="B22" s="427" t="s">
        <v>56</v>
      </c>
      <c r="C22" s="427" t="s">
        <v>56</v>
      </c>
      <c r="D22" s="427" t="s">
        <v>56</v>
      </c>
      <c r="E22" s="427"/>
      <c r="F22" s="427" t="s">
        <v>56</v>
      </c>
      <c r="G22" s="427"/>
      <c r="H22" s="433" t="s">
        <v>56</v>
      </c>
      <c r="I22" s="433" t="s">
        <v>56</v>
      </c>
      <c r="J22" s="433" t="s">
        <v>56</v>
      </c>
      <c r="K22" s="433" t="s">
        <v>56</v>
      </c>
      <c r="L22" s="433" t="s">
        <v>56</v>
      </c>
      <c r="M22" s="433" t="s">
        <v>56</v>
      </c>
      <c r="N22" s="428" t="s">
        <v>56</v>
      </c>
      <c r="P22" s="432"/>
    </row>
    <row r="23" spans="1:19">
      <c r="A23" s="228" t="s">
        <v>311</v>
      </c>
      <c r="B23" s="427">
        <v>0</v>
      </c>
      <c r="C23" s="427">
        <v>0</v>
      </c>
      <c r="D23" s="427">
        <v>0</v>
      </c>
      <c r="E23" s="427">
        <v>0</v>
      </c>
      <c r="F23" s="427">
        <v>0</v>
      </c>
      <c r="G23" s="427">
        <v>0</v>
      </c>
      <c r="H23" s="433">
        <v>0</v>
      </c>
      <c r="I23" s="433">
        <v>0</v>
      </c>
      <c r="J23" s="433">
        <v>0</v>
      </c>
      <c r="K23" s="433">
        <v>0</v>
      </c>
      <c r="L23" s="433">
        <v>0</v>
      </c>
      <c r="M23" s="433">
        <v>0</v>
      </c>
      <c r="N23" s="428">
        <f>SUM(B23:M23)</f>
        <v>0</v>
      </c>
      <c r="P23" s="432"/>
    </row>
    <row r="24" spans="1:19">
      <c r="A24" s="378" t="s">
        <v>313</v>
      </c>
      <c r="B24" s="430">
        <f t="shared" ref="B24:M24" si="2">SUM(B23:B23)</f>
        <v>0</v>
      </c>
      <c r="C24" s="430">
        <f t="shared" si="2"/>
        <v>0</v>
      </c>
      <c r="D24" s="430">
        <f t="shared" si="2"/>
        <v>0</v>
      </c>
      <c r="E24" s="430">
        <f t="shared" si="2"/>
        <v>0</v>
      </c>
      <c r="F24" s="430">
        <f t="shared" si="2"/>
        <v>0</v>
      </c>
      <c r="G24" s="430">
        <f t="shared" si="2"/>
        <v>0</v>
      </c>
      <c r="H24" s="430">
        <f t="shared" si="2"/>
        <v>0</v>
      </c>
      <c r="I24" s="430">
        <f t="shared" si="2"/>
        <v>0</v>
      </c>
      <c r="J24" s="430">
        <f t="shared" si="2"/>
        <v>0</v>
      </c>
      <c r="K24" s="430">
        <f t="shared" si="2"/>
        <v>0</v>
      </c>
      <c r="L24" s="430">
        <f t="shared" si="2"/>
        <v>0</v>
      </c>
      <c r="M24" s="430">
        <f t="shared" si="2"/>
        <v>0</v>
      </c>
      <c r="N24" s="431">
        <f>SUM(B24:M24)</f>
        <v>0</v>
      </c>
      <c r="P24" s="432"/>
    </row>
    <row r="25" spans="1:19">
      <c r="A25" s="232"/>
      <c r="B25" s="427"/>
      <c r="C25" s="427"/>
      <c r="D25" s="427"/>
      <c r="E25" s="427"/>
      <c r="F25" s="427"/>
      <c r="G25" s="434"/>
      <c r="H25" s="427"/>
      <c r="I25" s="434"/>
      <c r="J25" s="427"/>
      <c r="K25" s="427"/>
      <c r="L25" s="434"/>
      <c r="M25" s="427"/>
      <c r="N25" s="428"/>
    </row>
    <row r="26" spans="1:19">
      <c r="A26" s="233"/>
      <c r="B26" s="427"/>
      <c r="C26" s="427"/>
      <c r="D26" s="427"/>
      <c r="E26" s="427"/>
      <c r="F26" s="427"/>
      <c r="G26" s="427"/>
      <c r="H26" s="427"/>
      <c r="I26" s="427"/>
      <c r="J26" s="427"/>
      <c r="K26" s="427"/>
      <c r="L26" s="427"/>
      <c r="M26" s="427"/>
      <c r="N26" s="428"/>
    </row>
    <row r="27" spans="1:19">
      <c r="A27" s="233" t="s">
        <v>286</v>
      </c>
      <c r="B27" s="427">
        <v>0</v>
      </c>
      <c r="C27" s="427">
        <v>0</v>
      </c>
      <c r="D27" s="427">
        <v>0</v>
      </c>
      <c r="E27" s="427">
        <v>0</v>
      </c>
      <c r="F27" s="427">
        <v>0</v>
      </c>
      <c r="G27" s="427">
        <v>0</v>
      </c>
      <c r="H27" s="433">
        <v>0</v>
      </c>
      <c r="I27" s="433">
        <v>0</v>
      </c>
      <c r="J27" s="433">
        <v>0</v>
      </c>
      <c r="K27" s="433">
        <v>0</v>
      </c>
      <c r="L27" s="433">
        <v>0</v>
      </c>
      <c r="M27" s="433">
        <v>0</v>
      </c>
      <c r="N27" s="428">
        <f>SUM(B27:M27)</f>
        <v>0</v>
      </c>
    </row>
    <row r="28" spans="1:19">
      <c r="A28" s="426"/>
      <c r="B28" s="427"/>
      <c r="C28" s="427"/>
      <c r="D28" s="427"/>
      <c r="E28" s="427"/>
      <c r="F28" s="427"/>
      <c r="G28" s="427"/>
      <c r="H28" s="433"/>
      <c r="I28" s="433"/>
      <c r="J28" s="433"/>
      <c r="K28" s="433"/>
      <c r="L28" s="433"/>
      <c r="M28" s="435"/>
      <c r="N28" s="428" t="s">
        <v>56</v>
      </c>
    </row>
    <row r="29" spans="1:19">
      <c r="A29" s="379" t="s">
        <v>292</v>
      </c>
      <c r="B29" s="430">
        <f t="shared" ref="B29:G29" si="3">SUM(B27:B28)</f>
        <v>0</v>
      </c>
      <c r="C29" s="430">
        <f t="shared" si="3"/>
        <v>0</v>
      </c>
      <c r="D29" s="430">
        <f t="shared" si="3"/>
        <v>0</v>
      </c>
      <c r="E29" s="430">
        <f t="shared" si="3"/>
        <v>0</v>
      </c>
      <c r="F29" s="430">
        <f t="shared" si="3"/>
        <v>0</v>
      </c>
      <c r="G29" s="430">
        <f t="shared" si="3"/>
        <v>0</v>
      </c>
      <c r="H29" s="430">
        <f>SUM(H26:H28)</f>
        <v>0</v>
      </c>
      <c r="I29" s="430">
        <f>SUM(I26:I28)</f>
        <v>0</v>
      </c>
      <c r="J29" s="430">
        <f>SUM(J27:J28)</f>
        <v>0</v>
      </c>
      <c r="K29" s="430">
        <f>SUM(K27:K28)</f>
        <v>0</v>
      </c>
      <c r="L29" s="430">
        <f>SUM(L27:L28)</f>
        <v>0</v>
      </c>
      <c r="M29" s="430">
        <f>SUM(M27:M28)</f>
        <v>0</v>
      </c>
      <c r="N29" s="431">
        <f>SUM(B29:M29)</f>
        <v>0</v>
      </c>
      <c r="O29" s="429"/>
    </row>
    <row r="30" spans="1:19" ht="10.5" customHeight="1">
      <c r="A30" s="436"/>
      <c r="B30" s="434"/>
      <c r="C30" s="434"/>
      <c r="D30" s="434"/>
      <c r="E30" s="434"/>
      <c r="F30" s="434"/>
      <c r="G30" s="434"/>
      <c r="H30" s="434"/>
      <c r="I30" s="434"/>
      <c r="J30" s="434"/>
      <c r="K30" s="434"/>
      <c r="L30" s="434"/>
      <c r="M30" s="434"/>
      <c r="N30" s="437"/>
    </row>
    <row r="31" spans="1:19" ht="15" customHeight="1">
      <c r="A31" s="377" t="s">
        <v>314</v>
      </c>
      <c r="B31" s="438">
        <v>0</v>
      </c>
      <c r="C31" s="438">
        <v>0</v>
      </c>
      <c r="D31" s="438">
        <v>0</v>
      </c>
      <c r="E31" s="438">
        <v>0</v>
      </c>
      <c r="F31" s="438">
        <v>0</v>
      </c>
      <c r="G31" s="438">
        <v>0</v>
      </c>
      <c r="H31" s="438">
        <v>0</v>
      </c>
      <c r="I31" s="438">
        <v>0</v>
      </c>
      <c r="J31" s="430">
        <v>0</v>
      </c>
      <c r="K31" s="430">
        <v>0</v>
      </c>
      <c r="L31" s="438">
        <v>0</v>
      </c>
      <c r="M31" s="438">
        <v>0</v>
      </c>
      <c r="N31" s="439">
        <f>SUM(B31:M31)</f>
        <v>0</v>
      </c>
      <c r="O31" s="440"/>
      <c r="P31" s="440"/>
      <c r="Q31" s="440"/>
      <c r="R31" s="440"/>
      <c r="S31" s="441"/>
    </row>
    <row r="32" spans="1:19" ht="15" customHeight="1" thickBot="1">
      <c r="A32" s="234" t="s">
        <v>331</v>
      </c>
      <c r="B32" s="578">
        <f t="shared" ref="B32:M32" si="4">B13+B20+B24+B29+B31</f>
        <v>0</v>
      </c>
      <c r="C32" s="578">
        <f t="shared" si="4"/>
        <v>0</v>
      </c>
      <c r="D32" s="578">
        <f t="shared" si="4"/>
        <v>0</v>
      </c>
      <c r="E32" s="578">
        <f t="shared" si="4"/>
        <v>0</v>
      </c>
      <c r="F32" s="578">
        <f t="shared" si="4"/>
        <v>0</v>
      </c>
      <c r="G32" s="578">
        <f t="shared" si="4"/>
        <v>0</v>
      </c>
      <c r="H32" s="578">
        <f t="shared" si="4"/>
        <v>10.29247</v>
      </c>
      <c r="I32" s="578">
        <f t="shared" si="4"/>
        <v>4.5910000000000002</v>
      </c>
      <c r="J32" s="578">
        <f t="shared" si="4"/>
        <v>20.315999999999999</v>
      </c>
      <c r="K32" s="578">
        <f t="shared" si="4"/>
        <v>57.838000000000001</v>
      </c>
      <c r="L32" s="578">
        <f t="shared" si="4"/>
        <v>87.155000000000001</v>
      </c>
      <c r="M32" s="578">
        <f t="shared" si="4"/>
        <v>19.914999999999999</v>
      </c>
      <c r="N32" s="391">
        <f>SUM(B32:M32)</f>
        <v>200.10747000000001</v>
      </c>
      <c r="O32" s="440"/>
      <c r="P32" s="440"/>
      <c r="Q32" s="440"/>
      <c r="R32" s="440"/>
      <c r="S32" s="441"/>
    </row>
    <row r="33" spans="1:15" s="423" customFormat="1" ht="26.25" customHeight="1" thickBot="1">
      <c r="A33" s="576" t="s">
        <v>332</v>
      </c>
      <c r="B33" s="573">
        <f>B32</f>
        <v>0</v>
      </c>
      <c r="C33" s="574">
        <f>C32</f>
        <v>0</v>
      </c>
      <c r="D33" s="574">
        <f>D32+0.018</f>
        <v>1.7999999999999999E-2</v>
      </c>
      <c r="E33" s="574">
        <f>E32+0.025</f>
        <v>2.5000000000000001E-2</v>
      </c>
      <c r="F33" s="574">
        <f>F32+0.025</f>
        <v>2.5000000000000001E-2</v>
      </c>
      <c r="G33" s="574">
        <f>G32+0.029</f>
        <v>2.9000000000000001E-2</v>
      </c>
      <c r="H33" s="574">
        <f>H32+0.038</f>
        <v>10.33047</v>
      </c>
      <c r="I33" s="574">
        <f>I32+0.001</f>
        <v>4.5920000000000005</v>
      </c>
      <c r="J33" s="574">
        <f>J32+0.002</f>
        <v>20.317999999999998</v>
      </c>
      <c r="K33" s="574">
        <f>K32+0.004</f>
        <v>57.841999999999999</v>
      </c>
      <c r="L33" s="574">
        <f>L32+0.004</f>
        <v>87.159000000000006</v>
      </c>
      <c r="M33" s="574">
        <f>M32+0.004</f>
        <v>19.919</v>
      </c>
      <c r="N33" s="577">
        <f>SUM(B33:M33)</f>
        <v>200.25747000000001</v>
      </c>
      <c r="O33" s="442"/>
    </row>
    <row r="34" spans="1:15">
      <c r="A34" s="33"/>
      <c r="B34" s="579"/>
      <c r="C34" s="579"/>
      <c r="D34" s="579"/>
      <c r="E34" s="579"/>
      <c r="F34" s="579"/>
      <c r="G34" s="579"/>
      <c r="H34" s="579"/>
      <c r="I34" s="579"/>
      <c r="J34" s="579"/>
      <c r="K34" s="579"/>
      <c r="L34" s="579"/>
      <c r="M34" s="579"/>
      <c r="N34" s="34"/>
    </row>
    <row r="35" spans="1:15" ht="15">
      <c r="A35" s="298" t="s">
        <v>67</v>
      </c>
      <c r="B35" s="299"/>
      <c r="C35" s="299"/>
      <c r="D35" s="299"/>
      <c r="E35" s="299"/>
      <c r="F35" s="299"/>
      <c r="G35" s="299"/>
      <c r="H35" s="299"/>
      <c r="I35" s="299"/>
      <c r="J35" s="299"/>
      <c r="K35" s="299"/>
      <c r="L35" s="299"/>
      <c r="M35" s="299"/>
      <c r="N35" s="299"/>
    </row>
    <row r="36" spans="1:15" ht="15">
      <c r="A36" s="364" t="s">
        <v>352</v>
      </c>
      <c r="B36" s="365"/>
      <c r="C36" s="365"/>
      <c r="D36" s="365"/>
      <c r="E36" s="365"/>
      <c r="F36" s="365"/>
      <c r="G36" s="365"/>
      <c r="H36" s="365"/>
      <c r="I36" s="365"/>
      <c r="J36" s="365"/>
      <c r="K36" s="365"/>
      <c r="L36" s="365"/>
      <c r="M36" s="365"/>
      <c r="N36" s="365"/>
    </row>
    <row r="37" spans="1:15" ht="15" customHeight="1">
      <c r="A37" s="443"/>
      <c r="B37" s="346"/>
      <c r="C37" s="346"/>
      <c r="D37" s="346"/>
      <c r="E37" s="346"/>
      <c r="F37" s="346"/>
      <c r="G37" s="346"/>
      <c r="H37" s="346"/>
      <c r="I37" s="346"/>
      <c r="J37" s="346"/>
      <c r="K37" s="346"/>
      <c r="L37" s="346"/>
      <c r="M37" s="346"/>
      <c r="N37" s="346"/>
    </row>
    <row r="38" spans="1:15" ht="15">
      <c r="A38" s="165" t="s">
        <v>79</v>
      </c>
      <c r="E38" s="91"/>
    </row>
    <row r="39" spans="1:15">
      <c r="H39" s="429"/>
    </row>
  </sheetData>
  <printOptions horizontalCentered="1"/>
  <pageMargins left="0" right="0" top="0.55000000000000004" bottom="0.17" header="0.3" footer="0.15"/>
  <pageSetup paperSize="5" scale="66" orientation="landscape" cellComments="atEnd" r:id="rId1"/>
  <headerFooter alignWithMargins="0">
    <oddHeader xml:space="preserve">&amp;C&amp;"Arial,Bold"
</oddHeader>
    <oddFooter>&amp;Rpage 11 of 11
&amp;A
&amp;D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D80C-74B1-49BA-BCE4-67DCB4CEA444}">
  <sheetPr>
    <pageSetUpPr fitToPage="1"/>
  </sheetPr>
  <dimension ref="A1:S39"/>
  <sheetViews>
    <sheetView showGridLines="0" zoomScaleNormal="100" zoomScaleSheetLayoutView="75" workbookViewId="0">
      <selection activeCell="A4" sqref="A4"/>
    </sheetView>
  </sheetViews>
  <sheetFormatPr defaultColWidth="9.28515625" defaultRowHeight="12.75"/>
  <cols>
    <col min="1" max="1" width="55.28515625" style="422" customWidth="1"/>
    <col min="2" max="13" width="11.5703125" style="422" customWidth="1"/>
    <col min="14" max="14" width="15.7109375" style="422" bestFit="1" customWidth="1"/>
    <col min="15" max="15" width="9.7109375" style="422" bestFit="1" customWidth="1"/>
    <col min="16" max="16" width="22.7109375" style="422" bestFit="1" customWidth="1"/>
    <col min="17" max="17" width="22.28515625" style="422" customWidth="1"/>
    <col min="18" max="16384" width="9.28515625" style="422"/>
  </cols>
  <sheetData>
    <row r="1" spans="1:16" ht="15">
      <c r="A1" s="557"/>
    </row>
    <row r="3" spans="1:16">
      <c r="E3" s="113" t="s">
        <v>356</v>
      </c>
    </row>
    <row r="4" spans="1:16">
      <c r="C4" s="423"/>
      <c r="D4" s="423"/>
      <c r="E4" s="125"/>
      <c r="F4" s="423"/>
      <c r="G4" s="423"/>
    </row>
    <row r="5" spans="1:16">
      <c r="D5" s="423"/>
      <c r="E5" s="144" t="str">
        <f>'Program MW '!H3</f>
        <v>December  2021</v>
      </c>
      <c r="F5" s="423"/>
    </row>
    <row r="6" spans="1:16">
      <c r="E6" s="144"/>
    </row>
    <row r="7" spans="1:16" ht="13.5" thickBot="1">
      <c r="A7" s="21"/>
    </row>
    <row r="8" spans="1:16" ht="32.25" customHeight="1" thickBot="1">
      <c r="A8" s="265" t="s">
        <v>264</v>
      </c>
      <c r="B8" s="23" t="s">
        <v>41</v>
      </c>
      <c r="C8" s="23" t="s">
        <v>42</v>
      </c>
      <c r="D8" s="23" t="s">
        <v>43</v>
      </c>
      <c r="E8" s="23" t="s">
        <v>44</v>
      </c>
      <c r="F8" s="23" t="s">
        <v>31</v>
      </c>
      <c r="G8" s="23" t="s">
        <v>45</v>
      </c>
      <c r="H8" s="23" t="s">
        <v>59</v>
      </c>
      <c r="I8" s="23" t="s">
        <v>60</v>
      </c>
      <c r="J8" s="23" t="s">
        <v>61</v>
      </c>
      <c r="K8" s="23" t="s">
        <v>62</v>
      </c>
      <c r="L8" s="23" t="s">
        <v>63</v>
      </c>
      <c r="M8" s="23" t="s">
        <v>64</v>
      </c>
      <c r="N8" s="322" t="s">
        <v>303</v>
      </c>
    </row>
    <row r="9" spans="1:16" ht="25.5">
      <c r="A9" s="447" t="s">
        <v>338</v>
      </c>
      <c r="B9" s="424"/>
      <c r="C9" s="424"/>
      <c r="N9" s="425"/>
    </row>
    <row r="10" spans="1:16" ht="6" customHeight="1">
      <c r="A10" s="228"/>
      <c r="B10" s="424"/>
      <c r="C10" s="424"/>
      <c r="N10" s="426"/>
    </row>
    <row r="11" spans="1:16">
      <c r="A11" s="228" t="s">
        <v>266</v>
      </c>
      <c r="B11" s="424"/>
      <c r="C11" s="424"/>
      <c r="N11" s="426"/>
    </row>
    <row r="12" spans="1:16" ht="14.25">
      <c r="A12" s="229" t="s">
        <v>371</v>
      </c>
      <c r="B12" s="427">
        <v>0</v>
      </c>
      <c r="C12" s="427">
        <v>0</v>
      </c>
      <c r="D12" s="427">
        <v>0</v>
      </c>
      <c r="E12" s="427">
        <v>0</v>
      </c>
      <c r="F12" s="427">
        <v>0</v>
      </c>
      <c r="G12" s="427">
        <v>0</v>
      </c>
      <c r="H12" s="427">
        <v>0</v>
      </c>
      <c r="I12" s="427">
        <v>11.920999999999999</v>
      </c>
      <c r="J12" s="427">
        <v>27.074999999999999</v>
      </c>
      <c r="K12" s="427">
        <v>19.593</v>
      </c>
      <c r="L12" s="427">
        <v>10.93</v>
      </c>
      <c r="M12" s="427">
        <v>-68.924000000000007</v>
      </c>
      <c r="N12" s="428">
        <f>SUM(B12:M12)</f>
        <v>0.59499999999999886</v>
      </c>
    </row>
    <row r="13" spans="1:16">
      <c r="A13" s="376" t="s">
        <v>307</v>
      </c>
      <c r="B13" s="430">
        <f t="shared" ref="B13:M13" si="0">SUM(B12:B12)</f>
        <v>0</v>
      </c>
      <c r="C13" s="430">
        <f t="shared" si="0"/>
        <v>0</v>
      </c>
      <c r="D13" s="430">
        <f t="shared" si="0"/>
        <v>0</v>
      </c>
      <c r="E13" s="430">
        <f t="shared" si="0"/>
        <v>0</v>
      </c>
      <c r="F13" s="430">
        <f t="shared" si="0"/>
        <v>0</v>
      </c>
      <c r="G13" s="430">
        <f t="shared" si="0"/>
        <v>0</v>
      </c>
      <c r="H13" s="430">
        <f t="shared" si="0"/>
        <v>0</v>
      </c>
      <c r="I13" s="430">
        <f t="shared" si="0"/>
        <v>11.920999999999999</v>
      </c>
      <c r="J13" s="430">
        <f t="shared" si="0"/>
        <v>27.074999999999999</v>
      </c>
      <c r="K13" s="430">
        <f t="shared" si="0"/>
        <v>19.593</v>
      </c>
      <c r="L13" s="430">
        <f t="shared" si="0"/>
        <v>10.93</v>
      </c>
      <c r="M13" s="430">
        <f t="shared" si="0"/>
        <v>-68.924000000000007</v>
      </c>
      <c r="N13" s="431">
        <f>SUM(B13:M13)</f>
        <v>0.59499999999999886</v>
      </c>
    </row>
    <row r="14" spans="1:16">
      <c r="A14" s="426"/>
      <c r="B14" s="427"/>
      <c r="C14" s="427"/>
      <c r="D14" s="427"/>
      <c r="E14" s="427"/>
      <c r="F14" s="427"/>
      <c r="G14" s="427"/>
      <c r="H14" s="427"/>
      <c r="I14" s="427"/>
      <c r="J14" s="427" t="s">
        <v>56</v>
      </c>
      <c r="K14" s="427"/>
      <c r="L14" s="427"/>
      <c r="M14" s="427"/>
      <c r="N14" s="428"/>
      <c r="P14" s="432"/>
    </row>
    <row r="15" spans="1:16">
      <c r="A15" s="228" t="s">
        <v>321</v>
      </c>
      <c r="B15" s="427"/>
      <c r="C15" s="427"/>
      <c r="D15" s="427"/>
      <c r="E15" s="427"/>
      <c r="F15" s="427"/>
      <c r="G15" s="427"/>
      <c r="H15" s="427"/>
      <c r="I15" s="427"/>
      <c r="J15" s="427"/>
      <c r="K15" s="427"/>
      <c r="L15" s="427"/>
      <c r="M15" s="427"/>
      <c r="N15" s="428"/>
      <c r="P15" s="432"/>
    </row>
    <row r="16" spans="1:16">
      <c r="A16" s="229" t="s">
        <v>322</v>
      </c>
      <c r="B16" s="427">
        <v>0</v>
      </c>
      <c r="C16" s="427">
        <v>0</v>
      </c>
      <c r="D16" s="427">
        <v>0</v>
      </c>
      <c r="E16" s="427">
        <v>0</v>
      </c>
      <c r="F16" s="427">
        <v>0</v>
      </c>
      <c r="G16" s="427">
        <v>0</v>
      </c>
      <c r="H16" s="427">
        <v>0</v>
      </c>
      <c r="I16" s="427">
        <v>0</v>
      </c>
      <c r="J16" s="427">
        <v>0</v>
      </c>
      <c r="K16" s="427">
        <v>0</v>
      </c>
      <c r="L16" s="427">
        <v>0</v>
      </c>
      <c r="M16" s="427">
        <v>0</v>
      </c>
      <c r="N16" s="428">
        <f>SUM(B16:M16)</f>
        <v>0</v>
      </c>
      <c r="P16" s="432"/>
    </row>
    <row r="17" spans="1:19">
      <c r="A17" s="229" t="s">
        <v>333</v>
      </c>
      <c r="B17" s="427">
        <v>0</v>
      </c>
      <c r="C17" s="427">
        <v>0</v>
      </c>
      <c r="D17" s="427">
        <v>0</v>
      </c>
      <c r="E17" s="427">
        <v>0</v>
      </c>
      <c r="F17" s="427">
        <v>0</v>
      </c>
      <c r="G17" s="427">
        <v>0</v>
      </c>
      <c r="H17" s="427">
        <v>0</v>
      </c>
      <c r="I17" s="427">
        <v>0</v>
      </c>
      <c r="J17" s="427">
        <v>0</v>
      </c>
      <c r="K17" s="427">
        <v>0</v>
      </c>
      <c r="L17" s="427">
        <v>0</v>
      </c>
      <c r="M17" s="427">
        <v>0</v>
      </c>
      <c r="N17" s="428">
        <f>SUM(B17:M17)</f>
        <v>0</v>
      </c>
      <c r="P17" s="432"/>
    </row>
    <row r="18" spans="1:19">
      <c r="A18" s="229" t="s">
        <v>334</v>
      </c>
      <c r="B18" s="427">
        <v>0</v>
      </c>
      <c r="C18" s="427">
        <v>0</v>
      </c>
      <c r="D18" s="427">
        <v>0</v>
      </c>
      <c r="E18" s="427">
        <v>0</v>
      </c>
      <c r="F18" s="427">
        <v>0</v>
      </c>
      <c r="G18" s="427">
        <v>0</v>
      </c>
      <c r="H18" s="427">
        <v>0</v>
      </c>
      <c r="I18" s="427">
        <v>0</v>
      </c>
      <c r="J18" s="427">
        <v>0</v>
      </c>
      <c r="K18" s="427">
        <v>0</v>
      </c>
      <c r="L18" s="427">
        <v>0</v>
      </c>
      <c r="M18" s="427">
        <v>0</v>
      </c>
      <c r="N18" s="428">
        <f>SUM(B18:M18)</f>
        <v>0</v>
      </c>
      <c r="P18" s="432"/>
    </row>
    <row r="19" spans="1:19">
      <c r="A19" s="231" t="s">
        <v>325</v>
      </c>
      <c r="B19" s="427">
        <v>0</v>
      </c>
      <c r="C19" s="427">
        <v>0</v>
      </c>
      <c r="D19" s="427">
        <v>0</v>
      </c>
      <c r="E19" s="427">
        <v>0</v>
      </c>
      <c r="F19" s="427">
        <v>0</v>
      </c>
      <c r="G19" s="427">
        <v>0</v>
      </c>
      <c r="H19" s="427">
        <v>0</v>
      </c>
      <c r="I19" s="427">
        <v>0</v>
      </c>
      <c r="J19" s="427">
        <v>0</v>
      </c>
      <c r="K19" s="427">
        <v>0</v>
      </c>
      <c r="L19" s="427">
        <v>0</v>
      </c>
      <c r="M19" s="427">
        <v>0</v>
      </c>
      <c r="N19" s="428">
        <f>SUM(B19:M19)</f>
        <v>0</v>
      </c>
      <c r="P19" s="432"/>
    </row>
    <row r="20" spans="1:19">
      <c r="A20" s="377" t="s">
        <v>310</v>
      </c>
      <c r="B20" s="430">
        <f t="shared" ref="B20:M20" si="1">SUM(B16:B19)</f>
        <v>0</v>
      </c>
      <c r="C20" s="430">
        <f t="shared" si="1"/>
        <v>0</v>
      </c>
      <c r="D20" s="430">
        <f t="shared" si="1"/>
        <v>0</v>
      </c>
      <c r="E20" s="430">
        <f t="shared" si="1"/>
        <v>0</v>
      </c>
      <c r="F20" s="430">
        <f t="shared" si="1"/>
        <v>0</v>
      </c>
      <c r="G20" s="430">
        <f t="shared" si="1"/>
        <v>0</v>
      </c>
      <c r="H20" s="430">
        <f t="shared" si="1"/>
        <v>0</v>
      </c>
      <c r="I20" s="430">
        <f t="shared" si="1"/>
        <v>0</v>
      </c>
      <c r="J20" s="430">
        <f t="shared" si="1"/>
        <v>0</v>
      </c>
      <c r="K20" s="430">
        <f t="shared" si="1"/>
        <v>0</v>
      </c>
      <c r="L20" s="430">
        <f t="shared" si="1"/>
        <v>0</v>
      </c>
      <c r="M20" s="430">
        <f t="shared" si="1"/>
        <v>0</v>
      </c>
      <c r="N20" s="431">
        <f>SUM(B20:M20)</f>
        <v>0</v>
      </c>
      <c r="P20" s="432"/>
    </row>
    <row r="21" spans="1:19">
      <c r="A21" s="231"/>
      <c r="B21" s="427"/>
      <c r="C21" s="427"/>
      <c r="D21" s="427"/>
      <c r="E21" s="427"/>
      <c r="F21" s="427"/>
      <c r="G21" s="427"/>
      <c r="H21" s="427"/>
      <c r="I21" s="427"/>
      <c r="J21" s="427"/>
      <c r="K21" s="427"/>
      <c r="L21" s="427"/>
      <c r="M21" s="427"/>
      <c r="N21" s="428"/>
      <c r="P21" s="432"/>
    </row>
    <row r="22" spans="1:19">
      <c r="A22" s="228"/>
      <c r="B22" s="427" t="s">
        <v>56</v>
      </c>
      <c r="C22" s="427" t="s">
        <v>56</v>
      </c>
      <c r="D22" s="427" t="s">
        <v>56</v>
      </c>
      <c r="E22" s="427"/>
      <c r="F22" s="427" t="s">
        <v>56</v>
      </c>
      <c r="G22" s="427"/>
      <c r="H22" s="433" t="s">
        <v>56</v>
      </c>
      <c r="I22" s="433" t="s">
        <v>56</v>
      </c>
      <c r="J22" s="433" t="s">
        <v>56</v>
      </c>
      <c r="K22" s="433" t="s">
        <v>56</v>
      </c>
      <c r="L22" s="433" t="s">
        <v>56</v>
      </c>
      <c r="M22" s="433" t="s">
        <v>56</v>
      </c>
      <c r="N22" s="428" t="s">
        <v>56</v>
      </c>
      <c r="P22" s="432"/>
    </row>
    <row r="23" spans="1:19">
      <c r="A23" s="228" t="s">
        <v>311</v>
      </c>
      <c r="B23" s="427">
        <v>0</v>
      </c>
      <c r="C23" s="427">
        <v>0</v>
      </c>
      <c r="D23" s="427">
        <v>0</v>
      </c>
      <c r="E23" s="427">
        <v>0</v>
      </c>
      <c r="F23" s="427">
        <v>0</v>
      </c>
      <c r="G23" s="427">
        <v>0</v>
      </c>
      <c r="H23" s="433">
        <v>0</v>
      </c>
      <c r="I23" s="433">
        <v>0</v>
      </c>
      <c r="J23" s="433">
        <v>0</v>
      </c>
      <c r="K23" s="433">
        <v>0</v>
      </c>
      <c r="L23" s="433">
        <v>0</v>
      </c>
      <c r="M23" s="433">
        <v>0</v>
      </c>
      <c r="N23" s="428">
        <f>SUM(B23:M23)</f>
        <v>0</v>
      </c>
      <c r="P23" s="432"/>
    </row>
    <row r="24" spans="1:19">
      <c r="A24" s="378" t="s">
        <v>313</v>
      </c>
      <c r="B24" s="430">
        <f t="shared" ref="B24:M24" si="2">SUM(B23:B23)</f>
        <v>0</v>
      </c>
      <c r="C24" s="430">
        <f t="shared" si="2"/>
        <v>0</v>
      </c>
      <c r="D24" s="430">
        <f t="shared" si="2"/>
        <v>0</v>
      </c>
      <c r="E24" s="430">
        <f t="shared" si="2"/>
        <v>0</v>
      </c>
      <c r="F24" s="430">
        <f t="shared" si="2"/>
        <v>0</v>
      </c>
      <c r="G24" s="430">
        <f t="shared" si="2"/>
        <v>0</v>
      </c>
      <c r="H24" s="430">
        <f t="shared" si="2"/>
        <v>0</v>
      </c>
      <c r="I24" s="430">
        <f t="shared" si="2"/>
        <v>0</v>
      </c>
      <c r="J24" s="430">
        <f t="shared" si="2"/>
        <v>0</v>
      </c>
      <c r="K24" s="430">
        <f t="shared" si="2"/>
        <v>0</v>
      </c>
      <c r="L24" s="430">
        <f t="shared" si="2"/>
        <v>0</v>
      </c>
      <c r="M24" s="430">
        <f t="shared" si="2"/>
        <v>0</v>
      </c>
      <c r="N24" s="431">
        <f>SUM(B24:M24)</f>
        <v>0</v>
      </c>
      <c r="P24" s="432"/>
    </row>
    <row r="25" spans="1:19">
      <c r="A25" s="232"/>
      <c r="B25" s="427"/>
      <c r="C25" s="427"/>
      <c r="D25" s="427"/>
      <c r="E25" s="427"/>
      <c r="F25" s="427"/>
      <c r="G25" s="434"/>
      <c r="H25" s="427"/>
      <c r="I25" s="434"/>
      <c r="J25" s="427"/>
      <c r="K25" s="427"/>
      <c r="L25" s="434"/>
      <c r="M25" s="427"/>
      <c r="N25" s="428"/>
    </row>
    <row r="26" spans="1:19">
      <c r="A26" s="233"/>
      <c r="B26" s="427"/>
      <c r="C26" s="427"/>
      <c r="D26" s="427"/>
      <c r="E26" s="427"/>
      <c r="F26" s="427"/>
      <c r="G26" s="427"/>
      <c r="H26" s="427"/>
      <c r="I26" s="427"/>
      <c r="J26" s="427"/>
      <c r="K26" s="427"/>
      <c r="L26" s="427"/>
      <c r="M26" s="427"/>
      <c r="N26" s="428"/>
    </row>
    <row r="27" spans="1:19">
      <c r="A27" s="233" t="s">
        <v>286</v>
      </c>
      <c r="B27" s="427">
        <v>0</v>
      </c>
      <c r="C27" s="427">
        <v>0</v>
      </c>
      <c r="D27" s="427">
        <v>0</v>
      </c>
      <c r="E27" s="427">
        <v>0</v>
      </c>
      <c r="F27" s="427">
        <v>0</v>
      </c>
      <c r="G27" s="427">
        <v>0</v>
      </c>
      <c r="H27" s="433">
        <v>0</v>
      </c>
      <c r="I27" s="433">
        <v>0</v>
      </c>
      <c r="J27" s="433">
        <v>0</v>
      </c>
      <c r="K27" s="433">
        <v>0</v>
      </c>
      <c r="L27" s="433">
        <v>0</v>
      </c>
      <c r="M27" s="433">
        <v>0</v>
      </c>
      <c r="N27" s="428">
        <f>SUM(B27:M27)</f>
        <v>0</v>
      </c>
    </row>
    <row r="28" spans="1:19">
      <c r="A28" s="426"/>
      <c r="B28" s="427"/>
      <c r="C28" s="427"/>
      <c r="D28" s="427"/>
      <c r="E28" s="427"/>
      <c r="F28" s="427"/>
      <c r="G28" s="427"/>
      <c r="H28" s="433"/>
      <c r="I28" s="433"/>
      <c r="J28" s="433"/>
      <c r="K28" s="433"/>
      <c r="L28" s="433"/>
      <c r="M28" s="435"/>
      <c r="N28" s="428" t="s">
        <v>56</v>
      </c>
    </row>
    <row r="29" spans="1:19">
      <c r="A29" s="379" t="s">
        <v>292</v>
      </c>
      <c r="B29" s="430">
        <f t="shared" ref="B29:G29" si="3">SUM(B27:B28)</f>
        <v>0</v>
      </c>
      <c r="C29" s="430">
        <f t="shared" si="3"/>
        <v>0</v>
      </c>
      <c r="D29" s="430">
        <f t="shared" si="3"/>
        <v>0</v>
      </c>
      <c r="E29" s="430">
        <f t="shared" si="3"/>
        <v>0</v>
      </c>
      <c r="F29" s="430">
        <f t="shared" si="3"/>
        <v>0</v>
      </c>
      <c r="G29" s="430">
        <f t="shared" si="3"/>
        <v>0</v>
      </c>
      <c r="H29" s="430">
        <f>SUM(H26:H28)</f>
        <v>0</v>
      </c>
      <c r="I29" s="430">
        <f>SUM(I26:I28)</f>
        <v>0</v>
      </c>
      <c r="J29" s="430">
        <f>SUM(J27:J28)</f>
        <v>0</v>
      </c>
      <c r="K29" s="430">
        <f>SUM(K27:K28)</f>
        <v>0</v>
      </c>
      <c r="L29" s="430">
        <f>SUM(L27:L28)</f>
        <v>0</v>
      </c>
      <c r="M29" s="430">
        <f>SUM(M27:M28)</f>
        <v>0</v>
      </c>
      <c r="N29" s="431">
        <f>SUM(B29:M29)</f>
        <v>0</v>
      </c>
      <c r="O29" s="429"/>
    </row>
    <row r="30" spans="1:19" ht="10.5" customHeight="1">
      <c r="A30" s="436"/>
      <c r="B30" s="434"/>
      <c r="C30" s="434"/>
      <c r="D30" s="434"/>
      <c r="E30" s="434"/>
      <c r="F30" s="434"/>
      <c r="G30" s="434"/>
      <c r="H30" s="434"/>
      <c r="I30" s="434"/>
      <c r="J30" s="434"/>
      <c r="K30" s="434"/>
      <c r="L30" s="434"/>
      <c r="M30" s="434"/>
      <c r="N30" s="437"/>
    </row>
    <row r="31" spans="1:19" ht="15" customHeight="1">
      <c r="A31" s="377" t="s">
        <v>314</v>
      </c>
      <c r="B31" s="438">
        <v>0</v>
      </c>
      <c r="C31" s="438">
        <v>0</v>
      </c>
      <c r="D31" s="438">
        <v>0</v>
      </c>
      <c r="E31" s="438">
        <v>0</v>
      </c>
      <c r="F31" s="438">
        <v>0</v>
      </c>
      <c r="G31" s="438">
        <v>0</v>
      </c>
      <c r="H31" s="438">
        <v>0</v>
      </c>
      <c r="I31" s="438">
        <v>0</v>
      </c>
      <c r="J31" s="430">
        <v>0</v>
      </c>
      <c r="K31" s="430">
        <v>0</v>
      </c>
      <c r="L31" s="438">
        <v>0</v>
      </c>
      <c r="M31" s="438">
        <v>0</v>
      </c>
      <c r="N31" s="439">
        <f>SUM(B31:M31)</f>
        <v>0</v>
      </c>
      <c r="O31" s="440"/>
      <c r="P31" s="440"/>
      <c r="Q31" s="440"/>
      <c r="R31" s="440"/>
      <c r="S31" s="441"/>
    </row>
    <row r="32" spans="1:19" ht="15" customHeight="1" thickBot="1">
      <c r="A32" s="234" t="s">
        <v>335</v>
      </c>
      <c r="B32" s="390">
        <f t="shared" ref="B32:M32" si="4">B13+B20+B24+B29+B31</f>
        <v>0</v>
      </c>
      <c r="C32" s="390">
        <f t="shared" si="4"/>
        <v>0</v>
      </c>
      <c r="D32" s="390">
        <f t="shared" si="4"/>
        <v>0</v>
      </c>
      <c r="E32" s="390">
        <f t="shared" si="4"/>
        <v>0</v>
      </c>
      <c r="F32" s="390">
        <f t="shared" si="4"/>
        <v>0</v>
      </c>
      <c r="G32" s="390">
        <f t="shared" si="4"/>
        <v>0</v>
      </c>
      <c r="H32" s="390">
        <f t="shared" si="4"/>
        <v>0</v>
      </c>
      <c r="I32" s="390">
        <f t="shared" si="4"/>
        <v>11.920999999999999</v>
      </c>
      <c r="J32" s="390">
        <f t="shared" si="4"/>
        <v>27.074999999999999</v>
      </c>
      <c r="K32" s="390">
        <f t="shared" si="4"/>
        <v>19.593</v>
      </c>
      <c r="L32" s="390">
        <f t="shared" si="4"/>
        <v>10.93</v>
      </c>
      <c r="M32" s="390">
        <f t="shared" si="4"/>
        <v>-68.924000000000007</v>
      </c>
      <c r="N32" s="391">
        <f>SUM(B32:M32)</f>
        <v>0.59499999999999886</v>
      </c>
      <c r="O32" s="440"/>
      <c r="P32" s="440"/>
      <c r="Q32" s="440"/>
      <c r="R32" s="440"/>
      <c r="S32" s="441"/>
    </row>
    <row r="33" spans="1:15" s="423" customFormat="1" ht="26.25" customHeight="1" thickBot="1">
      <c r="A33" s="366" t="s">
        <v>336</v>
      </c>
      <c r="B33" s="392">
        <f t="shared" ref="B33:M33" si="5">B32</f>
        <v>0</v>
      </c>
      <c r="C33" s="392">
        <f t="shared" si="5"/>
        <v>0</v>
      </c>
      <c r="D33" s="392">
        <f t="shared" si="5"/>
        <v>0</v>
      </c>
      <c r="E33" s="392">
        <f t="shared" si="5"/>
        <v>0</v>
      </c>
      <c r="F33" s="392">
        <f t="shared" si="5"/>
        <v>0</v>
      </c>
      <c r="G33" s="392">
        <f t="shared" si="5"/>
        <v>0</v>
      </c>
      <c r="H33" s="392">
        <f t="shared" si="5"/>
        <v>0</v>
      </c>
      <c r="I33" s="392">
        <f t="shared" si="5"/>
        <v>11.920999999999999</v>
      </c>
      <c r="J33" s="392">
        <f t="shared" si="5"/>
        <v>27.074999999999999</v>
      </c>
      <c r="K33" s="392">
        <f t="shared" si="5"/>
        <v>19.593</v>
      </c>
      <c r="L33" s="392">
        <f t="shared" si="5"/>
        <v>10.93</v>
      </c>
      <c r="M33" s="392">
        <f t="shared" si="5"/>
        <v>-68.924000000000007</v>
      </c>
      <c r="N33" s="393">
        <f>SUM(B33:M33)</f>
        <v>0.59499999999999886</v>
      </c>
      <c r="O33" s="442"/>
    </row>
    <row r="34" spans="1:15">
      <c r="A34" s="33"/>
      <c r="B34" s="34"/>
      <c r="C34" s="34"/>
      <c r="D34" s="34"/>
      <c r="E34" s="34"/>
      <c r="F34" s="34"/>
      <c r="G34" s="34"/>
      <c r="H34" s="34"/>
      <c r="I34" s="34"/>
      <c r="J34" s="34"/>
      <c r="K34" s="34"/>
      <c r="L34" s="34"/>
      <c r="M34" s="34"/>
      <c r="N34" s="34"/>
    </row>
    <row r="35" spans="1:15" ht="15">
      <c r="A35" s="298" t="s">
        <v>67</v>
      </c>
      <c r="B35" s="299"/>
      <c r="C35" s="299"/>
      <c r="D35" s="299"/>
      <c r="E35" s="299"/>
      <c r="F35" s="299"/>
      <c r="G35" s="299"/>
      <c r="H35" s="299"/>
      <c r="I35" s="299"/>
      <c r="J35" s="299"/>
      <c r="K35" s="299"/>
      <c r="L35" s="299"/>
      <c r="M35" s="299"/>
      <c r="N35" s="299"/>
    </row>
    <row r="36" spans="1:15" ht="15">
      <c r="A36" s="364" t="s">
        <v>337</v>
      </c>
      <c r="B36" s="365"/>
      <c r="C36" s="365"/>
      <c r="D36" s="365"/>
      <c r="E36" s="365"/>
      <c r="F36" s="365"/>
      <c r="G36" s="365"/>
      <c r="H36" s="365"/>
      <c r="I36" s="365"/>
      <c r="J36" s="365"/>
      <c r="K36" s="365"/>
      <c r="L36" s="365"/>
      <c r="M36" s="365"/>
      <c r="N36" s="365"/>
    </row>
    <row r="37" spans="1:15" ht="15" customHeight="1">
      <c r="A37" s="707" t="s">
        <v>372</v>
      </c>
      <c r="B37" s="707"/>
      <c r="C37" s="707"/>
      <c r="D37" s="707"/>
      <c r="E37" s="707"/>
      <c r="F37" s="707"/>
      <c r="G37" s="707"/>
      <c r="H37" s="707"/>
      <c r="I37" s="707"/>
      <c r="J37" s="707"/>
      <c r="K37" s="707"/>
      <c r="L37" s="707"/>
      <c r="M37" s="707"/>
      <c r="N37" s="707"/>
    </row>
    <row r="38" spans="1:15" ht="15">
      <c r="A38" s="165" t="s">
        <v>79</v>
      </c>
      <c r="E38" s="91"/>
    </row>
    <row r="39" spans="1:15">
      <c r="H39" s="429"/>
    </row>
  </sheetData>
  <mergeCells count="1">
    <mergeCell ref="A37:N37"/>
  </mergeCells>
  <printOptions horizontalCentered="1"/>
  <pageMargins left="0" right="0" top="0.55000000000000004" bottom="0.17" header="0.3" footer="0.15"/>
  <pageSetup paperSize="5" scale="66" orientation="landscape" cellComments="atEnd" r:id="rId1"/>
  <headerFooter alignWithMargins="0">
    <oddHeader xml:space="preserve">&amp;C&amp;"Arial,Bold"
</oddHeader>
    <oddFooter>&amp;Rpage 11 of 11
&amp;A
&amp;D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5E7D8-7D1A-4CB1-B6E4-80E7D2115F15}">
  <sheetPr>
    <pageSetUpPr fitToPage="1"/>
  </sheetPr>
  <dimension ref="A1:S39"/>
  <sheetViews>
    <sheetView showGridLines="0" tabSelected="1" zoomScale="90" zoomScaleNormal="90" zoomScaleSheetLayoutView="75" workbookViewId="0">
      <selection activeCell="I60" sqref="I60"/>
    </sheetView>
  </sheetViews>
  <sheetFormatPr defaultColWidth="9.28515625" defaultRowHeight="12.75"/>
  <cols>
    <col min="1" max="1" width="55.28515625" style="422" customWidth="1"/>
    <col min="2" max="13" width="11.5703125" style="422" customWidth="1"/>
    <col min="14" max="14" width="15.7109375" style="422" bestFit="1" customWidth="1"/>
    <col min="15" max="15" width="9.7109375" style="422" bestFit="1" customWidth="1"/>
    <col min="16" max="16" width="22.7109375" style="422" bestFit="1" customWidth="1"/>
    <col min="17" max="17" width="22.28515625" style="422" customWidth="1"/>
    <col min="18" max="16384" width="9.28515625" style="422"/>
  </cols>
  <sheetData>
    <row r="1" spans="1:16" ht="15">
      <c r="A1" s="582"/>
    </row>
    <row r="3" spans="1:16">
      <c r="E3" s="113" t="s">
        <v>353</v>
      </c>
    </row>
    <row r="4" spans="1:16">
      <c r="C4" s="423"/>
      <c r="D4" s="423"/>
      <c r="E4" s="125" t="s">
        <v>382</v>
      </c>
      <c r="F4" s="423"/>
      <c r="G4" s="423"/>
    </row>
    <row r="5" spans="1:16">
      <c r="D5" s="423"/>
      <c r="E5" s="144">
        <v>44531</v>
      </c>
      <c r="F5" s="423"/>
    </row>
    <row r="6" spans="1:16">
      <c r="E6" s="144"/>
    </row>
    <row r="7" spans="1:16" ht="13.5" thickBot="1">
      <c r="A7" s="21"/>
    </row>
    <row r="8" spans="1:16" ht="32.25" customHeight="1" thickBot="1">
      <c r="A8" s="265" t="s">
        <v>264</v>
      </c>
      <c r="B8" s="23" t="s">
        <v>41</v>
      </c>
      <c r="C8" s="23" t="s">
        <v>42</v>
      </c>
      <c r="D8" s="23" t="s">
        <v>43</v>
      </c>
      <c r="E8" s="23" t="s">
        <v>44</v>
      </c>
      <c r="F8" s="23" t="s">
        <v>31</v>
      </c>
      <c r="G8" s="23" t="s">
        <v>45</v>
      </c>
      <c r="H8" s="23" t="s">
        <v>59</v>
      </c>
      <c r="I8" s="23" t="s">
        <v>60</v>
      </c>
      <c r="J8" s="23" t="s">
        <v>61</v>
      </c>
      <c r="K8" s="23" t="s">
        <v>62</v>
      </c>
      <c r="L8" s="23" t="s">
        <v>63</v>
      </c>
      <c r="M8" s="23" t="s">
        <v>64</v>
      </c>
      <c r="N8" s="322" t="s">
        <v>303</v>
      </c>
    </row>
    <row r="9" spans="1:16" ht="25.5">
      <c r="A9" s="266" t="s">
        <v>355</v>
      </c>
      <c r="B9" s="424"/>
      <c r="C9" s="424"/>
      <c r="N9" s="425"/>
    </row>
    <row r="10" spans="1:16" ht="6" customHeight="1">
      <c r="A10" s="228"/>
      <c r="B10" s="424"/>
      <c r="C10" s="424"/>
      <c r="N10" s="426"/>
    </row>
    <row r="11" spans="1:16">
      <c r="A11" s="228" t="s">
        <v>266</v>
      </c>
      <c r="B11" s="424"/>
      <c r="C11" s="424"/>
      <c r="N11" s="426"/>
    </row>
    <row r="12" spans="1:16">
      <c r="A12" s="229" t="s">
        <v>383</v>
      </c>
      <c r="B12" s="583">
        <v>0</v>
      </c>
      <c r="C12" s="583">
        <v>0</v>
      </c>
      <c r="D12" s="583">
        <v>0</v>
      </c>
      <c r="E12" s="583">
        <v>0</v>
      </c>
      <c r="F12" s="583">
        <v>0</v>
      </c>
      <c r="G12" s="583">
        <v>0</v>
      </c>
      <c r="H12" s="583">
        <v>0</v>
      </c>
      <c r="I12" s="583">
        <v>0</v>
      </c>
      <c r="J12" s="583">
        <v>0</v>
      </c>
      <c r="K12" s="583">
        <v>0</v>
      </c>
      <c r="L12" s="583">
        <v>0</v>
      </c>
      <c r="M12" s="583">
        <v>0</v>
      </c>
      <c r="N12" s="428">
        <f>SUM(B12:M12)</f>
        <v>0</v>
      </c>
    </row>
    <row r="13" spans="1:16">
      <c r="A13" s="229" t="s">
        <v>384</v>
      </c>
      <c r="B13" s="583">
        <v>0</v>
      </c>
      <c r="C13" s="583">
        <v>0</v>
      </c>
      <c r="D13" s="583">
        <v>0</v>
      </c>
      <c r="E13" s="583">
        <v>0</v>
      </c>
      <c r="F13" s="583">
        <v>0</v>
      </c>
      <c r="G13" s="583">
        <v>0</v>
      </c>
      <c r="H13" s="583">
        <v>0</v>
      </c>
      <c r="I13" s="583">
        <v>0</v>
      </c>
      <c r="J13" s="583">
        <v>0</v>
      </c>
      <c r="K13" s="583">
        <v>177.13106999999999</v>
      </c>
      <c r="L13" s="583">
        <v>0</v>
      </c>
      <c r="M13" s="583">
        <v>455.71501999999998</v>
      </c>
      <c r="N13" s="428">
        <f>SUM(B13:M13)</f>
        <v>632.84609</v>
      </c>
    </row>
    <row r="14" spans="1:16">
      <c r="A14" s="376" t="s">
        <v>307</v>
      </c>
      <c r="B14" s="430">
        <f t="shared" ref="B14:M14" si="0">SUM(B12:B13)</f>
        <v>0</v>
      </c>
      <c r="C14" s="430">
        <f t="shared" si="0"/>
        <v>0</v>
      </c>
      <c r="D14" s="430">
        <f t="shared" si="0"/>
        <v>0</v>
      </c>
      <c r="E14" s="430">
        <f t="shared" si="0"/>
        <v>0</v>
      </c>
      <c r="F14" s="430">
        <f t="shared" si="0"/>
        <v>0</v>
      </c>
      <c r="G14" s="430">
        <f t="shared" si="0"/>
        <v>0</v>
      </c>
      <c r="H14" s="430">
        <f t="shared" si="0"/>
        <v>0</v>
      </c>
      <c r="I14" s="430">
        <f t="shared" si="0"/>
        <v>0</v>
      </c>
      <c r="J14" s="430">
        <f t="shared" si="0"/>
        <v>0</v>
      </c>
      <c r="K14" s="430">
        <f t="shared" si="0"/>
        <v>177.13106999999999</v>
      </c>
      <c r="L14" s="430">
        <f t="shared" si="0"/>
        <v>0</v>
      </c>
      <c r="M14" s="430">
        <f t="shared" si="0"/>
        <v>455.71501999999998</v>
      </c>
      <c r="N14" s="431">
        <f>SUM(B14:M14)</f>
        <v>632.84609</v>
      </c>
    </row>
    <row r="15" spans="1:16">
      <c r="A15" s="426"/>
      <c r="B15" s="427"/>
      <c r="C15" s="427"/>
      <c r="D15" s="427"/>
      <c r="E15" s="427"/>
      <c r="F15" s="427"/>
      <c r="G15" s="427"/>
      <c r="H15" s="427"/>
      <c r="I15" s="427"/>
      <c r="J15" s="427" t="s">
        <v>56</v>
      </c>
      <c r="K15" s="427"/>
      <c r="L15" s="427"/>
      <c r="M15" s="427"/>
      <c r="N15" s="428"/>
      <c r="P15" s="432"/>
    </row>
    <row r="16" spans="1:16">
      <c r="A16" s="228" t="s">
        <v>321</v>
      </c>
      <c r="B16" s="427"/>
      <c r="C16" s="427"/>
      <c r="D16" s="427"/>
      <c r="E16" s="427"/>
      <c r="F16" s="427"/>
      <c r="G16" s="427"/>
      <c r="H16" s="427"/>
      <c r="I16" s="427"/>
      <c r="J16" s="427"/>
      <c r="K16" s="427"/>
      <c r="L16" s="427"/>
      <c r="M16" s="427"/>
      <c r="N16" s="428"/>
      <c r="P16" s="432"/>
    </row>
    <row r="17" spans="1:19">
      <c r="A17" s="229" t="s">
        <v>322</v>
      </c>
      <c r="B17" s="583">
        <v>0</v>
      </c>
      <c r="C17" s="583">
        <v>0</v>
      </c>
      <c r="D17" s="583">
        <v>0</v>
      </c>
      <c r="E17" s="583">
        <v>0</v>
      </c>
      <c r="F17" s="583">
        <v>0</v>
      </c>
      <c r="G17" s="583">
        <v>0</v>
      </c>
      <c r="H17" s="583">
        <v>0</v>
      </c>
      <c r="I17" s="583">
        <v>0</v>
      </c>
      <c r="J17" s="583">
        <v>0</v>
      </c>
      <c r="K17" s="583">
        <v>0</v>
      </c>
      <c r="L17" s="583">
        <v>0</v>
      </c>
      <c r="M17" s="583">
        <v>0</v>
      </c>
      <c r="N17" s="428">
        <f>SUM(B17:M17)</f>
        <v>0</v>
      </c>
      <c r="P17" s="432"/>
    </row>
    <row r="18" spans="1:19">
      <c r="A18" s="229" t="s">
        <v>329</v>
      </c>
      <c r="B18" s="583">
        <v>0</v>
      </c>
      <c r="C18" s="583">
        <v>0</v>
      </c>
      <c r="D18" s="583">
        <v>0</v>
      </c>
      <c r="E18" s="583">
        <v>0</v>
      </c>
      <c r="F18" s="583">
        <v>0</v>
      </c>
      <c r="G18" s="583">
        <v>0</v>
      </c>
      <c r="H18" s="583">
        <v>0</v>
      </c>
      <c r="I18" s="583">
        <v>0</v>
      </c>
      <c r="J18" s="583">
        <v>0</v>
      </c>
      <c r="K18" s="583">
        <v>0</v>
      </c>
      <c r="L18" s="583">
        <v>0</v>
      </c>
      <c r="M18" s="583">
        <v>0</v>
      </c>
      <c r="N18" s="428">
        <f>SUM(B18:M18)</f>
        <v>0</v>
      </c>
      <c r="P18" s="432"/>
    </row>
    <row r="19" spans="1:19">
      <c r="A19" s="229" t="s">
        <v>330</v>
      </c>
      <c r="B19" s="583">
        <v>0</v>
      </c>
      <c r="C19" s="583">
        <v>0</v>
      </c>
      <c r="D19" s="583">
        <v>0</v>
      </c>
      <c r="E19" s="583">
        <v>0</v>
      </c>
      <c r="F19" s="583">
        <v>0</v>
      </c>
      <c r="G19" s="583">
        <v>0</v>
      </c>
      <c r="H19" s="583">
        <v>0</v>
      </c>
      <c r="I19" s="583">
        <v>0</v>
      </c>
      <c r="J19" s="583">
        <v>0</v>
      </c>
      <c r="K19" s="583">
        <v>0</v>
      </c>
      <c r="L19" s="583">
        <v>0</v>
      </c>
      <c r="M19" s="583">
        <v>0</v>
      </c>
      <c r="N19" s="428">
        <f>SUM(B19:M19)</f>
        <v>0</v>
      </c>
      <c r="P19" s="432"/>
    </row>
    <row r="20" spans="1:19">
      <c r="A20" s="231" t="s">
        <v>325</v>
      </c>
      <c r="B20" s="583">
        <v>0</v>
      </c>
      <c r="C20" s="583">
        <v>0</v>
      </c>
      <c r="D20" s="583">
        <v>0</v>
      </c>
      <c r="E20" s="583">
        <v>0</v>
      </c>
      <c r="F20" s="583">
        <v>0</v>
      </c>
      <c r="G20" s="583">
        <v>0</v>
      </c>
      <c r="H20" s="583">
        <v>0</v>
      </c>
      <c r="I20" s="583">
        <v>0</v>
      </c>
      <c r="J20" s="583">
        <v>0</v>
      </c>
      <c r="K20" s="583">
        <v>0</v>
      </c>
      <c r="L20" s="583">
        <v>0</v>
      </c>
      <c r="M20" s="583">
        <v>0</v>
      </c>
      <c r="N20" s="428">
        <f>SUM(B20:M20)</f>
        <v>0</v>
      </c>
      <c r="P20" s="432"/>
    </row>
    <row r="21" spans="1:19">
      <c r="A21" s="377" t="s">
        <v>310</v>
      </c>
      <c r="B21" s="430">
        <f t="shared" ref="B21:M21" si="1">SUM(B17:B20)</f>
        <v>0</v>
      </c>
      <c r="C21" s="430">
        <f t="shared" si="1"/>
        <v>0</v>
      </c>
      <c r="D21" s="430">
        <f t="shared" si="1"/>
        <v>0</v>
      </c>
      <c r="E21" s="430">
        <f t="shared" si="1"/>
        <v>0</v>
      </c>
      <c r="F21" s="430">
        <f t="shared" si="1"/>
        <v>0</v>
      </c>
      <c r="G21" s="430">
        <f t="shared" si="1"/>
        <v>0</v>
      </c>
      <c r="H21" s="430">
        <f t="shared" si="1"/>
        <v>0</v>
      </c>
      <c r="I21" s="430">
        <f t="shared" si="1"/>
        <v>0</v>
      </c>
      <c r="J21" s="430">
        <f t="shared" si="1"/>
        <v>0</v>
      </c>
      <c r="K21" s="430">
        <f t="shared" si="1"/>
        <v>0</v>
      </c>
      <c r="L21" s="430">
        <f t="shared" si="1"/>
        <v>0</v>
      </c>
      <c r="M21" s="430">
        <f t="shared" si="1"/>
        <v>0</v>
      </c>
      <c r="N21" s="431">
        <f>SUM(B21:M21)</f>
        <v>0</v>
      </c>
      <c r="P21" s="432"/>
    </row>
    <row r="22" spans="1:19">
      <c r="A22" s="231"/>
      <c r="B22" s="427"/>
      <c r="C22" s="427"/>
      <c r="D22" s="427"/>
      <c r="E22" s="427"/>
      <c r="F22" s="427"/>
      <c r="G22" s="427"/>
      <c r="H22" s="427"/>
      <c r="I22" s="427"/>
      <c r="J22" s="427"/>
      <c r="K22" s="427"/>
      <c r="L22" s="427"/>
      <c r="M22" s="427"/>
      <c r="N22" s="428"/>
      <c r="P22" s="432"/>
    </row>
    <row r="23" spans="1:19">
      <c r="A23" s="228"/>
      <c r="B23" s="427" t="s">
        <v>56</v>
      </c>
      <c r="C23" s="427" t="s">
        <v>56</v>
      </c>
      <c r="D23" s="427" t="s">
        <v>56</v>
      </c>
      <c r="E23" s="427"/>
      <c r="F23" s="427" t="s">
        <v>56</v>
      </c>
      <c r="G23" s="427"/>
      <c r="H23" s="433" t="s">
        <v>56</v>
      </c>
      <c r="I23" s="433" t="s">
        <v>56</v>
      </c>
      <c r="J23" s="433" t="s">
        <v>56</v>
      </c>
      <c r="K23" s="433" t="s">
        <v>56</v>
      </c>
      <c r="L23" s="433" t="s">
        <v>56</v>
      </c>
      <c r="M23" s="433" t="s">
        <v>56</v>
      </c>
      <c r="N23" s="428" t="s">
        <v>56</v>
      </c>
      <c r="P23" s="432"/>
    </row>
    <row r="24" spans="1:19">
      <c r="A24" s="228" t="s">
        <v>311</v>
      </c>
      <c r="B24" s="583">
        <v>0</v>
      </c>
      <c r="C24" s="583">
        <v>0</v>
      </c>
      <c r="D24" s="583">
        <v>0</v>
      </c>
      <c r="E24" s="583">
        <v>0</v>
      </c>
      <c r="F24" s="583">
        <v>0</v>
      </c>
      <c r="G24" s="583">
        <v>0</v>
      </c>
      <c r="H24" s="584">
        <v>0</v>
      </c>
      <c r="I24" s="584">
        <v>0</v>
      </c>
      <c r="J24" s="584">
        <v>0</v>
      </c>
      <c r="K24" s="584">
        <v>0</v>
      </c>
      <c r="L24" s="584">
        <v>0</v>
      </c>
      <c r="M24" s="584">
        <v>0</v>
      </c>
      <c r="N24" s="428">
        <f>SUM(B24:M24)</f>
        <v>0</v>
      </c>
      <c r="P24" s="432"/>
    </row>
    <row r="25" spans="1:19">
      <c r="A25" s="378" t="s">
        <v>313</v>
      </c>
      <c r="B25" s="430">
        <f t="shared" ref="B25:M25" si="2">SUM(B24:B24)</f>
        <v>0</v>
      </c>
      <c r="C25" s="430">
        <f t="shared" si="2"/>
        <v>0</v>
      </c>
      <c r="D25" s="430">
        <f t="shared" si="2"/>
        <v>0</v>
      </c>
      <c r="E25" s="430">
        <f t="shared" si="2"/>
        <v>0</v>
      </c>
      <c r="F25" s="430">
        <f t="shared" si="2"/>
        <v>0</v>
      </c>
      <c r="G25" s="430">
        <f t="shared" si="2"/>
        <v>0</v>
      </c>
      <c r="H25" s="430">
        <f t="shared" si="2"/>
        <v>0</v>
      </c>
      <c r="I25" s="430">
        <f t="shared" si="2"/>
        <v>0</v>
      </c>
      <c r="J25" s="430">
        <f t="shared" si="2"/>
        <v>0</v>
      </c>
      <c r="K25" s="430">
        <f t="shared" si="2"/>
        <v>0</v>
      </c>
      <c r="L25" s="430">
        <f t="shared" si="2"/>
        <v>0</v>
      </c>
      <c r="M25" s="430">
        <f t="shared" si="2"/>
        <v>0</v>
      </c>
      <c r="N25" s="431">
        <f>SUM(B25:M25)</f>
        <v>0</v>
      </c>
      <c r="P25" s="432"/>
    </row>
    <row r="26" spans="1:19">
      <c r="A26" s="232"/>
      <c r="B26" s="427"/>
      <c r="C26" s="427"/>
      <c r="D26" s="427"/>
      <c r="E26" s="427"/>
      <c r="F26" s="427"/>
      <c r="G26" s="434"/>
      <c r="H26" s="427"/>
      <c r="I26" s="434"/>
      <c r="J26" s="427"/>
      <c r="K26" s="427"/>
      <c r="L26" s="434"/>
      <c r="M26" s="427"/>
      <c r="N26" s="428"/>
    </row>
    <row r="27" spans="1:19">
      <c r="A27" s="233"/>
      <c r="B27" s="427"/>
      <c r="C27" s="427"/>
      <c r="D27" s="427"/>
      <c r="E27" s="427"/>
      <c r="F27" s="427"/>
      <c r="G27" s="427"/>
      <c r="H27" s="427"/>
      <c r="I27" s="427"/>
      <c r="J27" s="427"/>
      <c r="K27" s="427"/>
      <c r="L27" s="427"/>
      <c r="M27" s="427"/>
      <c r="N27" s="428"/>
    </row>
    <row r="28" spans="1:19">
      <c r="A28" s="233" t="s">
        <v>286</v>
      </c>
      <c r="B28" s="583">
        <v>0</v>
      </c>
      <c r="C28" s="583">
        <v>0</v>
      </c>
      <c r="D28" s="583">
        <v>0</v>
      </c>
      <c r="E28" s="583">
        <v>0</v>
      </c>
      <c r="F28" s="583">
        <v>0</v>
      </c>
      <c r="G28" s="583">
        <v>0</v>
      </c>
      <c r="H28" s="584">
        <v>0</v>
      </c>
      <c r="I28" s="584">
        <v>0</v>
      </c>
      <c r="J28" s="584">
        <v>0</v>
      </c>
      <c r="K28" s="584">
        <v>0</v>
      </c>
      <c r="L28" s="584">
        <v>0</v>
      </c>
      <c r="M28" s="584">
        <v>0</v>
      </c>
      <c r="N28" s="428">
        <f>SUM(B28:M28)</f>
        <v>0</v>
      </c>
    </row>
    <row r="29" spans="1:19">
      <c r="A29" s="379" t="s">
        <v>292</v>
      </c>
      <c r="B29" s="430">
        <f t="shared" ref="B29:G29" si="3">SUM(B28:B28)</f>
        <v>0</v>
      </c>
      <c r="C29" s="430">
        <f t="shared" si="3"/>
        <v>0</v>
      </c>
      <c r="D29" s="430">
        <f t="shared" si="3"/>
        <v>0</v>
      </c>
      <c r="E29" s="430">
        <f t="shared" si="3"/>
        <v>0</v>
      </c>
      <c r="F29" s="430">
        <f t="shared" si="3"/>
        <v>0</v>
      </c>
      <c r="G29" s="430">
        <f t="shared" si="3"/>
        <v>0</v>
      </c>
      <c r="H29" s="430">
        <f>SUM(H27:H28)</f>
        <v>0</v>
      </c>
      <c r="I29" s="430">
        <f>SUM(I27:I28)</f>
        <v>0</v>
      </c>
      <c r="J29" s="430">
        <f>SUM(J28:J28)</f>
        <v>0</v>
      </c>
      <c r="K29" s="430">
        <f>SUM(K28:K28)</f>
        <v>0</v>
      </c>
      <c r="L29" s="430">
        <f>SUM(L28:L28)</f>
        <v>0</v>
      </c>
      <c r="M29" s="430">
        <f>SUM(M28:M28)</f>
        <v>0</v>
      </c>
      <c r="N29" s="431">
        <f>SUM(B29:M29)</f>
        <v>0</v>
      </c>
      <c r="O29" s="429"/>
    </row>
    <row r="30" spans="1:19" ht="10.5" customHeight="1">
      <c r="A30" s="436"/>
      <c r="B30" s="434"/>
      <c r="C30" s="434"/>
      <c r="D30" s="434"/>
      <c r="E30" s="434"/>
      <c r="F30" s="434"/>
      <c r="G30" s="434"/>
      <c r="H30" s="434"/>
      <c r="I30" s="434"/>
      <c r="J30" s="434"/>
      <c r="K30" s="434"/>
      <c r="L30" s="434"/>
      <c r="M30" s="434"/>
      <c r="N30" s="437"/>
    </row>
    <row r="31" spans="1:19" ht="15" customHeight="1">
      <c r="A31" s="377" t="s">
        <v>314</v>
      </c>
      <c r="B31" s="585">
        <v>0</v>
      </c>
      <c r="C31" s="585">
        <v>0</v>
      </c>
      <c r="D31" s="585">
        <v>0</v>
      </c>
      <c r="E31" s="585">
        <v>0</v>
      </c>
      <c r="F31" s="585">
        <v>0</v>
      </c>
      <c r="G31" s="585">
        <v>0</v>
      </c>
      <c r="H31" s="585">
        <v>0</v>
      </c>
      <c r="I31" s="585">
        <v>0</v>
      </c>
      <c r="J31" s="586">
        <v>0</v>
      </c>
      <c r="K31" s="586">
        <v>0</v>
      </c>
      <c r="L31" s="585">
        <v>0</v>
      </c>
      <c r="M31" s="585">
        <v>0</v>
      </c>
      <c r="N31" s="439">
        <f>SUM(B31:M31)</f>
        <v>0</v>
      </c>
      <c r="O31" s="440"/>
      <c r="P31" s="440"/>
      <c r="Q31" s="440"/>
      <c r="R31" s="440"/>
      <c r="S31" s="441"/>
    </row>
    <row r="32" spans="1:19" ht="15" customHeight="1" thickBot="1">
      <c r="A32" s="587" t="s">
        <v>331</v>
      </c>
      <c r="B32" s="588">
        <f t="shared" ref="B32:M32" si="4">B14+B21+B25+B29+B31</f>
        <v>0</v>
      </c>
      <c r="C32" s="390">
        <f t="shared" si="4"/>
        <v>0</v>
      </c>
      <c r="D32" s="390">
        <f t="shared" si="4"/>
        <v>0</v>
      </c>
      <c r="E32" s="390">
        <f t="shared" si="4"/>
        <v>0</v>
      </c>
      <c r="F32" s="390">
        <f t="shared" si="4"/>
        <v>0</v>
      </c>
      <c r="G32" s="390">
        <f t="shared" si="4"/>
        <v>0</v>
      </c>
      <c r="H32" s="390">
        <f t="shared" si="4"/>
        <v>0</v>
      </c>
      <c r="I32" s="390">
        <f t="shared" si="4"/>
        <v>0</v>
      </c>
      <c r="J32" s="390">
        <f t="shared" si="4"/>
        <v>0</v>
      </c>
      <c r="K32" s="390">
        <f t="shared" si="4"/>
        <v>177.13106999999999</v>
      </c>
      <c r="L32" s="390">
        <f t="shared" si="4"/>
        <v>0</v>
      </c>
      <c r="M32" s="578">
        <f t="shared" si="4"/>
        <v>455.71501999999998</v>
      </c>
      <c r="N32" s="391">
        <f>SUM(B32:M32)</f>
        <v>632.84609</v>
      </c>
      <c r="O32" s="440"/>
      <c r="P32" s="440"/>
      <c r="Q32" s="440"/>
      <c r="R32" s="440"/>
      <c r="S32" s="441"/>
    </row>
    <row r="33" spans="1:15" s="423" customFormat="1" ht="26.25" customHeight="1" thickBot="1">
      <c r="A33" s="576" t="s">
        <v>332</v>
      </c>
      <c r="B33" s="589">
        <f t="shared" ref="B33:J33" si="5">B32</f>
        <v>0</v>
      </c>
      <c r="C33" s="589">
        <f t="shared" si="5"/>
        <v>0</v>
      </c>
      <c r="D33" s="589">
        <f t="shared" si="5"/>
        <v>0</v>
      </c>
      <c r="E33" s="589">
        <f t="shared" si="5"/>
        <v>0</v>
      </c>
      <c r="F33" s="589">
        <f t="shared" si="5"/>
        <v>0</v>
      </c>
      <c r="G33" s="589">
        <f t="shared" si="5"/>
        <v>0</v>
      </c>
      <c r="H33" s="589">
        <f t="shared" si="5"/>
        <v>0</v>
      </c>
      <c r="I33" s="589">
        <f t="shared" si="5"/>
        <v>0</v>
      </c>
      <c r="J33" s="589">
        <f t="shared" si="5"/>
        <v>0</v>
      </c>
      <c r="K33" s="594">
        <f>K32+0.004</f>
        <v>177.13506999999998</v>
      </c>
      <c r="L33" s="590">
        <f>L32+0.009</f>
        <v>8.9999999999999993E-3</v>
      </c>
      <c r="M33" s="594">
        <f>M32+0.027</f>
        <v>455.74201999999997</v>
      </c>
      <c r="N33" s="591">
        <f>SUM(B33:M33)</f>
        <v>632.88608999999997</v>
      </c>
      <c r="O33" s="442"/>
    </row>
    <row r="34" spans="1:15">
      <c r="A34" s="33"/>
      <c r="B34" s="299"/>
      <c r="C34" s="299"/>
      <c r="D34" s="299"/>
      <c r="E34" s="299"/>
      <c r="F34" s="299"/>
      <c r="G34" s="299"/>
      <c r="H34" s="299"/>
      <c r="I34" s="299"/>
      <c r="J34" s="299"/>
      <c r="K34" s="299"/>
      <c r="L34" s="299"/>
      <c r="M34" s="299"/>
      <c r="N34" s="299"/>
    </row>
    <row r="35" spans="1:15" ht="15">
      <c r="A35" s="298" t="s">
        <v>67</v>
      </c>
      <c r="B35" s="299"/>
      <c r="C35" s="299"/>
      <c r="D35" s="299"/>
      <c r="E35" s="299"/>
      <c r="F35" s="299"/>
      <c r="G35" s="299"/>
      <c r="H35" s="299"/>
      <c r="I35" s="299"/>
      <c r="J35" s="299"/>
      <c r="K35" s="299"/>
      <c r="L35" s="299"/>
      <c r="M35" s="299"/>
      <c r="N35" s="299"/>
    </row>
    <row r="36" spans="1:15" ht="15">
      <c r="A36" s="364" t="s">
        <v>386</v>
      </c>
      <c r="B36" s="365"/>
      <c r="C36" s="365"/>
      <c r="D36" s="365"/>
      <c r="E36" s="365"/>
      <c r="F36" s="365"/>
      <c r="G36" s="365"/>
      <c r="H36" s="365"/>
      <c r="I36" s="365"/>
      <c r="J36" s="365"/>
      <c r="K36" s="365"/>
      <c r="L36" s="365"/>
      <c r="M36" s="365"/>
      <c r="N36" s="365"/>
    </row>
    <row r="37" spans="1:15" ht="15" customHeight="1">
      <c r="A37" s="165" t="s">
        <v>79</v>
      </c>
      <c r="B37" s="346"/>
      <c r="C37" s="346"/>
      <c r="D37" s="346"/>
      <c r="E37" s="346"/>
      <c r="F37" s="346"/>
      <c r="G37" s="346"/>
      <c r="H37" s="346"/>
      <c r="I37" s="346"/>
      <c r="J37" s="346"/>
      <c r="K37" s="346"/>
      <c r="L37" s="346"/>
      <c r="M37" s="346"/>
      <c r="N37" s="346"/>
    </row>
    <row r="38" spans="1:15" ht="15">
      <c r="E38" s="91"/>
    </row>
    <row r="39" spans="1:15">
      <c r="H39" s="429"/>
    </row>
  </sheetData>
  <printOptions horizontalCentered="1"/>
  <pageMargins left="0" right="0" top="0.55000000000000004" bottom="0.17" header="0.3" footer="0.15"/>
  <pageSetup paperSize="5" scale="66" orientation="landscape" cellComments="atEnd" r:id="rId1"/>
  <headerFooter alignWithMargins="0">
    <oddHeader xml:space="preserve">&amp;C&amp;"Arial,Bold"
</oddHeader>
    <oddFooter>&amp;Rpage 11 of 11
&amp;A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E61"/>
  <sheetViews>
    <sheetView showGridLines="0" showRuler="0" zoomScaleNormal="100" zoomScaleSheetLayoutView="80" workbookViewId="0">
      <selection activeCell="H1" sqref="H1"/>
    </sheetView>
  </sheetViews>
  <sheetFormatPr defaultColWidth="9.28515625" defaultRowHeight="12.75"/>
  <cols>
    <col min="1" max="1" width="41.7109375" style="9" customWidth="1"/>
    <col min="2" max="2" width="11.28515625" style="9" customWidth="1"/>
    <col min="3" max="3" width="12.28515625" style="9" customWidth="1"/>
    <col min="4" max="4" width="12.7109375" style="9" customWidth="1"/>
    <col min="5" max="5" width="19.7109375" style="9" customWidth="1"/>
    <col min="6" max="6" width="10.28515625" style="9" customWidth="1"/>
    <col min="7" max="7" width="9.7109375" style="9" bestFit="1" customWidth="1"/>
    <col min="8" max="8" width="11.28515625" style="9" customWidth="1"/>
    <col min="9" max="9" width="11.5703125" style="9" bestFit="1" customWidth="1"/>
    <col min="10" max="10" width="10.7109375" style="9" customWidth="1"/>
    <col min="11" max="14" width="12.5703125" style="9" customWidth="1"/>
    <col min="15" max="15" width="12.28515625" style="9" customWidth="1"/>
    <col min="16" max="16" width="12.5703125" style="9" customWidth="1"/>
    <col min="17" max="17" width="10.7109375" style="9" customWidth="1"/>
    <col min="18" max="18" width="11" style="9" customWidth="1"/>
    <col min="19" max="19" width="11.28515625" style="9" customWidth="1"/>
    <col min="20" max="20" width="14.28515625" style="9" hidden="1" customWidth="1"/>
    <col min="21" max="21" width="9.7109375" style="9" customWidth="1"/>
    <col min="22" max="22" width="11.28515625" style="9" customWidth="1"/>
    <col min="23" max="23" width="11" style="9" customWidth="1"/>
    <col min="24" max="25" width="9.7109375" style="9" customWidth="1"/>
    <col min="26" max="26" width="12.7109375" style="9" customWidth="1"/>
    <col min="27" max="27" width="8.7109375" style="9" bestFit="1" customWidth="1"/>
    <col min="28" max="28" width="10.5703125" style="9" customWidth="1"/>
    <col min="29" max="29" width="9.7109375" style="9" bestFit="1" customWidth="1"/>
    <col min="30" max="30" width="11.28515625" style="9" customWidth="1"/>
    <col min="31" max="31" width="9.7109375" style="9" bestFit="1" customWidth="1"/>
    <col min="32" max="32" width="10.7109375" style="9" customWidth="1"/>
    <col min="33" max="33" width="12.28515625" style="9" bestFit="1" customWidth="1"/>
    <col min="34" max="34" width="12.28515625" style="9" customWidth="1"/>
    <col min="35" max="35" width="9.5703125" style="9" bestFit="1" customWidth="1"/>
    <col min="36" max="36" width="11.28515625" style="9" customWidth="1"/>
    <col min="37" max="37" width="11.7109375" style="9" bestFit="1" customWidth="1"/>
    <col min="38" max="38" width="11.7109375" style="9" customWidth="1"/>
    <col min="39" max="16384" width="9.28515625" style="9"/>
  </cols>
  <sheetData>
    <row r="1" spans="1:31">
      <c r="H1" s="113" t="s">
        <v>39</v>
      </c>
    </row>
    <row r="2" spans="1:31">
      <c r="H2" s="113" t="s">
        <v>40</v>
      </c>
      <c r="Q2" s="11"/>
      <c r="R2" s="69"/>
    </row>
    <row r="3" spans="1:31">
      <c r="C3" s="117"/>
      <c r="E3" s="117"/>
      <c r="G3" s="117"/>
      <c r="H3" s="116" t="s">
        <v>367</v>
      </c>
      <c r="I3" s="117"/>
    </row>
    <row r="4" spans="1:31" hidden="1">
      <c r="C4" s="9">
        <v>2</v>
      </c>
      <c r="D4" s="9">
        <f>C4</f>
        <v>2</v>
      </c>
      <c r="F4" s="9">
        <f>C4+1</f>
        <v>3</v>
      </c>
      <c r="G4" s="9">
        <f>F4</f>
        <v>3</v>
      </c>
      <c r="I4" s="9">
        <f>F4+1</f>
        <v>4</v>
      </c>
      <c r="J4" s="9">
        <f>I4</f>
        <v>4</v>
      </c>
      <c r="L4" s="9">
        <f>I4+1</f>
        <v>5</v>
      </c>
      <c r="M4" s="9">
        <f>L4</f>
        <v>5</v>
      </c>
      <c r="O4" s="9">
        <f>L4+1</f>
        <v>6</v>
      </c>
      <c r="P4" s="9">
        <f>O4</f>
        <v>6</v>
      </c>
      <c r="R4" s="9">
        <f>O4+1</f>
        <v>7</v>
      </c>
      <c r="S4" s="9">
        <f>R4</f>
        <v>7</v>
      </c>
    </row>
    <row r="5" spans="1:31">
      <c r="C5" s="70"/>
    </row>
    <row r="6" spans="1:31">
      <c r="A6" s="71"/>
      <c r="B6" s="454"/>
      <c r="C6" s="455" t="s">
        <v>41</v>
      </c>
      <c r="D6" s="454"/>
      <c r="E6" s="454"/>
      <c r="F6" s="454" t="s">
        <v>42</v>
      </c>
      <c r="G6" s="454"/>
      <c r="H6" s="454"/>
      <c r="I6" s="454" t="s">
        <v>43</v>
      </c>
      <c r="J6" s="454"/>
      <c r="K6" s="454"/>
      <c r="L6" s="454" t="s">
        <v>44</v>
      </c>
      <c r="M6" s="454"/>
      <c r="N6" s="454"/>
      <c r="O6" s="454" t="s">
        <v>31</v>
      </c>
      <c r="P6" s="454"/>
      <c r="Q6" s="454"/>
      <c r="R6" s="454" t="s">
        <v>45</v>
      </c>
      <c r="S6" s="454"/>
      <c r="T6" s="134"/>
    </row>
    <row r="7" spans="1:31" ht="42">
      <c r="A7" s="456" t="s">
        <v>46</v>
      </c>
      <c r="B7" s="457" t="s">
        <v>47</v>
      </c>
      <c r="C7" s="458" t="s">
        <v>48</v>
      </c>
      <c r="D7" s="459" t="s">
        <v>49</v>
      </c>
      <c r="E7" s="460" t="s">
        <v>47</v>
      </c>
      <c r="F7" s="458" t="s">
        <v>48</v>
      </c>
      <c r="G7" s="459" t="s">
        <v>49</v>
      </c>
      <c r="H7" s="460" t="s">
        <v>47</v>
      </c>
      <c r="I7" s="458" t="s">
        <v>48</v>
      </c>
      <c r="J7" s="459" t="s">
        <v>49</v>
      </c>
      <c r="K7" s="460" t="s">
        <v>47</v>
      </c>
      <c r="L7" s="458" t="s">
        <v>48</v>
      </c>
      <c r="M7" s="459" t="s">
        <v>49</v>
      </c>
      <c r="N7" s="460" t="s">
        <v>47</v>
      </c>
      <c r="O7" s="458" t="s">
        <v>48</v>
      </c>
      <c r="P7" s="459" t="s">
        <v>49</v>
      </c>
      <c r="Q7" s="460" t="s">
        <v>47</v>
      </c>
      <c r="R7" s="458" t="s">
        <v>48</v>
      </c>
      <c r="S7" s="459" t="s">
        <v>49</v>
      </c>
      <c r="T7" s="459" t="s">
        <v>50</v>
      </c>
    </row>
    <row r="8" spans="1:31">
      <c r="A8" s="461" t="s">
        <v>51</v>
      </c>
      <c r="B8" s="462"/>
      <c r="C8" s="462"/>
      <c r="D8" s="463"/>
      <c r="E8" s="464"/>
      <c r="F8" s="462"/>
      <c r="G8" s="463"/>
      <c r="H8" s="464"/>
      <c r="I8" s="462"/>
      <c r="J8" s="462"/>
      <c r="K8" s="464"/>
      <c r="L8" s="462"/>
      <c r="M8" s="465"/>
      <c r="N8" s="464"/>
      <c r="O8" s="462"/>
      <c r="P8" s="465"/>
      <c r="Q8" s="464"/>
      <c r="R8" s="462"/>
      <c r="S8" s="465"/>
      <c r="T8" s="466"/>
    </row>
    <row r="9" spans="1:31">
      <c r="A9" s="68" t="s">
        <v>8</v>
      </c>
      <c r="B9" s="81">
        <v>4</v>
      </c>
      <c r="C9" s="240">
        <f>B9*(INDEX('Ex ante LI &amp; Eligibility Stats'!$A:$M,MATCH('Program MW '!$A9,'Ex ante LI &amp; Eligibility Stats'!$A:$A,0),MATCH('Program MW '!C$6,'Ex ante LI &amp; Eligibility Stats'!$A$8:$M$8,0))/1000)</f>
        <v>0.591757080078125</v>
      </c>
      <c r="D9" s="236">
        <f>B9*(INDEX('Ex post LI &amp; Eligibility Stats'!$A:$N,MATCH($A9,'Ex post LI &amp; Eligibility Stats'!$A:$A,0),MATCH('Program MW '!C$6,'Ex post LI &amp; Eligibility Stats'!$A$8:$N$8,0))/1000)</f>
        <v>0.42431999999999997</v>
      </c>
      <c r="E9" s="13">
        <v>4</v>
      </c>
      <c r="F9" s="236">
        <f>E9*(INDEX('Ex ante LI &amp; Eligibility Stats'!$A:$M,MATCH('Program MW '!$A9,'Ex ante LI &amp; Eligibility Stats'!$A:$A,0),MATCH('Program MW '!F$6,'Ex ante LI &amp; Eligibility Stats'!$A$8:$M$8,0))/1000)</f>
        <v>0.49343344116210935</v>
      </c>
      <c r="G9" s="236">
        <f>E9*(INDEX('Ex post LI &amp; Eligibility Stats'!$A:$N,MATCH($A9,'Ex post LI &amp; Eligibility Stats'!$A:$A,0),MATCH('Program MW '!F$6,'Ex post LI &amp; Eligibility Stats'!$A$8:$N$8,0))/1000)</f>
        <v>0.42431999999999997</v>
      </c>
      <c r="H9" s="13">
        <v>4</v>
      </c>
      <c r="I9" s="236">
        <f>H9*(INDEX('Ex ante LI &amp; Eligibility Stats'!$A:$M,MATCH('Program MW '!$A9,'Ex ante LI &amp; Eligibility Stats'!$A:$A,0),MATCH('Program MW '!I$6,'Ex ante LI &amp; Eligibility Stats'!$A$8:$M$8,0))/1000)</f>
        <v>0.61670471191406251</v>
      </c>
      <c r="J9" s="236">
        <f>H9*(INDEX('Ex post LI &amp; Eligibility Stats'!$A:$N,MATCH($A9,'Ex post LI &amp; Eligibility Stats'!$A:$A,0),MATCH('Program MW '!I$6,'Ex post LI &amp; Eligibility Stats'!$A$8:$N$8,0))/1000)</f>
        <v>0.42399999999999999</v>
      </c>
      <c r="K9" s="13">
        <v>2</v>
      </c>
      <c r="L9" s="236">
        <f>K9*(INDEX('Ex ante LI &amp; Eligibility Stats'!$A:$M,MATCH('Program MW '!$A9,'Ex ante LI &amp; Eligibility Stats'!$A:$A,0),MATCH('Program MW '!L$6,'Ex ante LI &amp; Eligibility Stats'!$A$8:$M$8,0))/1000)</f>
        <v>0.28272567749023436</v>
      </c>
      <c r="M9" s="236">
        <f>K9*(INDEX('Ex post LI &amp; Eligibility Stats'!$A:$N,MATCH($A9,'Ex post LI &amp; Eligibility Stats'!$A:$A,0),MATCH('Program MW '!L$6,'Ex post LI &amp; Eligibility Stats'!$A$8:$N$8,0))/1000)</f>
        <v>0.21199999999999999</v>
      </c>
      <c r="N9" s="13">
        <v>2</v>
      </c>
      <c r="O9" s="236">
        <f>N9*(INDEX('Ex ante LI &amp; Eligibility Stats'!$A:$M,MATCH('Program MW '!$A9,'Ex ante LI &amp; Eligibility Stats'!$A:$A,0),MATCH('Program MW '!O$6,'Ex ante LI &amp; Eligibility Stats'!$A$8:$M$8,0))/1000)</f>
        <v>0.27460052490234377</v>
      </c>
      <c r="P9" s="236">
        <f>N9*(INDEX('Ex post LI &amp; Eligibility Stats'!$A:$N,MATCH($A9,'Ex post LI &amp; Eligibility Stats'!$A:$A,0),MATCH('Program MW '!O$6,'Ex post LI &amp; Eligibility Stats'!$A$8:$N$8,0))/1000)</f>
        <v>0.21199999999999999</v>
      </c>
      <c r="Q9" s="92">
        <v>1</v>
      </c>
      <c r="R9" s="236">
        <f>Q9*(INDEX('Ex ante LI &amp; Eligibility Stats'!$A:$M,MATCH('Program MW '!$A9,'Ex ante LI &amp; Eligibility Stats'!$A:$A,0),MATCH('Program MW '!R$6,'Ex ante LI &amp; Eligibility Stats'!$A$8:$M$8,0))/1000)</f>
        <v>0.16708448791503908</v>
      </c>
      <c r="S9" s="236">
        <f>Q9*(INDEX('Ex post LI &amp; Eligibility Stats'!$A:$N,MATCH($A9,'Ex post LI &amp; Eligibility Stats'!$A:$A,0),MATCH('Program MW '!R$6,'Ex post LI &amp; Eligibility Stats'!$A$8:$N$8,0))/1000)</f>
        <v>0.106</v>
      </c>
      <c r="T9" s="4">
        <v>5276</v>
      </c>
    </row>
    <row r="10" spans="1:31" ht="13.5" thickBot="1">
      <c r="A10" s="135" t="s">
        <v>52</v>
      </c>
      <c r="B10" s="119">
        <f t="shared" ref="B10:Q10" si="0">SUM(B9:B9)</f>
        <v>4</v>
      </c>
      <c r="C10" s="130">
        <f t="shared" si="0"/>
        <v>0.591757080078125</v>
      </c>
      <c r="D10" s="130">
        <f t="shared" si="0"/>
        <v>0.42431999999999997</v>
      </c>
      <c r="E10" s="1">
        <f t="shared" si="0"/>
        <v>4</v>
      </c>
      <c r="F10" s="156">
        <f t="shared" si="0"/>
        <v>0.49343344116210935</v>
      </c>
      <c r="G10" s="156">
        <f t="shared" si="0"/>
        <v>0.42431999999999997</v>
      </c>
      <c r="H10" s="1">
        <f t="shared" si="0"/>
        <v>4</v>
      </c>
      <c r="I10" s="156">
        <f t="shared" si="0"/>
        <v>0.61670471191406251</v>
      </c>
      <c r="J10" s="156">
        <f t="shared" si="0"/>
        <v>0.42399999999999999</v>
      </c>
      <c r="K10" s="1">
        <f>SUM(K9)</f>
        <v>2</v>
      </c>
      <c r="L10" s="156">
        <f t="shared" ref="L10:M10" si="1">SUM(L9:L9)</f>
        <v>0.28272567749023436</v>
      </c>
      <c r="M10" s="156">
        <f t="shared" si="1"/>
        <v>0.21199999999999999</v>
      </c>
      <c r="N10" s="1">
        <f t="shared" si="0"/>
        <v>2</v>
      </c>
      <c r="O10" s="156">
        <f t="shared" si="0"/>
        <v>0.27460052490234377</v>
      </c>
      <c r="P10" s="156">
        <f t="shared" si="0"/>
        <v>0.21199999999999999</v>
      </c>
      <c r="Q10" s="93">
        <f t="shared" si="0"/>
        <v>1</v>
      </c>
      <c r="R10" s="156">
        <f t="shared" ref="R10:S10" si="2">SUM(R9:R9)</f>
        <v>0.16708448791503908</v>
      </c>
      <c r="S10" s="156">
        <f t="shared" si="2"/>
        <v>0.106</v>
      </c>
      <c r="T10" s="5"/>
    </row>
    <row r="11" spans="1:31" ht="13.5" thickTop="1">
      <c r="A11" s="461" t="s">
        <v>53</v>
      </c>
      <c r="B11" s="467"/>
      <c r="C11" s="129"/>
      <c r="D11" s="131"/>
      <c r="E11" s="468"/>
      <c r="F11" s="469"/>
      <c r="G11" s="136"/>
      <c r="H11" s="468"/>
      <c r="I11" s="470"/>
      <c r="J11" s="136"/>
      <c r="K11" s="468"/>
      <c r="L11" s="470"/>
      <c r="M11" s="136"/>
      <c r="N11" s="468"/>
      <c r="O11" s="471"/>
      <c r="P11" s="241"/>
      <c r="Q11" s="472"/>
      <c r="R11" s="470"/>
      <c r="S11" s="137"/>
      <c r="T11" s="466"/>
      <c r="Y11" s="6"/>
      <c r="Z11" s="6"/>
      <c r="AA11" s="6"/>
      <c r="AB11" s="6"/>
      <c r="AC11" s="6"/>
      <c r="AD11" s="6"/>
      <c r="AE11" s="6"/>
    </row>
    <row r="12" spans="1:31">
      <c r="A12" s="38" t="s">
        <v>11</v>
      </c>
      <c r="B12" s="473">
        <v>14093</v>
      </c>
      <c r="C12" s="236">
        <f>B12*(INDEX('Ex ante LI &amp; Eligibility Stats'!$A:$M,MATCH($A12,'Ex ante LI &amp; Eligibility Stats'!$A:$A,0),MATCH('Program MW '!C$6,'Ex ante LI &amp; Eligibility Stats'!$A$8:$M$8,0))/1000)</f>
        <v>1.9730200000000002</v>
      </c>
      <c r="D12" s="474">
        <f>B12*(INDEX('Ex post LI &amp; Eligibility Stats'!$A:$N,MATCH($A12,'Ex post LI &amp; Eligibility Stats'!$A:$A,0),MATCH('Program MW '!C$6,'Ex post LI &amp; Eligibility Stats'!$A$8:$N$8,0))/1000)</f>
        <v>5.6372</v>
      </c>
      <c r="E12" s="473">
        <v>14068</v>
      </c>
      <c r="F12" s="475">
        <f>E12*(INDEX('Ex ante LI &amp; Eligibility Stats'!$A:$M,MATCH($A12,'Ex ante LI &amp; Eligibility Stats'!$A:$A,0),MATCH('Program MW '!F$6,'Ex ante LI &amp; Eligibility Stats'!$A$8:$M$8,0))/1000)</f>
        <v>1.9695200000000002</v>
      </c>
      <c r="G12" s="474">
        <f>E12*(INDEX('Ex post LI &amp; Eligibility Stats'!$A:$N,MATCH($A12,'Ex post LI &amp; Eligibility Stats'!$A:$A,0),MATCH('Program MW '!F$6,'Ex post LI &amp; Eligibility Stats'!$A$8:$N$8,0))/1000)</f>
        <v>5.6272000000000002</v>
      </c>
      <c r="H12" s="473">
        <v>13616</v>
      </c>
      <c r="I12" s="236">
        <f>H12*(INDEX('Ex ante LI &amp; Eligibility Stats'!$A:$M,MATCH('Program MW '!$A12,'Ex ante LI &amp; Eligibility Stats'!$A:$A,0),MATCH('Program MW '!I$6,'Ex ante LI &amp; Eligibility Stats'!$A$8:$M$8,0))/1000)</f>
        <v>0</v>
      </c>
      <c r="J12" s="474">
        <f>H12*(INDEX('Ex post LI &amp; Eligibility Stats'!$A:$N,MATCH($A12,'Ex post LI &amp; Eligibility Stats'!$A:$A,0),MATCH('Program MW '!I$6,'Ex post LI &amp; Eligibility Stats'!$A$8:$N$8,0))/1000)</f>
        <v>6.552116814289886</v>
      </c>
      <c r="K12" s="473">
        <v>14076</v>
      </c>
      <c r="L12" s="236">
        <f>K12*(INDEX('Ex ante LI &amp; Eligibility Stats'!$A:$M,MATCH('Program MW '!$A12,'Ex ante LI &amp; Eligibility Stats'!$A:$A,0),MATCH('Program MW '!L$6,'Ex ante LI &amp; Eligibility Stats'!$A$8:$M$8,0))/1000)</f>
        <v>0</v>
      </c>
      <c r="M12" s="474">
        <f>K12*(INDEX('Ex post LI &amp; Eligibility Stats'!$A:$N,MATCH($A12,'Ex post LI &amp; Eligibility Stats'!$A:$A,0),MATCH('Program MW '!L$6,'Ex post LI &amp; Eligibility Stats'!$A$8:$N$8,0))/1000)</f>
        <v>6.7734721120699497</v>
      </c>
      <c r="N12" s="473">
        <v>13310</v>
      </c>
      <c r="O12" s="236">
        <f>N12*(INDEX('Ex ante LI &amp; Eligibility Stats'!$A:$M,MATCH('Program MW '!$A12,'Ex ante LI &amp; Eligibility Stats'!$A:$A,0),MATCH('Program MW '!O$6,'Ex ante LI &amp; Eligibility Stats'!$A$8:$M$8,0))/1000)</f>
        <v>0</v>
      </c>
      <c r="P12" s="474">
        <f>N12*(INDEX('Ex post LI &amp; Eligibility Stats'!$A:$N,MATCH($A12,'Ex post LI &amp; Eligibility Stats'!$A:$A,0),MATCH('Program MW '!O$6,'Ex post LI &amp; Eligibility Stats'!$A$8:$N$8,0))/1000)</f>
        <v>6.4048674205492349</v>
      </c>
      <c r="Q12" s="473">
        <v>7017</v>
      </c>
      <c r="R12" s="236">
        <f>Q12*(INDEX('Ex ante LI &amp; Eligibility Stats'!$A:$M,MATCH('Program MW '!$A12,'Ex ante LI &amp; Eligibility Stats'!$A:$A,0),MATCH('Program MW '!R$6,'Ex ante LI &amp; Eligibility Stats'!$A$8:$M$8,0))/1000)</f>
        <v>0</v>
      </c>
      <c r="S12" s="474">
        <f>Q12*(INDEX('Ex post LI &amp; Eligibility Stats'!$A:$N,MATCH($A12,'Ex post LI &amp; Eligibility Stats'!$A:$A,0),MATCH('Program MW '!R$6,'Ex post LI &amp; Eligibility Stats'!$A$8:$N$8,0))/1000)</f>
        <v>3.3766307054841458</v>
      </c>
      <c r="T12" s="476">
        <v>138123</v>
      </c>
      <c r="U12" s="6"/>
      <c r="V12" s="6"/>
      <c r="W12" s="6"/>
      <c r="X12" s="6"/>
      <c r="Y12" s="6"/>
      <c r="Z12" s="6"/>
      <c r="AA12" s="6"/>
      <c r="AB12" s="6"/>
      <c r="AC12" s="6"/>
      <c r="AD12" s="6"/>
      <c r="AE12" s="6"/>
    </row>
    <row r="13" spans="1:31" ht="13.5">
      <c r="A13" s="151" t="s">
        <v>54</v>
      </c>
      <c r="B13" s="152">
        <v>0</v>
      </c>
      <c r="C13" s="236">
        <v>0</v>
      </c>
      <c r="D13" s="237">
        <v>0</v>
      </c>
      <c r="E13" s="152">
        <v>0</v>
      </c>
      <c r="F13" s="236">
        <v>0</v>
      </c>
      <c r="G13" s="237">
        <v>0</v>
      </c>
      <c r="H13" s="152">
        <v>0</v>
      </c>
      <c r="I13" s="236">
        <v>0</v>
      </c>
      <c r="J13" s="237">
        <v>0</v>
      </c>
      <c r="K13" s="152">
        <v>0</v>
      </c>
      <c r="L13" s="236">
        <v>0</v>
      </c>
      <c r="M13" s="237">
        <v>0</v>
      </c>
      <c r="N13" s="152">
        <v>0</v>
      </c>
      <c r="O13" s="236">
        <v>0</v>
      </c>
      <c r="P13" s="237">
        <v>0</v>
      </c>
      <c r="Q13" s="152">
        <v>0</v>
      </c>
      <c r="R13" s="236">
        <v>0</v>
      </c>
      <c r="S13" s="237">
        <v>0</v>
      </c>
      <c r="T13" s="4"/>
      <c r="U13" s="6"/>
      <c r="V13" s="6"/>
      <c r="W13" s="6"/>
      <c r="X13" s="6"/>
      <c r="Y13" s="6"/>
      <c r="Z13" s="6"/>
      <c r="AA13" s="6"/>
      <c r="AB13" s="6"/>
      <c r="AC13" s="6"/>
      <c r="AD13" s="6"/>
      <c r="AE13" s="6"/>
    </row>
    <row r="14" spans="1:31">
      <c r="A14" s="196" t="s">
        <v>17</v>
      </c>
      <c r="B14" s="123">
        <v>17376</v>
      </c>
      <c r="C14" s="236">
        <f>B14*(INDEX('Ex ante LI &amp; Eligibility Stats'!$A:$M,MATCH($A14,'Ex ante LI &amp; Eligibility Stats'!$A:$A,0),MATCH('Program MW '!C$6,'Ex ante LI &amp; Eligibility Stats'!$A$8:$M$8,0))/1000)</f>
        <v>1.9547919699107298E-4</v>
      </c>
      <c r="D14" s="237">
        <f>B14*(INDEX('Ex post LI &amp; Eligibility Stats'!$A:$N,MATCH($A14,'Ex post LI &amp; Eligibility Stats'!$A:$A,0),MATCH('Program MW '!C$6,'Ex post LI &amp; Eligibility Stats'!$A$8:$N$8,0))/1000)</f>
        <v>5.5603200000000008</v>
      </c>
      <c r="E14" s="123">
        <v>17278</v>
      </c>
      <c r="F14" s="236">
        <f>E14*(INDEX('Ex ante LI &amp; Eligibility Stats'!$A:$M,MATCH($A14,'Ex ante LI &amp; Eligibility Stats'!$A:$A,0),MATCH('Program MW '!F$6,'Ex ante LI &amp; Eligibility Stats'!$A$8:$M$8,0))/1000)</f>
        <v>4.5015298280304707E-5</v>
      </c>
      <c r="G14" s="237">
        <f>E14*(INDEX('Ex post LI &amp; Eligibility Stats'!$A:$N,MATCH($A14,'Ex post LI &amp; Eligibility Stats'!$A:$A,0),MATCH('Program MW '!F$6,'Ex post LI &amp; Eligibility Stats'!$A$8:$N$8,0))/1000)</f>
        <v>5.5289600000000005</v>
      </c>
      <c r="H14" s="123">
        <v>17050</v>
      </c>
      <c r="I14" s="236">
        <f>H14*(INDEX('Ex ante LI &amp; Eligibility Stats'!$A:$M,MATCH('Program MW '!$A14,'Ex ante LI &amp; Eligibility Stats'!$A:$A,0),MATCH('Program MW '!I$6,'Ex ante LI &amp; Eligibility Stats'!$A$8:$M$8,0))/1000)</f>
        <v>0</v>
      </c>
      <c r="J14" s="237">
        <f>H14*(INDEX('Ex post LI &amp; Eligibility Stats'!$A:$N,MATCH($A14,'Ex post LI &amp; Eligibility Stats'!$A:$A,0),MATCH('Program MW '!I$6,'Ex post LI &amp; Eligibility Stats'!$A$8:$N$8,0))/1000)</f>
        <v>5.1198614791035659</v>
      </c>
      <c r="K14" s="123">
        <v>17283</v>
      </c>
      <c r="L14" s="236">
        <f>K14*(INDEX('Ex ante LI &amp; Eligibility Stats'!$A:$M,MATCH('Program MW '!$A14,'Ex ante LI &amp; Eligibility Stats'!$A:$A,0),MATCH('Program MW '!L$6,'Ex ante LI &amp; Eligibility Stats'!$A$8:$M$8,0))/1000)</f>
        <v>0.63219965072348705</v>
      </c>
      <c r="M14" s="237">
        <f>K14*(INDEX('Ex post LI &amp; Eligibility Stats'!$A:$N,MATCH($A14,'Ex post LI &amp; Eligibility Stats'!$A:$A,0),MATCH('Program MW '!L$6,'Ex post LI &amp; Eligibility Stats'!$A$8:$N$8,0))/1000)</f>
        <v>5.1898279145658019</v>
      </c>
      <c r="N14" s="123">
        <v>17130</v>
      </c>
      <c r="O14" s="236">
        <f>N14*(INDEX('Ex ante LI &amp; Eligibility Stats'!$A:$M,MATCH('Program MW '!$A14,'Ex ante LI &amp; Eligibility Stats'!$A:$A,0),MATCH('Program MW '!O$6,'Ex ante LI &amp; Eligibility Stats'!$A$8:$M$8,0))/1000)</f>
        <v>1.3920932315289973</v>
      </c>
      <c r="P14" s="237">
        <f>N14*(INDEX('Ex post LI &amp; Eligibility Stats'!$A:$N,MATCH($A14,'Ex post LI &amp; Eligibility Stats'!$A:$A,0),MATCH('Program MW '!O$6,'Ex post LI &amp; Eligibility Stats'!$A$8:$N$8,0))/1000)</f>
        <v>5.1438842895627026</v>
      </c>
      <c r="Q14" s="123">
        <v>14623</v>
      </c>
      <c r="R14" s="236">
        <f>Q14*(INDEX('Ex ante LI &amp; Eligibility Stats'!$A:$M,MATCH('Program MW '!$A14,'Ex ante LI &amp; Eligibility Stats'!$A:$A,0),MATCH('Program MW '!R$6,'Ex ante LI &amp; Eligibility Stats'!$A$8:$M$8,0))/1000)</f>
        <v>0.75110183168202638</v>
      </c>
      <c r="S14" s="237">
        <f>Q14*(INDEX('Ex post LI &amp; Eligibility Stats'!$A:$N,MATCH($A14,'Ex post LI &amp; Eligibility Stats'!$A:$A,0),MATCH('Program MW '!R$6,'Ex post LI &amp; Eligibility Stats'!$A$8:$N$8,0))/1000)</f>
        <v>4.3910694667994976</v>
      </c>
      <c r="T14" s="4">
        <v>663393.5</v>
      </c>
      <c r="U14" s="6"/>
      <c r="V14" s="6"/>
      <c r="W14" s="6"/>
      <c r="X14" s="6"/>
      <c r="Y14" s="6"/>
      <c r="Z14" s="6"/>
      <c r="AA14" s="6"/>
      <c r="AB14" s="6"/>
      <c r="AC14" s="6"/>
      <c r="AD14" s="6"/>
      <c r="AE14" s="6"/>
    </row>
    <row r="15" spans="1:31">
      <c r="A15" s="121" t="s">
        <v>20</v>
      </c>
      <c r="B15" s="123">
        <v>704</v>
      </c>
      <c r="C15" s="236">
        <f>B15*(INDEX('Ex ante LI &amp; Eligibility Stats'!$A:$M,MATCH($A15,'Ex ante LI &amp; Eligibility Stats'!$A:$A,0),MATCH('Program MW '!C$6,'Ex ante LI &amp; Eligibility Stats'!$A$8:$M$8,0))/1000)</f>
        <v>2.559620887041092E-4</v>
      </c>
      <c r="D15" s="237">
        <f>B15*(INDEX('Ex post LI &amp; Eligibility Stats'!$A:$N,MATCH($A15,'Ex post LI &amp; Eligibility Stats'!$A:$A,0),MATCH('Program MW '!C$6,'Ex post LI &amp; Eligibility Stats'!$A$8:$N$8,0))/1000)</f>
        <v>0.32384000000000002</v>
      </c>
      <c r="E15" s="123">
        <v>704</v>
      </c>
      <c r="F15" s="236">
        <f>E15*(INDEX('Ex ante LI &amp; Eligibility Stats'!$A:$M,MATCH($A15,'Ex ante LI &amp; Eligibility Stats'!$A:$A,0),MATCH('Program MW '!F$6,'Ex ante LI &amp; Eligibility Stats'!$A$8:$M$8,0))/1000)</f>
        <v>5.9277471620589494E-5</v>
      </c>
      <c r="G15" s="237">
        <f>E15*(INDEX('Ex post LI &amp; Eligibility Stats'!$A:$N,MATCH($A15,'Ex post LI &amp; Eligibility Stats'!$A:$A,0),MATCH('Program MW '!F$6,'Ex post LI &amp; Eligibility Stats'!$A$8:$N$8,0))/1000)</f>
        <v>0.32384000000000002</v>
      </c>
      <c r="H15" s="123">
        <v>268</v>
      </c>
      <c r="I15" s="236">
        <f>H15*(INDEX('Ex ante LI &amp; Eligibility Stats'!$A:$M,MATCH('Program MW '!$A15,'Ex ante LI &amp; Eligibility Stats'!$A:$A,0),MATCH('Program MW '!I$6,'Ex ante LI &amp; Eligibility Stats'!$A$8:$M$8,0))/1000)</f>
        <v>0</v>
      </c>
      <c r="J15" s="237">
        <f>H15*(INDEX('Ex post LI &amp; Eligibility Stats'!$A:$N,MATCH($A15,'Ex post LI &amp; Eligibility Stats'!$A:$A,0),MATCH('Program MW '!I$6,'Ex post LI &amp; Eligibility Stats'!$A$8:$N$8,0))/1000)</f>
        <v>0.12431036806106567</v>
      </c>
      <c r="K15" s="123">
        <v>268</v>
      </c>
      <c r="L15" s="236">
        <f>K15*(INDEX('Ex ante LI &amp; Eligibility Stats'!$A:$M,MATCH('Program MW '!$A15,'Ex ante LI &amp; Eligibility Stats'!$A:$A,0),MATCH('Program MW '!L$6,'Ex ante LI &amp; Eligibility Stats'!$A$8:$M$8,0))/1000)</f>
        <v>9.207833182811738E-2</v>
      </c>
      <c r="M15" s="237">
        <f>K15*(INDEX('Ex post LI &amp; Eligibility Stats'!$A:$N,MATCH($A15,'Ex post LI &amp; Eligibility Stats'!$A:$A,0),MATCH('Program MW '!L$6,'Ex post LI &amp; Eligibility Stats'!$A$8:$N$8,0))/1000)</f>
        <v>0.12431036806106567</v>
      </c>
      <c r="N15" s="123">
        <v>256</v>
      </c>
      <c r="O15" s="236">
        <f>N15*(INDEX('Ex ante LI &amp; Eligibility Stats'!$A:$M,MATCH('Program MW '!$A15,'Ex ante LI &amp; Eligibility Stats'!$A:$A,0),MATCH('Program MW '!O$6,'Ex ante LI &amp; Eligibility Stats'!$A$8:$M$8,0))/1000)</f>
        <v>0.23586849975585938</v>
      </c>
      <c r="P15" s="237">
        <f>N15*(INDEX('Ex post LI &amp; Eligibility Stats'!$A:$N,MATCH($A15,'Ex post LI &amp; Eligibility Stats'!$A:$A,0),MATCH('Program MW '!O$6,'Ex post LI &amp; Eligibility Stats'!$A$8:$N$8,0))/1000)</f>
        <v>0.11874423217773437</v>
      </c>
      <c r="Q15" s="123">
        <v>236</v>
      </c>
      <c r="R15" s="236">
        <f>Q15*(INDEX('Ex ante LI &amp; Eligibility Stats'!$A:$M,MATCH('Program MW '!$A15,'Ex ante LI &amp; Eligibility Stats'!$A:$A,0),MATCH('Program MW '!R$6,'Ex ante LI &amp; Eligibility Stats'!$A$8:$M$8,0))/1000)</f>
        <v>0.20210570478439333</v>
      </c>
      <c r="S15" s="237">
        <f>Q15*(INDEX('Ex post LI &amp; Eligibility Stats'!$A:$N,MATCH($A15,'Ex post LI &amp; Eligibility Stats'!$A:$A,0),MATCH('Program MW '!R$6,'Ex post LI &amp; Eligibility Stats'!$A$8:$N$8,0))/1000)</f>
        <v>0.10946733903884888</v>
      </c>
      <c r="T15" s="4"/>
      <c r="U15" s="6"/>
      <c r="V15" s="6"/>
      <c r="W15" s="6"/>
      <c r="X15" s="6"/>
      <c r="Y15" s="6"/>
      <c r="Z15" s="6"/>
      <c r="AA15" s="6"/>
      <c r="AB15" s="6"/>
      <c r="AC15" s="6"/>
      <c r="AD15" s="6"/>
      <c r="AE15" s="6"/>
    </row>
    <row r="16" spans="1:31">
      <c r="A16" s="196" t="s">
        <v>21</v>
      </c>
      <c r="B16" s="92">
        <v>10225</v>
      </c>
      <c r="C16" s="236">
        <f>B16*(INDEX('Ex ante LI &amp; Eligibility Stats'!$A:$M,MATCH($A16,'Ex ante LI &amp; Eligibility Stats'!$A:$A,0),MATCH('Program MW '!C$6,'Ex ante LI &amp; Eligibility Stats'!$A$8:$M$8,0))/1000)</f>
        <v>0</v>
      </c>
      <c r="D16" s="237">
        <f>B16*(INDEX('Ex post LI &amp; Eligibility Stats'!$A:$N,MATCH($A16,'Ex post LI &amp; Eligibility Stats'!$A:$A,0),MATCH('Program MW '!C$6,'Ex post LI &amp; Eligibility Stats'!$A$8:$N$8,0))/1000)</f>
        <v>1.3292500000000003</v>
      </c>
      <c r="E16" s="92">
        <v>10185</v>
      </c>
      <c r="F16" s="236">
        <f>E16*(INDEX('Ex ante LI &amp; Eligibility Stats'!$A:$M,MATCH($A16,'Ex ante LI &amp; Eligibility Stats'!$A:$A,0),MATCH('Program MW '!F$6,'Ex ante LI &amp; Eligibility Stats'!$A$8:$M$8,0))/1000)</f>
        <v>0</v>
      </c>
      <c r="G16" s="237">
        <f>E16*(INDEX('Ex post LI &amp; Eligibility Stats'!$A:$N,MATCH($A16,'Ex post LI &amp; Eligibility Stats'!$A:$A,0),MATCH('Program MW '!F$6,'Ex post LI &amp; Eligibility Stats'!$A$8:$N$8,0))/1000)</f>
        <v>1.3240500000000002</v>
      </c>
      <c r="H16" s="92">
        <v>10091</v>
      </c>
      <c r="I16" s="236">
        <f>H16*(INDEX('Ex ante LI &amp; Eligibility Stats'!$A:$M,MATCH('Program MW '!$A16,'Ex ante LI &amp; Eligibility Stats'!$A:$A,0),MATCH('Program MW '!I$6,'Ex ante LI &amp; Eligibility Stats'!$A$8:$M$8,0))/1000)</f>
        <v>0</v>
      </c>
      <c r="J16" s="237">
        <f>H16*(INDEX('Ex post LI &amp; Eligibility Stats'!$A:$N,MATCH($A16,'Ex post LI &amp; Eligibility Stats'!$A:$A,0),MATCH('Program MW '!I$6,'Ex post LI &amp; Eligibility Stats'!$A$8:$N$8,0))/1000)</f>
        <v>1.3535956399000002</v>
      </c>
      <c r="K16" s="406">
        <v>9815</v>
      </c>
      <c r="L16" s="236">
        <f>K16*(INDEX('Ex ante LI &amp; Eligibility Stats'!$A:$M,MATCH('Program MW '!$A16,'Ex ante LI &amp; Eligibility Stats'!$A:$A,0),MATCH('Program MW '!L$6,'Ex ante LI &amp; Eligibility Stats'!$A$8:$M$8,0))/1000)</f>
        <v>0.27112955999999999</v>
      </c>
      <c r="M16" s="237">
        <f>K16*(INDEX('Ex post LI &amp; Eligibility Stats'!$A:$N,MATCH($A16,'Ex post LI &amp; Eligibility Stats'!$A:$A,0),MATCH('Program MW '!L$6,'Ex post LI &amp; Eligibility Stats'!$A$8:$N$8,0))/1000)</f>
        <v>1.3165733035000002</v>
      </c>
      <c r="N16" s="92">
        <v>9593</v>
      </c>
      <c r="O16" s="236">
        <f>N16*(INDEX('Ex ante LI &amp; Eligibility Stats'!$A:$M,MATCH('Program MW '!$A16,'Ex ante LI &amp; Eligibility Stats'!$A:$A,0),MATCH('Program MW '!O$6,'Ex ante LI &amp; Eligibility Stats'!$A$8:$M$8,0))/1000)</f>
        <v>0.55346429780000006</v>
      </c>
      <c r="P16" s="237">
        <f>N16*(INDEX('Ex post LI &amp; Eligibility Stats'!$A:$N,MATCH($A16,'Ex post LI &amp; Eligibility Stats'!$A:$A,0),MATCH('Program MW '!O$6,'Ex post LI &amp; Eligibility Stats'!$A$8:$N$8,0))/1000)</f>
        <v>1.2867944677000003</v>
      </c>
      <c r="Q16" s="92">
        <v>9409</v>
      </c>
      <c r="R16" s="236">
        <f>Q16*(INDEX('Ex ante LI &amp; Eligibility Stats'!$A:$M,MATCH('Program MW '!$A16,'Ex ante LI &amp; Eligibility Stats'!$A:$A,0),MATCH('Program MW '!R$6,'Ex ante LI &amp; Eligibility Stats'!$A$8:$M$8,0))/1000)</f>
        <v>0.34679127659999998</v>
      </c>
      <c r="S16" s="237">
        <f>Q16*(INDEX('Ex post LI &amp; Eligibility Stats'!$A:$N,MATCH($A16,'Ex post LI &amp; Eligibility Stats'!$A:$A,0),MATCH('Program MW '!R$6,'Ex post LI &amp; Eligibility Stats'!$A$8:$N$8,0))/1000)</f>
        <v>1.2621129101000002</v>
      </c>
      <c r="T16" s="4">
        <v>157189</v>
      </c>
      <c r="U16" s="6"/>
      <c r="V16" s="6"/>
      <c r="W16" s="6"/>
      <c r="X16" s="6"/>
      <c r="Y16" s="6"/>
      <c r="Z16" s="6"/>
      <c r="AA16" s="6"/>
      <c r="AB16" s="6"/>
      <c r="AC16" s="6"/>
      <c r="AD16" s="6"/>
      <c r="AE16" s="6"/>
    </row>
    <row r="17" spans="1:31">
      <c r="A17" s="196" t="s">
        <v>23</v>
      </c>
      <c r="B17" s="92">
        <v>2652</v>
      </c>
      <c r="C17" s="236">
        <f>B17*(INDEX('Ex ante LI &amp; Eligibility Stats'!$A:$M,MATCH($A17,'Ex ante LI &amp; Eligibility Stats'!$A:$A,0),MATCH('Program MW '!C$6,'Ex ante LI &amp; Eligibility Stats'!$A$8:$M$8,0))/1000)</f>
        <v>0</v>
      </c>
      <c r="D17" s="237">
        <f>B17*(INDEX('Ex post LI &amp; Eligibility Stats'!$A:$N,MATCH($A17,'Ex post LI &amp; Eligibility Stats'!$A:$A,0),MATCH('Program MW '!C$6,'Ex post LI &amp; Eligibility Stats'!$A$8:$N$8,0))/1000)</f>
        <v>0.1326</v>
      </c>
      <c r="E17" s="92">
        <v>2648</v>
      </c>
      <c r="F17" s="236">
        <f>E17*(INDEX('Ex ante LI &amp; Eligibility Stats'!$A:$M,MATCH($A17,'Ex ante LI &amp; Eligibility Stats'!$A:$A,0),MATCH('Program MW '!F$6,'Ex ante LI &amp; Eligibility Stats'!$A$8:$M$8,0))/1000)</f>
        <v>0</v>
      </c>
      <c r="G17" s="237">
        <f>E17*(INDEX('Ex post LI &amp; Eligibility Stats'!$A:$N,MATCH($A17,'Ex post LI &amp; Eligibility Stats'!$A:$A,0),MATCH('Program MW '!F$6,'Ex post LI &amp; Eligibility Stats'!$A$8:$N$8,0))/1000)</f>
        <v>0.13240000000000002</v>
      </c>
      <c r="H17" s="92">
        <v>2627</v>
      </c>
      <c r="I17" s="236">
        <f>H17*(INDEX('Ex ante LI &amp; Eligibility Stats'!$A:$M,MATCH('Program MW '!$A17,'Ex ante LI &amp; Eligibility Stats'!$A:$A,0),MATCH('Program MW '!I$6,'Ex ante LI &amp; Eligibility Stats'!$A$8:$M$8,0))/1000)</f>
        <v>0</v>
      </c>
      <c r="J17" s="237">
        <f>H17*(INDEX('Ex post LI &amp; Eligibility Stats'!$A:$N,MATCH($A17,'Ex post LI &amp; Eligibility Stats'!$A:$A,0),MATCH('Program MW '!I$6,'Ex post LI &amp; Eligibility Stats'!$A$8:$N$8,0))/1000)</f>
        <v>0.1296274761</v>
      </c>
      <c r="K17" s="406">
        <v>2774</v>
      </c>
      <c r="L17" s="236">
        <f>K17*(INDEX('Ex ante LI &amp; Eligibility Stats'!$A:$M,MATCH('Program MW '!$A17,'Ex ante LI &amp; Eligibility Stats'!$A:$A,0),MATCH('Program MW '!L$6,'Ex ante LI &amp; Eligibility Stats'!$A$8:$M$8,0))/1000)</f>
        <v>0.15616732319999999</v>
      </c>
      <c r="M17" s="237">
        <f>K17*(INDEX('Ex post LI &amp; Eligibility Stats'!$A:$N,MATCH($A17,'Ex post LI &amp; Eligibility Stats'!$A:$A,0),MATCH('Program MW '!L$6,'Ex post LI &amp; Eligibility Stats'!$A$8:$N$8,0))/1000)</f>
        <v>0.1368810882</v>
      </c>
      <c r="N17" s="92">
        <v>2705</v>
      </c>
      <c r="O17" s="236">
        <f>N17*(INDEX('Ex ante LI &amp; Eligibility Stats'!$A:$M,MATCH('Program MW '!$A17,'Ex ante LI &amp; Eligibility Stats'!$A:$A,0),MATCH('Program MW '!O$6,'Ex ante LI &amp; Eligibility Stats'!$A$8:$M$8,0))/1000)</f>
        <v>0.1742817975</v>
      </c>
      <c r="P17" s="237">
        <f>N17*(INDEX('Ex post LI &amp; Eligibility Stats'!$A:$N,MATCH($A17,'Ex post LI &amp; Eligibility Stats'!$A:$A,0),MATCH('Program MW '!O$6,'Ex post LI &amp; Eligibility Stats'!$A$8:$N$8,0))/1000)</f>
        <v>0.13347633149999999</v>
      </c>
      <c r="Q17" s="92">
        <v>2244</v>
      </c>
      <c r="R17" s="236">
        <f>Q17*(INDEX('Ex ante LI &amp; Eligibility Stats'!$A:$M,MATCH('Program MW '!$A17,'Ex ante LI &amp; Eligibility Stats'!$A:$A,0),MATCH('Program MW '!R$6,'Ex ante LI &amp; Eligibility Stats'!$A$8:$M$8,0))/1000)</f>
        <v>0.1342089276</v>
      </c>
      <c r="S17" s="237">
        <f>Q17*(INDEX('Ex post LI &amp; Eligibility Stats'!$A:$N,MATCH($A17,'Ex post LI &amp; Eligibility Stats'!$A:$A,0),MATCH('Program MW '!R$6,'Ex post LI &amp; Eligibility Stats'!$A$8:$N$8,0))/1000)</f>
        <v>0.11072860920000001</v>
      </c>
      <c r="T17" s="4">
        <v>157189</v>
      </c>
      <c r="U17" s="6"/>
      <c r="V17" s="6"/>
      <c r="W17" s="6"/>
      <c r="X17" s="6"/>
      <c r="Y17" s="6"/>
      <c r="Z17" s="6"/>
      <c r="AA17" s="6"/>
      <c r="AB17" s="6"/>
      <c r="AC17" s="6"/>
      <c r="AD17" s="6"/>
      <c r="AE17" s="6"/>
    </row>
    <row r="18" spans="1:31">
      <c r="A18" s="121" t="s">
        <v>24</v>
      </c>
      <c r="B18" s="123">
        <v>0</v>
      </c>
      <c r="C18" s="236">
        <f>B18*(INDEX('Ex ante LI &amp; Eligibility Stats'!$A:$M,MATCH($A18,'Ex ante LI &amp; Eligibility Stats'!$A:$A,0),MATCH('Program MW '!C$6,'Ex ante LI &amp; Eligibility Stats'!$A$8:$M$8,0))/1000)</f>
        <v>0</v>
      </c>
      <c r="D18" s="237">
        <f>B18*(INDEX('Ex post LI &amp; Eligibility Stats'!$A:$N,MATCH($A18,'Ex post LI &amp; Eligibility Stats'!$A:$A,0),MATCH('Program MW '!C$6,'Ex post LI &amp; Eligibility Stats'!$A$8:$N$8,0))/1000)</f>
        <v>0</v>
      </c>
      <c r="E18" s="123">
        <v>0</v>
      </c>
      <c r="F18" s="236">
        <f>E18*(INDEX('Ex ante LI &amp; Eligibility Stats'!$A:$M,MATCH($A18,'Ex ante LI &amp; Eligibility Stats'!$A:$A,0),MATCH('Program MW '!F$6,'Ex ante LI &amp; Eligibility Stats'!$A$8:$M$8,0))/1000)</f>
        <v>0</v>
      </c>
      <c r="G18" s="237">
        <f>E18*(INDEX('Ex post LI &amp; Eligibility Stats'!$A:$N,MATCH($A18,'Ex post LI &amp; Eligibility Stats'!$A:$A,0),MATCH('Program MW '!F$6,'Ex post LI &amp; Eligibility Stats'!$A$8:$N$8,0))/1000)</f>
        <v>0</v>
      </c>
      <c r="H18" s="123">
        <v>0</v>
      </c>
      <c r="I18" s="236">
        <f>H18*(INDEX('Ex ante LI &amp; Eligibility Stats'!$A:$M,MATCH('Program MW '!$A18,'Ex ante LI &amp; Eligibility Stats'!$A:$A,0),MATCH('Program MW '!I$6,'Ex ante LI &amp; Eligibility Stats'!$A$8:$M$8,0))/1000)</f>
        <v>0</v>
      </c>
      <c r="J18" s="237">
        <f>H18*(INDEX('Ex post LI &amp; Eligibility Stats'!$A:$N,MATCH($A18,'Ex post LI &amp; Eligibility Stats'!$A:$A,0),MATCH('Program MW '!I$6,'Ex post LI &amp; Eligibility Stats'!$A$8:$N$8,0))/1000)</f>
        <v>0</v>
      </c>
      <c r="K18" s="123">
        <v>0</v>
      </c>
      <c r="L18" s="236">
        <f>K18*(INDEX('Ex ante LI &amp; Eligibility Stats'!$A:$M,MATCH('Program MW '!$A18,'Ex ante LI &amp; Eligibility Stats'!$A:$A,0),MATCH('Program MW '!L$6,'Ex ante LI &amp; Eligibility Stats'!$A$8:$M$8,0))/1000)</f>
        <v>0</v>
      </c>
      <c r="M18" s="237">
        <f>K18*(INDEX('Ex post LI &amp; Eligibility Stats'!$A:$N,MATCH($A18,'Ex post LI &amp; Eligibility Stats'!$A:$A,0),MATCH('Program MW '!L$6,'Ex post LI &amp; Eligibility Stats'!$A$8:$N$8,0))/1000)</f>
        <v>0</v>
      </c>
      <c r="N18" s="123">
        <v>41</v>
      </c>
      <c r="O18" s="236">
        <f>N18*(INDEX('Ex ante LI &amp; Eligibility Stats'!$A:$M,MATCH('Program MW '!$A18,'Ex ante LI &amp; Eligibility Stats'!$A:$A,0),MATCH('Program MW '!O$6,'Ex ante LI &amp; Eligibility Stats'!$A$8:$M$8,0))/1000)</f>
        <v>0.48483278999999996</v>
      </c>
      <c r="P18" s="237">
        <f>N18*(INDEX('Ex post LI &amp; Eligibility Stats'!$A:$N,MATCH($A18,'Ex post LI &amp; Eligibility Stats'!$A:$A,0),MATCH('Program MW '!O$6,'Ex post LI &amp; Eligibility Stats'!$A$8:$N$8,0))/1000)</f>
        <v>0.73608612000000007</v>
      </c>
      <c r="Q18" s="123">
        <v>49</v>
      </c>
      <c r="R18" s="236">
        <f>Q18*(INDEX('Ex ante LI &amp; Eligibility Stats'!$A:$M,MATCH('Program MW '!$A18,'Ex ante LI &amp; Eligibility Stats'!$A:$A,0),MATCH('Program MW '!R$6,'Ex ante LI &amp; Eligibility Stats'!$A$8:$M$8,0))/1000)</f>
        <v>0.57943431000000001</v>
      </c>
      <c r="S18" s="237">
        <f>Q18*(INDEX('Ex post LI &amp; Eligibility Stats'!$A:$N,MATCH($A18,'Ex post LI &amp; Eligibility Stats'!$A:$A,0),MATCH('Program MW '!R$6,'Ex post LI &amp; Eligibility Stats'!$A$8:$N$8,0))/1000)</f>
        <v>0.87971268000000014</v>
      </c>
      <c r="T18" s="4">
        <v>18875</v>
      </c>
      <c r="U18" s="6"/>
      <c r="V18" s="6"/>
      <c r="W18" s="6"/>
      <c r="X18" s="6"/>
      <c r="Y18" s="6"/>
      <c r="Z18" s="6"/>
      <c r="AA18" s="6"/>
      <c r="AB18" s="6"/>
      <c r="AC18" s="6"/>
      <c r="AD18" s="6"/>
      <c r="AE18" s="6"/>
    </row>
    <row r="19" spans="1:31">
      <c r="A19" s="121" t="s">
        <v>25</v>
      </c>
      <c r="B19" s="123">
        <v>0</v>
      </c>
      <c r="C19" s="236">
        <f>B19*(INDEX('Ex ante LI &amp; Eligibility Stats'!$A:$M,MATCH($A19,'Ex ante LI &amp; Eligibility Stats'!$A:$A,0),MATCH('Program MW '!C$6,'Ex ante LI &amp; Eligibility Stats'!$A$8:$M$8,0))/1000)</f>
        <v>0</v>
      </c>
      <c r="D19" s="237">
        <f>B19*(INDEX('Ex post LI &amp; Eligibility Stats'!$A:$N,MATCH($A19,'Ex post LI &amp; Eligibility Stats'!$A:$A,0),MATCH('Program MW '!C$6,'Ex post LI &amp; Eligibility Stats'!$A$8:$N$8,0))/1000)</f>
        <v>0</v>
      </c>
      <c r="E19" s="123">
        <v>0</v>
      </c>
      <c r="F19" s="236">
        <f>E19*(INDEX('Ex ante LI &amp; Eligibility Stats'!$A:$M,MATCH($A19,'Ex ante LI &amp; Eligibility Stats'!$A:$A,0),MATCH('Program MW '!F$6,'Ex ante LI &amp; Eligibility Stats'!$A$8:$M$8,0))/1000)</f>
        <v>0</v>
      </c>
      <c r="G19" s="237">
        <f>E19*(INDEX('Ex post LI &amp; Eligibility Stats'!$A:$N,MATCH($A19,'Ex post LI &amp; Eligibility Stats'!$A:$A,0),MATCH('Program MW '!F$6,'Ex post LI &amp; Eligibility Stats'!$A$8:$N$8,0))/1000)</f>
        <v>0</v>
      </c>
      <c r="H19" s="123">
        <v>0</v>
      </c>
      <c r="I19" s="236">
        <f>H19*(INDEX('Ex ante LI &amp; Eligibility Stats'!$A:$M,MATCH('Program MW '!$A19,'Ex ante LI &amp; Eligibility Stats'!$A:$A,0),MATCH('Program MW '!I$6,'Ex ante LI &amp; Eligibility Stats'!$A$8:$M$8,0))/1000)</f>
        <v>0</v>
      </c>
      <c r="J19" s="237">
        <f>H19*(INDEX('Ex post LI &amp; Eligibility Stats'!$A:$N,MATCH($A19,'Ex post LI &amp; Eligibility Stats'!$A:$A,0),MATCH('Program MW '!I$6,'Ex post LI &amp; Eligibility Stats'!$A$8:$N$8,0))/1000)</f>
        <v>0</v>
      </c>
      <c r="K19" s="123">
        <v>0</v>
      </c>
      <c r="L19" s="236">
        <f>K19*(INDEX('Ex ante LI &amp; Eligibility Stats'!$A:$M,MATCH('Program MW '!$A19,'Ex ante LI &amp; Eligibility Stats'!$A:$A,0),MATCH('Program MW '!L$6,'Ex ante LI &amp; Eligibility Stats'!$A$8:$M$8,0))/1000)</f>
        <v>0</v>
      </c>
      <c r="M19" s="237">
        <f>K19*(INDEX('Ex post LI &amp; Eligibility Stats'!$A:$N,MATCH($A19,'Ex post LI &amp; Eligibility Stats'!$A:$A,0),MATCH('Program MW '!L$6,'Ex post LI &amp; Eligibility Stats'!$A$8:$N$8,0))/1000)</f>
        <v>0</v>
      </c>
      <c r="N19" s="123">
        <v>134</v>
      </c>
      <c r="O19" s="236">
        <f>N19*(INDEX('Ex ante LI &amp; Eligibility Stats'!$A:$M,MATCH('Program MW '!$A19,'Ex ante LI &amp; Eligibility Stats'!$A:$A,0),MATCH('Program MW '!O$6,'Ex ante LI &amp; Eligibility Stats'!$A$8:$M$8,0))/1000)</f>
        <v>1.214125358</v>
      </c>
      <c r="P19" s="237">
        <f>N19*(INDEX('Ex post LI &amp; Eligibility Stats'!$A:$N,MATCH($A19,'Ex post LI &amp; Eligibility Stats'!$A:$A,0),MATCH('Program MW '!O$6,'Ex post LI &amp; Eligibility Stats'!$A$8:$N$8,0))/1000)</f>
        <v>1.8493139000000001</v>
      </c>
      <c r="Q19" s="123">
        <v>125</v>
      </c>
      <c r="R19" s="236">
        <f>Q19*(INDEX('Ex ante LI &amp; Eligibility Stats'!$A:$M,MATCH('Program MW '!$A19,'Ex ante LI &amp; Eligibility Stats'!$A:$A,0),MATCH('Program MW '!R$6,'Ex ante LI &amp; Eligibility Stats'!$A$8:$M$8,0))/1000)</f>
        <v>1.132579625</v>
      </c>
      <c r="S19" s="237">
        <f>Q19*(INDEX('Ex post LI &amp; Eligibility Stats'!$A:$N,MATCH($A19,'Ex post LI &amp; Eligibility Stats'!$A:$A,0),MATCH('Program MW '!R$6,'Ex post LI &amp; Eligibility Stats'!$A$8:$N$8,0))/1000)</f>
        <v>1.7251062500000001</v>
      </c>
      <c r="T19" s="4">
        <v>18875</v>
      </c>
      <c r="U19" s="6"/>
      <c r="V19" s="6"/>
      <c r="W19" s="6"/>
      <c r="X19" s="6"/>
      <c r="Y19" s="6"/>
      <c r="Z19" s="6"/>
      <c r="AA19" s="6"/>
      <c r="AB19" s="6"/>
      <c r="AC19" s="6"/>
      <c r="AD19" s="6"/>
      <c r="AE19" s="6"/>
    </row>
    <row r="20" spans="1:31" s="117" customFormat="1">
      <c r="A20" s="196" t="s">
        <v>55</v>
      </c>
      <c r="B20" s="152">
        <v>94</v>
      </c>
      <c r="C20" s="236">
        <v>0</v>
      </c>
      <c r="D20" s="237">
        <v>0</v>
      </c>
      <c r="E20" s="152">
        <v>94</v>
      </c>
      <c r="F20" s="236" t="s">
        <v>56</v>
      </c>
      <c r="G20" s="237" t="s">
        <v>56</v>
      </c>
      <c r="H20" s="152">
        <v>92</v>
      </c>
      <c r="I20" s="407">
        <f>H20*(INDEX('Ex ante LI &amp; Eligibility Stats'!$A:$M,MATCH('Program MW '!$A20,'Ex ante LI &amp; Eligibility Stats'!$A:$A,0),MATCH('Program MW '!I$6,'Ex ante LI &amp; Eligibility Stats'!$A$8:$M$8,0))/1000)</f>
        <v>7.8712055087089533E-4</v>
      </c>
      <c r="J20" s="237">
        <f>H20*(INDEX('Ex post LI &amp; Eligibility Stats'!$A:$N,MATCH($A20,'Ex post LI &amp; Eligibility Stats'!$A:$A,0),MATCH('Program MW '!I$6,'Ex post LI &amp; Eligibility Stats'!$A$8:$N$8,0))/1000)</f>
        <v>4.3654910326004027E-2</v>
      </c>
      <c r="K20" s="406">
        <v>91</v>
      </c>
      <c r="L20" s="236">
        <f>K20*(INDEX('Ex ante LI &amp; Eligibility Stats'!$A:$M,MATCH('Program MW '!$A20,'Ex ante LI &amp; Eligibility Stats'!$A:$A,0),MATCH('Program MW '!L$6,'Ex ante LI &amp; Eligibility Stats'!$A$8:$M$8,0))/1000)</f>
        <v>0</v>
      </c>
      <c r="M20" s="237">
        <f>K20*(INDEX('Ex post LI &amp; Eligibility Stats'!$A:$N,MATCH($A20,'Ex post LI &amp; Eligibility Stats'!$A:$A,0),MATCH('Program MW '!L$6,'Ex post LI &amp; Eligibility Stats'!$A$8:$N$8,0))/1000)</f>
        <v>4.318040043115616E-2</v>
      </c>
      <c r="N20" s="152">
        <v>87</v>
      </c>
      <c r="O20" s="236">
        <f>N20*(INDEX('Ex ante LI &amp; Eligibility Stats'!$A:$M,MATCH('Program MW '!$A20,'Ex ante LI &amp; Eligibility Stats'!$A:$A,0),MATCH('Program MW '!O$6,'Ex ante LI &amp; Eligibility Stats'!$A$8:$M$8,0))/1000)</f>
        <v>0</v>
      </c>
      <c r="P20" s="237">
        <f>N20*(INDEX('Ex post LI &amp; Eligibility Stats'!$A:$N,MATCH($A20,'Ex post LI &amp; Eligibility Stats'!$A:$A,0),MATCH('Program MW '!O$6,'Ex post LI &amp; Eligibility Stats'!$A$8:$N$8,0))/1000)</f>
        <v>4.1282360851764677E-2</v>
      </c>
      <c r="Q20" s="152">
        <v>95</v>
      </c>
      <c r="R20" s="236">
        <f>Q20*(INDEX('Ex ante LI &amp; Eligibility Stats'!$A:$M,MATCH('Program MW '!$A20,'Ex ante LI &amp; Eligibility Stats'!$A:$A,0),MATCH('Program MW '!R$6,'Ex ante LI &amp; Eligibility Stats'!$A$8:$M$8,0))/1000)</f>
        <v>0</v>
      </c>
      <c r="S20" s="237">
        <f>Q20*(INDEX('Ex post LI &amp; Eligibility Stats'!$A:$N,MATCH($A20,'Ex post LI &amp; Eligibility Stats'!$A:$A,0),MATCH('Program MW '!R$6,'Ex post LI &amp; Eligibility Stats'!$A$8:$N$8,0))/1000)</f>
        <v>4.5078440010547637E-2</v>
      </c>
      <c r="T20" s="294"/>
      <c r="U20" s="295"/>
      <c r="V20" s="295"/>
      <c r="W20" s="295"/>
      <c r="X20" s="295"/>
      <c r="Y20" s="295"/>
      <c r="Z20" s="295"/>
      <c r="AA20" s="295"/>
      <c r="AB20" s="295"/>
      <c r="AC20" s="295"/>
      <c r="AD20" s="295"/>
      <c r="AE20" s="295"/>
    </row>
    <row r="21" spans="1:31">
      <c r="A21" s="121" t="s">
        <v>26</v>
      </c>
      <c r="B21" s="123">
        <v>111812</v>
      </c>
      <c r="C21" s="236">
        <f>B21*(INDEX('Ex ante LI &amp; Eligibility Stats'!$A:$M,MATCH($A21,'Ex ante LI &amp; Eligibility Stats'!$A:$A,0),MATCH('Program MW '!C$6,'Ex ante LI &amp; Eligibility Stats'!$A$8:$M$8,0))/1000)</f>
        <v>1.11812</v>
      </c>
      <c r="D21" s="237">
        <f>B21*(INDEX('Ex post LI &amp; Eligibility Stats'!$A:$N,MATCH($A21,'Ex post LI &amp; Eligibility Stats'!$A:$A,0),MATCH('Program MW '!C$6,'Ex post LI &amp; Eligibility Stats'!$A$8:$N$8,0))/1000)</f>
        <v>5.5906000000000002</v>
      </c>
      <c r="E21" s="123">
        <v>111739</v>
      </c>
      <c r="F21" s="236">
        <f>E21*(INDEX('Ex ante LI &amp; Eligibility Stats'!$A:$M,MATCH($A21,'Ex ante LI &amp; Eligibility Stats'!$A:$A,0),MATCH('Program MW '!F$6,'Ex ante LI &amp; Eligibility Stats'!$A$8:$M$8,0))/1000)</f>
        <v>1.1173900000000001</v>
      </c>
      <c r="G21" s="237">
        <f>E21*(INDEX('Ex post LI &amp; Eligibility Stats'!$A:$N,MATCH($A21,'Ex post LI &amp; Eligibility Stats'!$A:$A,0),MATCH('Program MW '!F$6,'Ex post LI &amp; Eligibility Stats'!$A$8:$N$8,0))/1000)</f>
        <v>5.5869499999999999</v>
      </c>
      <c r="H21" s="123">
        <v>111470</v>
      </c>
      <c r="I21" s="407">
        <f>H21*(INDEX('Ex ante LI &amp; Eligibility Stats'!$A:$M,MATCH('Program MW '!$A21,'Ex ante LI &amp; Eligibility Stats'!$A:$A,0),MATCH('Program MW '!I$6,'Ex ante LI &amp; Eligibility Stats'!$A$8:$M$8,0))/1000)</f>
        <v>1.1604781531494454E-2</v>
      </c>
      <c r="J21" s="237">
        <f>H21*(INDEX('Ex post LI &amp; Eligibility Stats'!$A:$N,MATCH($A21,'Ex post LI &amp; Eligibility Stats'!$A:$A,0),MATCH('Program MW '!I$6,'Ex post LI &amp; Eligibility Stats'!$A$8:$N$8,0))/1000)</f>
        <v>5.5695092280344607</v>
      </c>
      <c r="K21" s="406">
        <v>112449</v>
      </c>
      <c r="L21" s="236">
        <f>K21*(INDEX('Ex ante LI &amp; Eligibility Stats'!$A:$M,MATCH('Program MW '!$A21,'Ex ante LI &amp; Eligibility Stats'!$A:$A,0),MATCH('Program MW '!L$6,'Ex ante LI &amp; Eligibility Stats'!$A$8:$M$8,0))/1000)</f>
        <v>8.2588858593487885E-2</v>
      </c>
      <c r="M21" s="237">
        <f>K21*(INDEX('Ex post LI &amp; Eligibility Stats'!$A:$N,MATCH($A21,'Ex post LI &amp; Eligibility Stats'!$A:$A,0),MATCH('Program MW '!L$6,'Ex post LI &amp; Eligibility Stats'!$A$8:$N$8,0))/1000)</f>
        <v>5.6184241785524991</v>
      </c>
      <c r="N21" s="123">
        <v>106176</v>
      </c>
      <c r="O21" s="236">
        <f>N21*(INDEX('Ex ante LI &amp; Eligibility Stats'!$A:$M,MATCH('Program MW '!$A21,'Ex ante LI &amp; Eligibility Stats'!$A:$A,0),MATCH('Program MW '!O$6,'Ex ante LI &amp; Eligibility Stats'!$A$8:$M$8,0))/1000)</f>
        <v>0.14518625372857208</v>
      </c>
      <c r="P21" s="237">
        <f>N21*(INDEX('Ex post LI &amp; Eligibility Stats'!$A:$N,MATCH($A21,'Ex post LI &amp; Eligibility Stats'!$A:$A,0),MATCH('Program MW '!O$6,'Ex post LI &amp; Eligibility Stats'!$A$8:$N$8,0))/1000)</f>
        <v>5.3049987601667432</v>
      </c>
      <c r="Q21" s="123">
        <v>105904</v>
      </c>
      <c r="R21" s="236">
        <f>Q21*(INDEX('Ex ante LI &amp; Eligibility Stats'!$A:$M,MATCH('Program MW '!$A21,'Ex ante LI &amp; Eligibility Stats'!$A:$A,0),MATCH('Program MW '!R$6,'Ex ante LI &amp; Eligibility Stats'!$A$8:$M$8,0))/1000)</f>
        <v>9.293238217800405E-2</v>
      </c>
      <c r="S21" s="237">
        <f>Q21*(INDEX('Ex post LI &amp; Eligibility Stats'!$A:$N,MATCH($A21,'Ex post LI &amp; Eligibility Stats'!$A:$A,0),MATCH('Program MW '!R$6,'Ex post LI &amp; Eligibility Stats'!$A$8:$N$8,0))/1000)</f>
        <v>5.2914084981229168</v>
      </c>
      <c r="T21" s="4"/>
      <c r="U21" s="6"/>
      <c r="V21" s="6"/>
      <c r="W21" s="6"/>
      <c r="X21" s="6"/>
      <c r="Y21" s="6"/>
      <c r="Z21" s="6"/>
      <c r="AA21" s="6"/>
      <c r="AB21" s="6"/>
      <c r="AC21" s="6"/>
      <c r="AD21" s="6"/>
      <c r="AE21" s="6"/>
    </row>
    <row r="22" spans="1:31">
      <c r="A22" s="157" t="s">
        <v>27</v>
      </c>
      <c r="B22" s="195">
        <v>17743</v>
      </c>
      <c r="C22" s="238">
        <f>B22*(INDEX('Ex ante LI &amp; Eligibility Stats'!$A:$M,MATCH($A22,'Ex ante LI &amp; Eligibility Stats'!$A:$A,0),MATCH('Program MW '!C$6,'Ex ante LI &amp; Eligibility Stats'!$A$8:$M$8,0))/1000)</f>
        <v>0.68663677264004952</v>
      </c>
      <c r="D22" s="239">
        <f>B22*(INDEX('Ex post LI &amp; Eligibility Stats'!$A:$N,MATCH($A22,'Ex post LI &amp; Eligibility Stats'!$A:$A,0),MATCH('Program MW '!C$6,'Ex post LI &amp; Eligibility Stats'!$A$8:$N$8,0))/1000)</f>
        <v>3.0163100000000003</v>
      </c>
      <c r="E22" s="195">
        <v>18502</v>
      </c>
      <c r="F22" s="380">
        <f>E22*(INDEX('Ex ante LI &amp; Eligibility Stats'!$A:$M,MATCH($A22,'Ex ante LI &amp; Eligibility Stats'!$A:$A,0),MATCH('Program MW '!F$6,'Ex ante LI &amp; Eligibility Stats'!$A$8:$M$8,0))/1000)</f>
        <v>0.63577350297570234</v>
      </c>
      <c r="G22" s="237">
        <f>E22*(INDEX('Ex post LI &amp; Eligibility Stats'!$A:$N,MATCH($A22,'Ex post LI &amp; Eligibility Stats'!$A:$A,0),MATCH('Program MW '!F$6,'Ex post LI &amp; Eligibility Stats'!$A$8:$N$8,0))/1000)</f>
        <v>3.14534</v>
      </c>
      <c r="H22" s="195">
        <v>19323</v>
      </c>
      <c r="I22" s="236">
        <f>H22*(INDEX('Ex ante LI &amp; Eligibility Stats'!$A:$M,MATCH('Program MW '!$A22,'Ex ante LI &amp; Eligibility Stats'!$A:$A,0),MATCH('Program MW '!I$6,'Ex ante LI &amp; Eligibility Stats'!$A$8:$M$8,0))/1000)</f>
        <v>0.81720589716985104</v>
      </c>
      <c r="J22" s="237">
        <f>H22*(INDEX('Ex post LI &amp; Eligibility Stats'!$A:$N,MATCH($A22,'Ex post LI &amp; Eligibility Stats'!$A:$A,0),MATCH('Program MW '!I$6,'Ex post LI &amp; Eligibility Stats'!$A$8:$N$8,0))/1000)</f>
        <v>3.2290746207483987</v>
      </c>
      <c r="K22" s="406">
        <v>16109</v>
      </c>
      <c r="L22" s="236">
        <f>K22*(INDEX('Ex ante LI &amp; Eligibility Stats'!$A:$M,MATCH('Program MW '!$A22,'Ex ante LI &amp; Eligibility Stats'!$A:$A,0),MATCH('Program MW '!L$6,'Ex ante LI &amp; Eligibility Stats'!$A$8:$M$8,0))/1000)</f>
        <v>0.74185605258546561</v>
      </c>
      <c r="M22" s="237">
        <f>K22*(INDEX('Ex post LI &amp; Eligibility Stats'!$A:$N,MATCH($A22,'Ex post LI &amp; Eligibility Stats'!$A:$A,0),MATCH('Program MW '!L$6,'Ex post LI &amp; Eligibility Stats'!$A$8:$N$8,0))/1000)</f>
        <v>2.6919817350119524</v>
      </c>
      <c r="N22" s="195">
        <v>19517</v>
      </c>
      <c r="O22" s="236">
        <f>N22*(INDEX('Ex ante LI &amp; Eligibility Stats'!$A:$M,MATCH('Program MW '!$A22,'Ex ante LI &amp; Eligibility Stats'!$A:$A,0),MATCH('Program MW '!O$6,'Ex ante LI &amp; Eligibility Stats'!$A$8:$M$8,0))/1000)</f>
        <v>1.9292683404082556</v>
      </c>
      <c r="P22" s="237">
        <f>N22*(INDEX('Ex post LI &amp; Eligibility Stats'!$A:$N,MATCH($A22,'Ex post LI &amp; Eligibility Stats'!$A:$A,0),MATCH('Program MW '!O$6,'Ex post LI &amp; Eligibility Stats'!$A$8:$N$8,0))/1000)</f>
        <v>3.2614940419782896</v>
      </c>
      <c r="Q22" s="195">
        <v>20395</v>
      </c>
      <c r="R22" s="236">
        <f>Q22*(INDEX('Ex ante LI &amp; Eligibility Stats'!$A:$M,MATCH('Program MW '!$A22,'Ex ante LI &amp; Eligibility Stats'!$A:$A,0),MATCH('Program MW '!R$6,'Ex ante LI &amp; Eligibility Stats'!$A$8:$M$8,0))/1000)</f>
        <v>1.5282490066869205</v>
      </c>
      <c r="S22" s="237">
        <f>Q22*(INDEX('Ex post LI &amp; Eligibility Stats'!$A:$N,MATCH($A22,'Ex post LI &amp; Eligibility Stats'!$A:$A,0),MATCH('Program MW '!R$6,'Ex post LI &amp; Eligibility Stats'!$A$8:$N$8,0))/1000)</f>
        <v>3.4082169896063546</v>
      </c>
      <c r="T22" s="4"/>
      <c r="U22" s="6"/>
      <c r="V22" s="6"/>
      <c r="W22" s="6"/>
      <c r="X22" s="6"/>
      <c r="Y22" s="6"/>
      <c r="Z22" s="6"/>
      <c r="AA22" s="6"/>
      <c r="AB22" s="6"/>
      <c r="AC22" s="6"/>
      <c r="AD22" s="6"/>
      <c r="AE22" s="6"/>
    </row>
    <row r="23" spans="1:31" ht="13.5" thickBot="1">
      <c r="A23" s="135" t="s">
        <v>57</v>
      </c>
      <c r="B23" s="122">
        <f t="shared" ref="B23:S23" si="3">SUM(B12:B22)</f>
        <v>174699</v>
      </c>
      <c r="C23" s="133">
        <f t="shared" si="3"/>
        <v>3.778228213925745</v>
      </c>
      <c r="D23" s="132">
        <f t="shared" si="3"/>
        <v>21.590120000000002</v>
      </c>
      <c r="E23" s="1">
        <f t="shared" si="3"/>
        <v>175218</v>
      </c>
      <c r="F23" s="159">
        <f t="shared" si="3"/>
        <v>3.7227877957456035</v>
      </c>
      <c r="G23" s="160">
        <f t="shared" si="3"/>
        <v>21.668740000000003</v>
      </c>
      <c r="H23" s="1">
        <f t="shared" si="3"/>
        <v>174537</v>
      </c>
      <c r="I23" s="159">
        <f t="shared" si="3"/>
        <v>0.82959779925221644</v>
      </c>
      <c r="J23" s="160">
        <f t="shared" si="3"/>
        <v>22.121750536563383</v>
      </c>
      <c r="K23" s="1">
        <f t="shared" si="3"/>
        <v>172865</v>
      </c>
      <c r="L23" s="159">
        <f t="shared" si="3"/>
        <v>1.9760197769305581</v>
      </c>
      <c r="M23" s="160">
        <f t="shared" si="3"/>
        <v>21.894651100392426</v>
      </c>
      <c r="N23" s="1">
        <f t="shared" si="3"/>
        <v>168949</v>
      </c>
      <c r="O23" s="161">
        <f t="shared" si="3"/>
        <v>6.1291205687216852</v>
      </c>
      <c r="P23" s="164">
        <f t="shared" si="3"/>
        <v>24.28094192448647</v>
      </c>
      <c r="Q23" s="1">
        <f t="shared" si="3"/>
        <v>160097</v>
      </c>
      <c r="R23" s="168">
        <f t="shared" si="3"/>
        <v>4.7674030645313437</v>
      </c>
      <c r="S23" s="169">
        <f t="shared" si="3"/>
        <v>20.599531888362314</v>
      </c>
      <c r="T23" s="5"/>
      <c r="U23" s="6"/>
      <c r="V23" s="6"/>
      <c r="W23" s="6"/>
      <c r="X23" s="6"/>
      <c r="Y23" s="6"/>
      <c r="Z23" s="6"/>
      <c r="AA23" s="6"/>
      <c r="AB23" s="6"/>
      <c r="AC23" s="6"/>
      <c r="AD23" s="6"/>
      <c r="AE23" s="6"/>
    </row>
    <row r="24" spans="1:31" ht="14.25" thickTop="1" thickBot="1">
      <c r="A24" s="138" t="s">
        <v>58</v>
      </c>
      <c r="B24" s="2">
        <f t="shared" ref="B24:S24" si="4">+B10+B23</f>
        <v>174703</v>
      </c>
      <c r="C24" s="133">
        <f t="shared" si="4"/>
        <v>4.3699852940038699</v>
      </c>
      <c r="D24" s="193">
        <f t="shared" si="4"/>
        <v>22.014440000000004</v>
      </c>
      <c r="E24" s="2">
        <f t="shared" si="4"/>
        <v>175222</v>
      </c>
      <c r="F24" s="133">
        <f t="shared" si="4"/>
        <v>4.216221236907713</v>
      </c>
      <c r="G24" s="133">
        <f t="shared" si="4"/>
        <v>22.093060000000005</v>
      </c>
      <c r="H24" s="2">
        <f t="shared" si="4"/>
        <v>174541</v>
      </c>
      <c r="I24" s="133">
        <f t="shared" si="4"/>
        <v>1.4463025111662788</v>
      </c>
      <c r="J24" s="132">
        <f t="shared" si="4"/>
        <v>22.545750536563382</v>
      </c>
      <c r="K24" s="2">
        <f t="shared" si="4"/>
        <v>172867</v>
      </c>
      <c r="L24" s="133">
        <f t="shared" si="4"/>
        <v>2.2587454544207923</v>
      </c>
      <c r="M24" s="132">
        <f t="shared" si="4"/>
        <v>22.106651100392426</v>
      </c>
      <c r="N24" s="2">
        <f t="shared" si="4"/>
        <v>168951</v>
      </c>
      <c r="O24" s="162">
        <f t="shared" si="4"/>
        <v>6.4037210936240285</v>
      </c>
      <c r="P24" s="132">
        <f t="shared" si="4"/>
        <v>24.49294192448647</v>
      </c>
      <c r="Q24" s="2">
        <f t="shared" si="4"/>
        <v>160098</v>
      </c>
      <c r="R24" s="171">
        <f t="shared" si="4"/>
        <v>4.9344875524463827</v>
      </c>
      <c r="S24" s="170">
        <f t="shared" si="4"/>
        <v>20.705531888362316</v>
      </c>
      <c r="T24" s="7"/>
      <c r="U24" s="6"/>
      <c r="V24" s="6"/>
      <c r="W24" s="6"/>
      <c r="X24" s="6"/>
      <c r="Y24" s="6"/>
      <c r="Z24" s="6"/>
      <c r="AA24" s="6"/>
      <c r="AB24" s="6"/>
      <c r="AC24" s="6"/>
      <c r="AD24" s="6"/>
      <c r="AE24" s="6"/>
    </row>
    <row r="25" spans="1:31" ht="13.5" thickTop="1">
      <c r="A25" s="123"/>
      <c r="B25" s="74"/>
      <c r="C25" s="72"/>
      <c r="D25" s="73"/>
      <c r="E25" s="123"/>
      <c r="F25" s="72"/>
      <c r="G25" s="75"/>
      <c r="H25" s="123"/>
      <c r="I25" s="72"/>
      <c r="J25" s="75"/>
      <c r="K25" s="406"/>
      <c r="L25" s="72"/>
      <c r="M25" s="75"/>
      <c r="N25" s="123"/>
      <c r="O25" s="72"/>
      <c r="P25" s="75"/>
      <c r="Q25" s="123"/>
      <c r="R25" s="72"/>
      <c r="S25" s="75"/>
      <c r="T25" s="8"/>
      <c r="U25" s="6"/>
      <c r="V25" s="6"/>
      <c r="W25" s="6"/>
      <c r="X25" s="6"/>
      <c r="Y25" s="6"/>
      <c r="Z25" s="6"/>
      <c r="AA25" s="6"/>
      <c r="AB25" s="6"/>
      <c r="AC25" s="6"/>
      <c r="AD25" s="6"/>
      <c r="AE25" s="6"/>
    </row>
    <row r="26" spans="1:31">
      <c r="A26" s="195"/>
      <c r="B26" s="37"/>
      <c r="C26" s="37"/>
      <c r="D26" s="37"/>
      <c r="E26" s="195"/>
      <c r="F26" s="37"/>
      <c r="G26" s="37"/>
      <c r="H26" s="195"/>
      <c r="I26" s="37"/>
      <c r="J26" s="37"/>
      <c r="K26" s="406"/>
      <c r="L26" s="37"/>
      <c r="M26" s="37"/>
      <c r="N26" s="195"/>
      <c r="O26" s="37"/>
      <c r="P26" s="37"/>
      <c r="Q26" s="195"/>
      <c r="R26" s="37"/>
      <c r="S26" s="37"/>
    </row>
    <row r="27" spans="1:31" hidden="1">
      <c r="B27" s="37"/>
      <c r="C27" s="37">
        <f>C4+6</f>
        <v>8</v>
      </c>
      <c r="D27" s="37">
        <f>D4+6</f>
        <v>8</v>
      </c>
      <c r="E27" s="37"/>
      <c r="F27" s="37">
        <f>F4+6</f>
        <v>9</v>
      </c>
      <c r="G27" s="37">
        <f>G4+6</f>
        <v>9</v>
      </c>
      <c r="H27" s="37"/>
      <c r="I27" s="37">
        <f>I4+6</f>
        <v>10</v>
      </c>
      <c r="J27" s="37">
        <f>J4+6</f>
        <v>10</v>
      </c>
      <c r="K27" s="37"/>
      <c r="L27" s="37">
        <f>L4+6</f>
        <v>11</v>
      </c>
      <c r="M27" s="37">
        <f>M4+6</f>
        <v>11</v>
      </c>
      <c r="N27" s="37"/>
      <c r="O27" s="37">
        <f>O4+6</f>
        <v>12</v>
      </c>
      <c r="P27" s="37">
        <f>P4+6</f>
        <v>12</v>
      </c>
      <c r="Q27" s="37"/>
      <c r="R27" s="37">
        <f>R4+6</f>
        <v>13</v>
      </c>
      <c r="S27" s="37">
        <f>S4+6</f>
        <v>13</v>
      </c>
    </row>
    <row r="28" spans="1:31">
      <c r="A28" s="71"/>
      <c r="B28" s="279"/>
      <c r="C28" s="279" t="s">
        <v>59</v>
      </c>
      <c r="D28" s="182"/>
      <c r="E28" s="279"/>
      <c r="F28" s="279" t="s">
        <v>60</v>
      </c>
      <c r="G28" s="279"/>
      <c r="H28" s="279"/>
      <c r="I28" s="279" t="s">
        <v>61</v>
      </c>
      <c r="J28" s="279"/>
      <c r="K28" s="279"/>
      <c r="L28" s="279" t="s">
        <v>62</v>
      </c>
      <c r="M28" s="279"/>
      <c r="N28" s="279"/>
      <c r="O28" s="279" t="s">
        <v>63</v>
      </c>
      <c r="P28" s="279"/>
      <c r="Q28" s="279"/>
      <c r="R28" s="279" t="s">
        <v>64</v>
      </c>
      <c r="S28" s="279"/>
      <c r="T28" s="111"/>
      <c r="U28" s="111"/>
    </row>
    <row r="29" spans="1:31" ht="42">
      <c r="A29" s="461" t="s">
        <v>46</v>
      </c>
      <c r="B29" s="464" t="s">
        <v>6</v>
      </c>
      <c r="C29" s="458" t="s">
        <v>48</v>
      </c>
      <c r="D29" s="459" t="s">
        <v>49</v>
      </c>
      <c r="E29" s="464" t="s">
        <v>6</v>
      </c>
      <c r="F29" s="458" t="s">
        <v>48</v>
      </c>
      <c r="G29" s="459" t="s">
        <v>49</v>
      </c>
      <c r="H29" s="464" t="s">
        <v>6</v>
      </c>
      <c r="I29" s="458" t="s">
        <v>48</v>
      </c>
      <c r="J29" s="459" t="s">
        <v>49</v>
      </c>
      <c r="K29" s="464" t="s">
        <v>6</v>
      </c>
      <c r="L29" s="458" t="s">
        <v>48</v>
      </c>
      <c r="M29" s="459" t="s">
        <v>49</v>
      </c>
      <c r="N29" s="464" t="s">
        <v>6</v>
      </c>
      <c r="O29" s="458" t="s">
        <v>48</v>
      </c>
      <c r="P29" s="459" t="s">
        <v>49</v>
      </c>
      <c r="Q29" s="464" t="s">
        <v>6</v>
      </c>
      <c r="R29" s="458" t="s">
        <v>65</v>
      </c>
      <c r="S29" s="459" t="s">
        <v>66</v>
      </c>
      <c r="T29" s="459" t="s">
        <v>50</v>
      </c>
      <c r="V29" s="10"/>
    </row>
    <row r="30" spans="1:31">
      <c r="A30" s="461" t="s">
        <v>51</v>
      </c>
      <c r="B30" s="464"/>
      <c r="C30" s="462"/>
      <c r="D30" s="465"/>
      <c r="E30" s="464"/>
      <c r="F30" s="462"/>
      <c r="G30" s="465"/>
      <c r="H30" s="464"/>
      <c r="I30" s="462"/>
      <c r="J30" s="462"/>
      <c r="K30" s="464"/>
      <c r="L30" s="462"/>
      <c r="M30" s="465"/>
      <c r="N30" s="464"/>
      <c r="O30" s="462"/>
      <c r="P30" s="465"/>
      <c r="Q30" s="464"/>
      <c r="R30" s="462"/>
      <c r="S30" s="465"/>
      <c r="T30" s="466"/>
    </row>
    <row r="31" spans="1:31">
      <c r="A31" s="68" t="s">
        <v>8</v>
      </c>
      <c r="B31" s="94">
        <v>1</v>
      </c>
      <c r="C31" s="236">
        <f>B31*(INDEX('Ex ante LI &amp; Eligibility Stats'!$A:$M,MATCH('Program MW '!$A31,'Ex ante LI &amp; Eligibility Stats'!$A:$A,0),MATCH('Program MW '!C$28,'Ex ante LI &amp; Eligibility Stats'!$A$8:$M$8,0))/1000)</f>
        <v>0.15948800659179688</v>
      </c>
      <c r="D31" s="236">
        <f>B31*(INDEX('Ex post LI &amp; Eligibility Stats'!$A:$N,MATCH($A31,'Ex post LI &amp; Eligibility Stats'!$A:$A,0),MATCH('Program MW '!C$28,'Ex post LI &amp; Eligibility Stats'!$A$8:$N$8,0))/1000)</f>
        <v>0.106</v>
      </c>
      <c r="E31" s="92">
        <v>1</v>
      </c>
      <c r="F31" s="236">
        <f>E31*(INDEX('Ex ante LI &amp; Eligibility Stats'!$A:$M,MATCH('Program MW '!$A31,'Ex ante LI &amp; Eligibility Stats'!$A:$A,0),MATCH('Program MW '!F$28,'Ex ante LI &amp; Eligibility Stats'!$A$8:$M$8,0))/1000)</f>
        <v>0.15982838439941408</v>
      </c>
      <c r="G31" s="236">
        <f>E31*(INDEX('Ex post LI &amp; Eligibility Stats'!$A:$N,MATCH($A31,'Ex post LI &amp; Eligibility Stats'!$A:$A,0),MATCH('Program MW '!F$28,'Ex post LI &amp; Eligibility Stats'!$A$8:$N$8,0))/1000)</f>
        <v>0.106</v>
      </c>
      <c r="H31" s="406">
        <v>1</v>
      </c>
      <c r="I31" s="236">
        <f>H31*(INDEX('Ex ante LI &amp; Eligibility Stats'!$A:$M,MATCH('Program MW '!$A31,'Ex ante LI &amp; Eligibility Stats'!$A:$A,0),MATCH('Program MW '!I$28,'Ex ante LI &amp; Eligibility Stats'!$A$8:$M$8,0))/1000)</f>
        <v>0.18203308105468749</v>
      </c>
      <c r="J31" s="236">
        <f>H31*(INDEX('Ex post LI &amp; Eligibility Stats'!$A:$N,MATCH($A31,'Ex post LI &amp; Eligibility Stats'!$A:$A,0),MATCH('Program MW '!I$28,'Ex post LI &amp; Eligibility Stats'!$A$8:$N$8,0))/1000)</f>
        <v>0.106</v>
      </c>
      <c r="K31" s="477">
        <v>1</v>
      </c>
      <c r="L31" s="236">
        <f>K31*(INDEX('Ex ante LI &amp; Eligibility Stats'!$A:$M,MATCH('Program MW '!$A31,'Ex ante LI &amp; Eligibility Stats'!$A:$A,0),MATCH('Program MW '!L$28,'Ex ante LI &amp; Eligibility Stats'!$A$8:$M$8,0))/1000)</f>
        <v>0.15341392517089844</v>
      </c>
      <c r="M31" s="236">
        <f>K31*(INDEX('Ex post LI &amp; Eligibility Stats'!$A:$N,MATCH($A31,'Ex post LI &amp; Eligibility Stats'!$A:$A,0),MATCH('Program MW '!L$28,'Ex post LI &amp; Eligibility Stats'!$A$8:$N$8,0))/1000)</f>
        <v>0.106</v>
      </c>
      <c r="N31" s="92">
        <v>0</v>
      </c>
      <c r="O31" s="236">
        <f>N31*(INDEX('Ex ante LI &amp; Eligibility Stats'!$A:$M,MATCH('Program MW '!$A31,'Ex ante LI &amp; Eligibility Stats'!$A:$A,0),MATCH('Program MW '!O$28,'Ex ante LI &amp; Eligibility Stats'!$A$8:$M$8,0))/1000)</f>
        <v>0</v>
      </c>
      <c r="P31" s="236">
        <f>N31*(INDEX('Ex post LI &amp; Eligibility Stats'!$A:$N,MATCH($A31,'Ex post LI &amp; Eligibility Stats'!$A:$A,0),MATCH('Program MW '!O$28,'Ex post LI &amp; Eligibility Stats'!$A$8:$N$8,0))/1000)</f>
        <v>0</v>
      </c>
      <c r="Q31" s="92">
        <v>0</v>
      </c>
      <c r="R31" s="236">
        <f>Q31*(INDEX('Ex ante LI &amp; Eligibility Stats'!$A:$M,MATCH('Program MW '!$A31,'Ex ante LI &amp; Eligibility Stats'!$A:$A,0),MATCH('Program MW '!R$28,'Ex ante LI &amp; Eligibility Stats'!$A$8:$M$8,0))/1000)</f>
        <v>0</v>
      </c>
      <c r="S31" s="236">
        <f>Q31*(INDEX('Ex post LI &amp; Eligibility Stats'!$A:$N,MATCH($A31,'Ex post LI &amp; Eligibility Stats'!$A:$A,0),MATCH('Program MW '!R$28,'Ex post LI &amp; Eligibility Stats'!$A$8:$N$8,0))/1000)</f>
        <v>0</v>
      </c>
      <c r="T31" s="4">
        <v>5276</v>
      </c>
    </row>
    <row r="32" spans="1:31" ht="13.5" thickBot="1">
      <c r="A32" s="135" t="s">
        <v>52</v>
      </c>
      <c r="B32" s="120">
        <f t="shared" ref="B32:K32" si="5">SUM(B31:B31)</f>
        <v>1</v>
      </c>
      <c r="C32" s="184">
        <f t="shared" si="5"/>
        <v>0.15948800659179688</v>
      </c>
      <c r="D32" s="185">
        <f t="shared" si="5"/>
        <v>0.106</v>
      </c>
      <c r="E32" s="93">
        <f t="shared" si="5"/>
        <v>1</v>
      </c>
      <c r="F32" s="184">
        <f t="shared" ref="F32:G32" si="6">SUM(F31:F31)</f>
        <v>0.15982838439941408</v>
      </c>
      <c r="G32" s="185">
        <f t="shared" si="6"/>
        <v>0.106</v>
      </c>
      <c r="H32" s="93">
        <f t="shared" si="5"/>
        <v>1</v>
      </c>
      <c r="I32" s="184">
        <f t="shared" si="5"/>
        <v>0.18203308105468749</v>
      </c>
      <c r="J32" s="185">
        <f t="shared" si="5"/>
        <v>0.106</v>
      </c>
      <c r="K32" s="93">
        <f t="shared" si="5"/>
        <v>1</v>
      </c>
      <c r="L32" s="184">
        <f t="shared" ref="L32:M32" si="7">SUM(L31:L31)</f>
        <v>0.15341392517089844</v>
      </c>
      <c r="M32" s="185">
        <f t="shared" si="7"/>
        <v>0.106</v>
      </c>
      <c r="N32" s="93">
        <f t="shared" ref="N32:Q32" si="8">SUM(N31:N31)</f>
        <v>0</v>
      </c>
      <c r="O32" s="184">
        <f t="shared" ref="O32:P32" si="9">SUM(O31:O31)</f>
        <v>0</v>
      </c>
      <c r="P32" s="185">
        <f t="shared" si="9"/>
        <v>0</v>
      </c>
      <c r="Q32" s="93">
        <f t="shared" si="8"/>
        <v>0</v>
      </c>
      <c r="R32" s="184">
        <f t="shared" ref="R32:S32" si="10">SUM(R31:R31)</f>
        <v>0</v>
      </c>
      <c r="S32" s="185">
        <f t="shared" si="10"/>
        <v>0</v>
      </c>
      <c r="T32" s="5"/>
    </row>
    <row r="33" spans="1:26" ht="13.5" thickTop="1">
      <c r="A33" s="461" t="s">
        <v>53</v>
      </c>
      <c r="B33" s="472"/>
      <c r="C33" s="470"/>
      <c r="D33" s="136"/>
      <c r="E33" s="472"/>
      <c r="F33" s="470"/>
      <c r="G33" s="136"/>
      <c r="H33" s="472"/>
      <c r="I33" s="470"/>
      <c r="J33" s="136"/>
      <c r="K33" s="472"/>
      <c r="L33" s="470"/>
      <c r="M33" s="136"/>
      <c r="N33" s="472"/>
      <c r="O33" s="470"/>
      <c r="P33" s="136"/>
      <c r="Q33" s="472"/>
      <c r="R33" s="470"/>
      <c r="S33" s="136"/>
      <c r="T33" s="466"/>
    </row>
    <row r="34" spans="1:26">
      <c r="A34" s="38" t="s">
        <v>11</v>
      </c>
      <c r="B34" s="473">
        <v>5806</v>
      </c>
      <c r="C34" s="236">
        <f>B34*(INDEX('Ex ante LI &amp; Eligibility Stats'!$A:$M,MATCH('Program MW '!$A34,'Ex ante LI &amp; Eligibility Stats'!$A:$A,0),MATCH('Program MW '!C$28,'Ex ante LI &amp; Eligibility Stats'!$A$8:$M$8,0))/1000)</f>
        <v>0</v>
      </c>
      <c r="D34" s="474">
        <f>B34*(INDEX('Ex post LI &amp; Eligibility Stats'!$A:$N,MATCH($A34,'Ex post LI &amp; Eligibility Stats'!$A:$A,0),MATCH('Program MW '!C$28,'Ex post LI &amp; Eligibility Stats'!$A$8:$N$8,0))/1000)</f>
        <v>2.7938888237196737</v>
      </c>
      <c r="E34" s="473">
        <v>5772</v>
      </c>
      <c r="F34" s="236">
        <f>E34*(INDEX('Ex ante LI &amp; Eligibility Stats'!$A:$M,MATCH('Program MW '!$A34,'Ex ante LI &amp; Eligibility Stats'!$A:$A,0),MATCH('Program MW '!F$28,'Ex ante LI &amp; Eligibility Stats'!$A$8:$M$8,0))/1000)</f>
        <v>0</v>
      </c>
      <c r="G34" s="474">
        <f>E34*(INDEX('Ex post LI &amp; Eligibility Stats'!$A:$N,MATCH($A34,'Ex post LI &amp; Eligibility Stats'!$A:$A,0),MATCH('Program MW '!F$28,'Ex post LI &amp; Eligibility Stats'!$A$8:$N$8,0))/1000)</f>
        <v>2.7775277799707125</v>
      </c>
      <c r="H34" s="473">
        <v>5747</v>
      </c>
      <c r="I34" s="236">
        <f>H34*(INDEX('Ex ante LI &amp; Eligibility Stats'!$A:$M,MATCH('Program MW '!$A34,'Ex ante LI &amp; Eligibility Stats'!$A:$A,0),MATCH('Program MW '!I$28,'Ex ante LI &amp; Eligibility Stats'!$A$8:$M$8,0))/1000)</f>
        <v>0</v>
      </c>
      <c r="J34" s="474">
        <f>H34*(INDEX('Ex post LI &amp; Eligibility Stats'!$A:$N,MATCH($A34,'Ex post LI &amp; Eligibility Stats'!$A:$A,0),MATCH('Program MW '!I$28,'Ex post LI &amp; Eligibility Stats'!$A$8:$N$8,0))/1000)</f>
        <v>2.7654976007435352</v>
      </c>
      <c r="K34" s="473">
        <v>5687</v>
      </c>
      <c r="L34" s="236">
        <f>K34*(INDEX('Ex ante LI &amp; Eligibility Stats'!$A:$M,MATCH('Program MW '!$A34,'Ex ante LI &amp; Eligibility Stats'!$A:$A,0),MATCH('Program MW '!L$28,'Ex ante LI &amp; Eligibility Stats'!$A$8:$M$8,0))/1000)</f>
        <v>0</v>
      </c>
      <c r="M34" s="474">
        <f>K34*(INDEX('Ex post LI &amp; Eligibility Stats'!$A:$N,MATCH($A34,'Ex post LI &amp; Eligibility Stats'!$A:$A,0),MATCH('Program MW '!L$28,'Ex post LI &amp; Eligibility Stats'!$A$8:$N$8,0))/1000)</f>
        <v>2.7366251705983093</v>
      </c>
      <c r="N34" s="473">
        <v>5609</v>
      </c>
      <c r="O34" s="236">
        <f>N34*(INDEX('Ex ante LI &amp; Eligibility Stats'!$A:$M,MATCH('Program MW '!$A34,'Ex ante LI &amp; Eligibility Stats'!$A:$A,0),MATCH('Program MW '!O$28,'Ex ante LI &amp; Eligibility Stats'!$A$8:$M$8,0))/1000)</f>
        <v>0</v>
      </c>
      <c r="P34" s="474">
        <f>N34*(INDEX('Ex post LI &amp; Eligibility Stats'!$A:$N,MATCH($A34,'Ex post LI &amp; Eligibility Stats'!$A:$A,0),MATCH('Program MW '!O$28,'Ex post LI &amp; Eligibility Stats'!$A$8:$N$8,0))/1000)</f>
        <v>2.6990910114095157</v>
      </c>
      <c r="Q34" s="473">
        <v>5574</v>
      </c>
      <c r="R34" s="236">
        <f>Q34*(INDEX('Ex ante LI &amp; Eligibility Stats'!$A:$M,MATCH('Program MW '!$A34,'Ex ante LI &amp; Eligibility Stats'!$A:$A,0),MATCH('Program MW '!R$28,'Ex ante LI &amp; Eligibility Stats'!$A$8:$M$8,0))/1000)</f>
        <v>0</v>
      </c>
      <c r="S34" s="474">
        <f>Q34*(INDEX('Ex post LI &amp; Eligibility Stats'!$A:$N,MATCH($A34,'Ex post LI &amp; Eligibility Stats'!$A:$A,0),MATCH('Program MW '!R$28,'Ex post LI &amp; Eligibility Stats'!$A$8:$N$8,0))/1000)</f>
        <v>2.6822487604914675</v>
      </c>
      <c r="T34" s="476">
        <v>138123</v>
      </c>
    </row>
    <row r="35" spans="1:26" ht="13.5">
      <c r="A35" s="151" t="s">
        <v>54</v>
      </c>
      <c r="B35" s="152">
        <v>0</v>
      </c>
      <c r="C35" s="236">
        <v>0</v>
      </c>
      <c r="D35" s="237">
        <v>0</v>
      </c>
      <c r="E35" s="152">
        <v>0</v>
      </c>
      <c r="F35" s="236">
        <v>0</v>
      </c>
      <c r="G35" s="237">
        <v>0</v>
      </c>
      <c r="H35" s="152">
        <v>0</v>
      </c>
      <c r="I35" s="236">
        <v>0</v>
      </c>
      <c r="J35" s="237">
        <v>0</v>
      </c>
      <c r="K35" s="152">
        <v>0</v>
      </c>
      <c r="L35" s="236">
        <v>0</v>
      </c>
      <c r="M35" s="237">
        <v>0</v>
      </c>
      <c r="N35" s="152">
        <v>0</v>
      </c>
      <c r="O35" s="236">
        <v>0</v>
      </c>
      <c r="P35" s="237">
        <v>0</v>
      </c>
      <c r="Q35" s="152">
        <v>0</v>
      </c>
      <c r="R35" s="236">
        <v>0</v>
      </c>
      <c r="S35" s="237">
        <v>0</v>
      </c>
      <c r="T35" s="4"/>
    </row>
    <row r="36" spans="1:26">
      <c r="A36" s="151" t="s">
        <v>357</v>
      </c>
      <c r="B36" s="152"/>
      <c r="C36" s="236"/>
      <c r="D36" s="237"/>
      <c r="E36" s="152"/>
      <c r="F36" s="236"/>
      <c r="G36" s="237"/>
      <c r="H36" s="152"/>
      <c r="I36" s="236"/>
      <c r="J36" s="237"/>
      <c r="K36" s="152"/>
      <c r="L36" s="236"/>
      <c r="M36" s="237"/>
      <c r="N36" s="152"/>
      <c r="O36" s="236"/>
      <c r="P36" s="237"/>
      <c r="Q36" s="152"/>
      <c r="R36" s="236"/>
      <c r="S36" s="237"/>
      <c r="T36" s="4"/>
    </row>
    <row r="37" spans="1:26">
      <c r="A37" s="197" t="s">
        <v>17</v>
      </c>
      <c r="B37" s="123">
        <v>14955</v>
      </c>
      <c r="C37" s="236">
        <f>B37*(INDEX('Ex ante LI &amp; Eligibility Stats'!$A:$M,MATCH('Program MW '!$A37,'Ex ante LI &amp; Eligibility Stats'!$A:$A,0),MATCH('Program MW '!C$28,'Ex ante LI &amp; Eligibility Stats'!$A$8:$M$8,0))/1000)</f>
        <v>2.4866744115203621</v>
      </c>
      <c r="D37" s="237">
        <f>B37*(INDEX('Ex post LI &amp; Eligibility Stats'!$A:$N,MATCH($A37,'Ex post LI &amp; Eligibility Stats'!$A:$A,0),MATCH('Program MW '!C$28,'Ex post LI &amp; Eligibility Stats'!$A$8:$N$8,0))/1000)</f>
        <v>4.4907641302049166</v>
      </c>
      <c r="E37" s="123">
        <v>15274</v>
      </c>
      <c r="F37" s="236">
        <f>E37*(INDEX('Ex ante LI &amp; Eligibility Stats'!$A:$M,MATCH('Program MW '!$A37,'Ex ante LI &amp; Eligibility Stats'!$A:$A,0),MATCH('Program MW '!F$28,'Ex ante LI &amp; Eligibility Stats'!$A$8:$M$8,0))/1000)</f>
        <v>3.3835735105872153</v>
      </c>
      <c r="G37" s="237">
        <f>E37*(INDEX('Ex post LI &amp; Eligibility Stats'!$A:$N,MATCH($A37,'Ex post LI &amp; Eligibility Stats'!$A:$A,0),MATCH('Program MW '!F$28,'Ex post LI &amp; Eligibility Stats'!$A$8:$N$8,0))/1000)</f>
        <v>4.5865550869107254</v>
      </c>
      <c r="H37" s="123">
        <v>15415</v>
      </c>
      <c r="I37" s="236">
        <f>H37*(INDEX('Ex ante LI &amp; Eligibility Stats'!$A:$M,MATCH('Program MW '!$A37,'Ex ante LI &amp; Eligibility Stats'!$A:$A,0),MATCH('Program MW '!I$28,'Ex ante LI &amp; Eligibility Stats'!$A$8:$M$8,0))/1000)</f>
        <v>4.4301948508620264</v>
      </c>
      <c r="J37" s="237">
        <f>H37*(INDEX('Ex post LI &amp; Eligibility Stats'!$A:$N,MATCH($A37,'Ex post LI &amp; Eligibility Stats'!$A:$A,0),MATCH('Program MW '!I$28,'Ex post LI &amp; Eligibility Stats'!$A$8:$N$8,0))/1000)</f>
        <v>4.6288952903449543</v>
      </c>
      <c r="K37" s="123">
        <v>15560</v>
      </c>
      <c r="L37" s="236">
        <f>K37*(INDEX('Ex ante LI &amp; Eligibility Stats'!$A:$M,MATCH('Program MW '!$A37,'Ex ante LI &amp; Eligibility Stats'!$A:$A,0),MATCH('Program MW '!L$28,'Ex ante LI &amp; Eligibility Stats'!$A$8:$M$8,0))/1000)</f>
        <v>2.3533515328168866</v>
      </c>
      <c r="M37" s="237">
        <f>K37*(INDEX('Ex post LI &amp; Eligibility Stats'!$A:$N,MATCH($A37,'Ex post LI &amp; Eligibility Stats'!$A:$A,0),MATCH('Program MW '!L$28,'Ex post LI &amp; Eligibility Stats'!$A$8:$N$8,0))/1000)</f>
        <v>4.67243663430214</v>
      </c>
      <c r="N37" s="123">
        <v>14767</v>
      </c>
      <c r="O37" s="345">
        <f>N37*(INDEX('Ex ante LI &amp; Eligibility Stats'!$A:$M,MATCH('Program MW '!$A37,'Ex ante LI &amp; Eligibility Stats'!$A:$A,0),MATCH('Program MW '!O$28,'Ex ante LI &amp; Eligibility Stats'!$A$8:$M$8,0))/1000)</f>
        <v>0.33768625443428757</v>
      </c>
      <c r="P37" s="237">
        <f>N37*(INDEX('Ex post LI &amp; Eligibility Stats'!$A:$N,MATCH($A37,'Ex post LI &amp; Eligibility Stats'!$A:$A,0),MATCH('Program MW '!O$28,'Ex post LI &amp; Eligibility Stats'!$A$8:$N$8,0))/1000)</f>
        <v>4.4343105256259445</v>
      </c>
      <c r="Q37" s="123">
        <v>15334</v>
      </c>
      <c r="R37" s="236">
        <f>Q37*(INDEX('Ex ante LI &amp; Eligibility Stats'!$A:$M,MATCH('Program MW '!$A37,'Ex ante LI &amp; Eligibility Stats'!$A:$A,0),MATCH('Program MW '!R$28,'Ex ante LI &amp; Eligibility Stats'!$A$8:$M$8,0))/1000)</f>
        <v>0</v>
      </c>
      <c r="S37" s="237">
        <f>Q37*(INDEX('Ex post LI &amp; Eligibility Stats'!$A:$N,MATCH($A37,'Ex post LI &amp; Eligibility Stats'!$A:$A,0),MATCH('Program MW '!R$28,'Ex post LI &amp; Eligibility Stats'!$A$8:$N$8,0))/1000)</f>
        <v>4.604572194755078</v>
      </c>
      <c r="T37" s="4">
        <v>663393.5</v>
      </c>
    </row>
    <row r="38" spans="1:26">
      <c r="A38" s="197" t="s">
        <v>20</v>
      </c>
      <c r="B38" s="123">
        <v>249</v>
      </c>
      <c r="C38" s="236">
        <f>B38*(INDEX('Ex ante LI &amp; Eligibility Stats'!$A:$M,MATCH('Program MW '!$A38,'Ex ante LI &amp; Eligibility Stats'!$A:$A,0),MATCH('Program MW '!C$28,'Ex ante LI &amp; Eligibility Stats'!$A$8:$M$8,0))/1000)</f>
        <v>0.51758776760101322</v>
      </c>
      <c r="D38" s="237">
        <f>B38*(INDEX('Ex post LI &amp; Eligibility Stats'!$A:$N,MATCH($A38,'Ex post LI &amp; Eligibility Stats'!$A:$A,0),MATCH('Program MW '!C$28,'Ex post LI &amp; Eligibility Stats'!$A$8:$N$8,0))/1000)</f>
        <v>0.11549731957912444</v>
      </c>
      <c r="E38" s="123">
        <v>274</v>
      </c>
      <c r="F38" s="236">
        <f>E38*(INDEX('Ex ante LI &amp; Eligibility Stats'!$A:$M,MATCH('Program MW '!$A38,'Ex ante LI &amp; Eligibility Stats'!$A:$A,0),MATCH('Program MW '!F$28,'Ex ante LI &amp; Eligibility Stats'!$A$8:$M$8,0))/1000)</f>
        <v>0.82841749811172483</v>
      </c>
      <c r="G38" s="237">
        <f>E38*(INDEX('Ex post LI &amp; Eligibility Stats'!$A:$N,MATCH($A38,'Ex post LI &amp; Eligibility Stats'!$A:$A,0),MATCH('Program MW '!F$28,'Ex post LI &amp; Eligibility Stats'!$A$8:$N$8,0))/1000)</f>
        <v>0.12709343600273132</v>
      </c>
      <c r="H38" s="123">
        <v>275</v>
      </c>
      <c r="I38" s="236">
        <f>H38*(INDEX('Ex ante LI &amp; Eligibility Stats'!$A:$M,MATCH('Program MW '!$A38,'Ex ante LI &amp; Eligibility Stats'!$A:$A,0),MATCH('Program MW '!I$28,'Ex ante LI &amp; Eligibility Stats'!$A$8:$M$8,0))/1000)</f>
        <v>0.6900439918041229</v>
      </c>
      <c r="J38" s="237">
        <f>H38*(INDEX('Ex post LI &amp; Eligibility Stats'!$A:$N,MATCH($A38,'Ex post LI &amp; Eligibility Stats'!$A:$A,0),MATCH('Program MW '!I$28,'Ex post LI &amp; Eligibility Stats'!$A$8:$N$8,0))/1000)</f>
        <v>0.12755728065967559</v>
      </c>
      <c r="K38" s="123">
        <v>275</v>
      </c>
      <c r="L38" s="236">
        <f>K38*(INDEX('Ex ante LI &amp; Eligibility Stats'!$A:$M,MATCH('Program MW '!$A38,'Ex ante LI &amp; Eligibility Stats'!$A:$A,0),MATCH('Program MW '!L$28,'Ex ante LI &amp; Eligibility Stats'!$A$8:$M$8,0))/1000)</f>
        <v>0.57323129177093513</v>
      </c>
      <c r="M38" s="237">
        <f>K38*(INDEX('Ex post LI &amp; Eligibility Stats'!$A:$N,MATCH($A38,'Ex post LI &amp; Eligibility Stats'!$A:$A,0),MATCH('Program MW '!L$28,'Ex post LI &amp; Eligibility Stats'!$A$8:$N$8,0))/1000)</f>
        <v>0.12755728065967559</v>
      </c>
      <c r="N38" s="123">
        <v>294</v>
      </c>
      <c r="O38" s="236">
        <f>N38*(INDEX('Ex ante LI &amp; Eligibility Stats'!$A:$M,MATCH('Program MW '!$A38,'Ex ante LI &amp; Eligibility Stats'!$A:$A,0),MATCH('Program MW '!O$28,'Ex ante LI &amp; Eligibility Stats'!$A$8:$M$8,0))/1000)</f>
        <v>0.13593907803297042</v>
      </c>
      <c r="P38" s="237">
        <f>N38*(INDEX('Ex post LI &amp; Eligibility Stats'!$A:$N,MATCH($A38,'Ex post LI &amp; Eligibility Stats'!$A:$A,0),MATCH('Program MW '!O$28,'Ex post LI &amp; Eligibility Stats'!$A$8:$N$8,0))/1000)</f>
        <v>0.13637032914161681</v>
      </c>
      <c r="Q38" s="123">
        <v>296</v>
      </c>
      <c r="R38" s="236">
        <f>Q38*(INDEX('Ex ante LI &amp; Eligibility Stats'!$A:$M,MATCH('Program MW '!$A38,'Ex ante LI &amp; Eligibility Stats'!$A:$A,0),MATCH('Program MW '!R$28,'Ex ante LI &amp; Eligibility Stats'!$A$8:$M$8,0))/1000)</f>
        <v>0</v>
      </c>
      <c r="S38" s="237">
        <f>Q38*(INDEX('Ex post LI &amp; Eligibility Stats'!$A:$N,MATCH($A38,'Ex post LI &amp; Eligibility Stats'!$A:$A,0),MATCH('Program MW '!R$28,'Ex post LI &amp; Eligibility Stats'!$A$8:$N$8,0))/1000)</f>
        <v>0.13729801845550538</v>
      </c>
      <c r="T38" s="4"/>
    </row>
    <row r="39" spans="1:26">
      <c r="A39" s="197" t="s">
        <v>21</v>
      </c>
      <c r="B39" s="92">
        <v>9340</v>
      </c>
      <c r="C39" s="236">
        <f>B39*(INDEX('Ex ante LI &amp; Eligibility Stats'!$A:$M,MATCH('Program MW '!$A39,'Ex ante LI &amp; Eligibility Stats'!$A:$A,0),MATCH('Program MW '!C$28,'Ex ante LI &amp; Eligibility Stats'!$A$8:$M$8,0))/1000)</f>
        <v>1.2445325839999999</v>
      </c>
      <c r="D39" s="237">
        <f>B39*(INDEX('Ex post LI &amp; Eligibility Stats'!$A:$N,MATCH($A39,'Ex post LI &amp; Eligibility Stats'!$A:$A,0),MATCH('Program MW '!C$28,'Ex post LI &amp; Eligibility Stats'!$A$8:$N$8,0))/1000)</f>
        <v>1.2528573260000002</v>
      </c>
      <c r="E39" s="92">
        <v>9238</v>
      </c>
      <c r="F39" s="236">
        <f>E39*(INDEX('Ex ante LI &amp; Eligibility Stats'!$A:$M,MATCH('Program MW '!$A39,'Ex ante LI &amp; Eligibility Stats'!$A:$A,0),MATCH('Program MW '!F$28,'Ex ante LI &amp; Eligibility Stats'!$A$8:$M$8,0))/1000)</f>
        <v>1.8140826884000001</v>
      </c>
      <c r="G39" s="237">
        <f>E39*(INDEX('Ex post LI &amp; Eligibility Stats'!$A:$N,MATCH($A39,'Ex post LI &amp; Eligibility Stats'!$A:$A,0),MATCH('Program MW '!F$28,'Ex post LI &amp; Eligibility Stats'!$A$8:$N$8,0))/1000)</f>
        <v>1.2391751582000001</v>
      </c>
      <c r="H39" s="92">
        <v>9103</v>
      </c>
      <c r="I39" s="236">
        <f>H39*(INDEX('Ex ante LI &amp; Eligibility Stats'!$A:$M,MATCH('Program MW '!$A39,'Ex ante LI &amp; Eligibility Stats'!$A:$A,0),MATCH('Program MW '!I$28,'Ex ante LI &amp; Eligibility Stats'!$A$8:$M$8,0))/1000)</f>
        <v>2.2158203995000001</v>
      </c>
      <c r="J39" s="237">
        <f>H39*(INDEX('Ex post LI &amp; Eligibility Stats'!$A:$N,MATCH($A39,'Ex post LI &amp; Eligibility Stats'!$A:$A,0),MATCH('Program MW '!I$28,'Ex post LI &amp; Eligibility Stats'!$A$8:$N$8,0))/1000)</f>
        <v>1.2210664067000001</v>
      </c>
      <c r="K39" s="92">
        <v>9003</v>
      </c>
      <c r="L39" s="236">
        <f>K39*(INDEX('Ex ante LI &amp; Eligibility Stats'!$A:$M,MATCH('Program MW '!$A39,'Ex ante LI &amp; Eligibility Stats'!$A:$A,0),MATCH('Program MW '!L$28,'Ex ante LI &amp; Eligibility Stats'!$A$8:$M$8,0))/1000)</f>
        <v>1.1414552583000002</v>
      </c>
      <c r="M39" s="237">
        <f>K39*(INDEX('Ex post LI &amp; Eligibility Stats'!$A:$N,MATCH($A39,'Ex post LI &amp; Eligibility Stats'!$A:$A,0),MATCH('Program MW '!L$28,'Ex post LI &amp; Eligibility Stats'!$A$8:$N$8,0))/1000)</f>
        <v>1.2076525167000001</v>
      </c>
      <c r="N39" s="92">
        <v>8947</v>
      </c>
      <c r="O39" s="236">
        <f>N39*(INDEX('Ex ante LI &amp; Eligibility Stats'!$A:$M,MATCH('Program MW '!$A39,'Ex ante LI &amp; Eligibility Stats'!$A:$A,0),MATCH('Program MW '!O$28,'Ex ante LI &amp; Eligibility Stats'!$A$8:$M$8,0))/1000)</f>
        <v>0</v>
      </c>
      <c r="P39" s="237">
        <f>N39*(INDEX('Ex post LI &amp; Eligibility Stats'!$A:$N,MATCH($A39,'Ex post LI &amp; Eligibility Stats'!$A:$A,0),MATCH('Program MW '!O$28,'Ex post LI &amp; Eligibility Stats'!$A$8:$N$8,0))/1000)</f>
        <v>1.2001407383000002</v>
      </c>
      <c r="Q39" s="92">
        <v>8873</v>
      </c>
      <c r="R39" s="236">
        <f>Q39*(INDEX('Ex ante LI &amp; Eligibility Stats'!$A:$M,MATCH('Program MW '!$A39,'Ex ante LI &amp; Eligibility Stats'!$A:$A,0),MATCH('Program MW '!R$28,'Ex ante LI &amp; Eligibility Stats'!$A$8:$M$8,0))/1000)</f>
        <v>0</v>
      </c>
      <c r="S39" s="237">
        <f>Q39*(INDEX('Ex post LI &amp; Eligibility Stats'!$A:$N,MATCH($A39,'Ex post LI &amp; Eligibility Stats'!$A:$A,0),MATCH('Program MW '!R$28,'Ex post LI &amp; Eligibility Stats'!$A$8:$N$8,0))/1000)</f>
        <v>1.1902144597000002</v>
      </c>
      <c r="T39" s="4">
        <v>157189</v>
      </c>
    </row>
    <row r="40" spans="1:26">
      <c r="A40" s="197" t="s">
        <v>23</v>
      </c>
      <c r="B40" s="92">
        <v>2705</v>
      </c>
      <c r="C40" s="236">
        <f>B40*(INDEX('Ex ante LI &amp; Eligibility Stats'!$A:$M,MATCH('Program MW '!$A40,'Ex ante LI &amp; Eligibility Stats'!$A:$A,0),MATCH('Program MW '!C$28,'Ex ante LI &amp; Eligibility Stats'!$A$8:$M$8,0))/1000)</f>
        <v>0.21937090149999999</v>
      </c>
      <c r="D40" s="237">
        <f>B40*(INDEX('Ex post LI &amp; Eligibility Stats'!$A:$N,MATCH($A40,'Ex post LI &amp; Eligibility Stats'!$A:$A,0),MATCH('Program MW '!C$28,'Ex post LI &amp; Eligibility Stats'!$A$8:$N$8,0))/1000)</f>
        <v>0.13347633149999999</v>
      </c>
      <c r="E40" s="92">
        <v>2684</v>
      </c>
      <c r="F40" s="236">
        <f>E40*(INDEX('Ex ante LI &amp; Eligibility Stats'!$A:$M,MATCH('Program MW '!$A40,'Ex ante LI &amp; Eligibility Stats'!$A:$A,0),MATCH('Program MW '!F$28,'Ex ante LI &amp; Eligibility Stats'!$A$8:$M$8,0))/1000)</f>
        <v>0.24562787040000003</v>
      </c>
      <c r="G40" s="237">
        <f>E40*(INDEX('Ex post LI &amp; Eligibility Stats'!$A:$N,MATCH($A40,'Ex post LI &amp; Eligibility Stats'!$A:$A,0),MATCH('Program MW '!F$28,'Ex post LI &amp; Eligibility Stats'!$A$8:$N$8,0))/1000)</f>
        <v>0.13244010119999999</v>
      </c>
      <c r="H40" s="92">
        <v>2643</v>
      </c>
      <c r="I40" s="236">
        <f>H40*(INDEX('Ex ante LI &amp; Eligibility Stats'!$A:$M,MATCH('Program MW '!$A40,'Ex ante LI &amp; Eligibility Stats'!$A:$A,0),MATCH('Program MW '!I$28,'Ex ante LI &amp; Eligibility Stats'!$A$8:$M$8,0))/1000)</f>
        <v>0.27496529790000002</v>
      </c>
      <c r="J40" s="237">
        <f>H40*(INDEX('Ex post LI &amp; Eligibility Stats'!$A:$N,MATCH($A40,'Ex post LI &amp; Eligibility Stats'!$A:$A,0),MATCH('Program MW '!I$28,'Ex post LI &amp; Eligibility Stats'!$A$8:$N$8,0))/1000)</f>
        <v>0.1304169849</v>
      </c>
      <c r="K40" s="92">
        <v>2608</v>
      </c>
      <c r="L40" s="236">
        <f>K40*(INDEX('Ex ante LI &amp; Eligibility Stats'!$A:$M,MATCH('Program MW '!$A40,'Ex ante LI &amp; Eligibility Stats'!$A:$A,0),MATCH('Program MW '!L$28,'Ex ante LI &amp; Eligibility Stats'!$A$8:$M$8,0))/1000)</f>
        <v>0.21774948320000001</v>
      </c>
      <c r="M40" s="237">
        <f>K40*(INDEX('Ex post LI &amp; Eligibility Stats'!$A:$N,MATCH($A40,'Ex post LI &amp; Eligibility Stats'!$A:$A,0),MATCH('Program MW '!L$28,'Ex post LI &amp; Eligibility Stats'!$A$8:$N$8,0))/1000)</f>
        <v>0.12868993440000001</v>
      </c>
      <c r="N40" s="92">
        <v>2594</v>
      </c>
      <c r="O40" s="236">
        <f>N40*(INDEX('Ex ante LI &amp; Eligibility Stats'!$A:$M,MATCH('Program MW '!$A40,'Ex ante LI &amp; Eligibility Stats'!$A:$A,0),MATCH('Program MW '!O$28,'Ex ante LI &amp; Eligibility Stats'!$A$8:$M$8,0))/1000)</f>
        <v>0</v>
      </c>
      <c r="P40" s="237">
        <f>N40*(INDEX('Ex post LI &amp; Eligibility Stats'!$A:$N,MATCH($A40,'Ex post LI &amp; Eligibility Stats'!$A:$A,0),MATCH('Program MW '!O$28,'Ex post LI &amp; Eligibility Stats'!$A$8:$N$8,0))/1000)</f>
        <v>0.12799911420000001</v>
      </c>
      <c r="Q40" s="92">
        <v>2560</v>
      </c>
      <c r="R40" s="236">
        <f>Q40*(INDEX('Ex ante LI &amp; Eligibility Stats'!$A:$M,MATCH('Program MW '!$A40,'Ex ante LI &amp; Eligibility Stats'!$A:$A,0),MATCH('Program MW '!R$28,'Ex ante LI &amp; Eligibility Stats'!$A$8:$M$8,0))/1000)</f>
        <v>0</v>
      </c>
      <c r="S40" s="237">
        <f>Q40*(INDEX('Ex post LI &amp; Eligibility Stats'!$A:$N,MATCH($A40,'Ex post LI &amp; Eligibility Stats'!$A:$A,0),MATCH('Program MW '!R$28,'Ex post LI &amp; Eligibility Stats'!$A$8:$N$8,0))/1000)</f>
        <v>0.126321408</v>
      </c>
      <c r="T40" s="4">
        <v>157189</v>
      </c>
    </row>
    <row r="41" spans="1:26">
      <c r="A41" s="68" t="s">
        <v>24</v>
      </c>
      <c r="B41" s="123">
        <v>35</v>
      </c>
      <c r="C41" s="236">
        <f>B41*(INDEX('Ex ante LI &amp; Eligibility Stats'!$A:$M,MATCH('Program MW '!$A41,'Ex ante LI &amp; Eligibility Stats'!$A:$A,0),MATCH('Program MW '!C$28,'Ex ante LI &amp; Eligibility Stats'!$A$8:$M$8,0))/1000)</f>
        <v>0.41388164999999999</v>
      </c>
      <c r="D41" s="237">
        <f>B41*(INDEX('Ex post LI &amp; Eligibility Stats'!$A:$N,MATCH($A41,'Ex post LI &amp; Eligibility Stats'!$A:$A,0),MATCH('Program MW '!C$28,'Ex post LI &amp; Eligibility Stats'!$A$8:$N$8,0))/1000)</f>
        <v>0.6283662000000001</v>
      </c>
      <c r="E41" s="123">
        <v>47</v>
      </c>
      <c r="F41" s="236">
        <f>E41*(INDEX('Ex ante LI &amp; Eligibility Stats'!$A:$M,MATCH('Program MW '!$A41,'Ex ante LI &amp; Eligibility Stats'!$A:$A,0),MATCH('Program MW '!F$28,'Ex ante LI &amp; Eligibility Stats'!$A$8:$M$8,0))/1000)</f>
        <v>0.55578392999999993</v>
      </c>
      <c r="G41" s="237">
        <f>E41*(INDEX('Ex post LI &amp; Eligibility Stats'!$A:$N,MATCH($A41,'Ex post LI &amp; Eligibility Stats'!$A:$A,0),MATCH('Program MW '!F$28,'Ex post LI &amp; Eligibility Stats'!$A$8:$N$8,0))/1000)</f>
        <v>0.84380604000000003</v>
      </c>
      <c r="H41" s="152">
        <v>35</v>
      </c>
      <c r="I41" s="236">
        <f>H41*(INDEX('Ex ante LI &amp; Eligibility Stats'!$A:$M,MATCH('Program MW '!$A41,'Ex ante LI &amp; Eligibility Stats'!$A:$A,0),MATCH('Program MW '!I$28,'Ex ante LI &amp; Eligibility Stats'!$A$8:$M$8,0))/1000)</f>
        <v>0.41388164999999999</v>
      </c>
      <c r="J41" s="237">
        <f>H41*(INDEX('Ex post LI &amp; Eligibility Stats'!$A:$N,MATCH($A41,'Ex post LI &amp; Eligibility Stats'!$A:$A,0),MATCH('Program MW '!I$28,'Ex post LI &amp; Eligibility Stats'!$A$8:$N$8,0))/1000)</f>
        <v>0.6283662000000001</v>
      </c>
      <c r="K41" s="123">
        <v>48</v>
      </c>
      <c r="L41" s="236">
        <f>K41*(INDEX('Ex ante LI &amp; Eligibility Stats'!$A:$M,MATCH('Program MW '!$A41,'Ex ante LI &amp; Eligibility Stats'!$A:$A,0),MATCH('Program MW '!L$28,'Ex ante LI &amp; Eligibility Stats'!$A$8:$M$8,0))/1000)</f>
        <v>0.56760911999999997</v>
      </c>
      <c r="M41" s="237">
        <f>K41*(INDEX('Ex post LI &amp; Eligibility Stats'!$A:$N,MATCH($A41,'Ex post LI &amp; Eligibility Stats'!$A:$A,0),MATCH('Program MW '!L$28,'Ex post LI &amp; Eligibility Stats'!$A$8:$N$8,0))/1000)</f>
        <v>0.86175936000000009</v>
      </c>
      <c r="N41" s="123">
        <v>0</v>
      </c>
      <c r="O41" s="236">
        <f>N41*(INDEX('Ex ante LI &amp; Eligibility Stats'!$A:$M,MATCH('Program MW '!$A41,'Ex ante LI &amp; Eligibility Stats'!$A:$A,0),MATCH('Program MW '!O$28,'Ex ante LI &amp; Eligibility Stats'!$A$8:$M$8,0))/1000)</f>
        <v>0</v>
      </c>
      <c r="P41" s="237">
        <f>N41*(INDEX('Ex post LI &amp; Eligibility Stats'!$A:$N,MATCH($A41,'Ex post LI &amp; Eligibility Stats'!$A:$A,0),MATCH('Program MW '!O$28,'Ex post LI &amp; Eligibility Stats'!$A$8:$N$8,0))/1000)</f>
        <v>0</v>
      </c>
      <c r="Q41" s="123">
        <v>0</v>
      </c>
      <c r="R41" s="236">
        <f>Q41*(INDEX('Ex ante LI &amp; Eligibility Stats'!$A:$M,MATCH('Program MW '!$A41,'Ex ante LI &amp; Eligibility Stats'!$A:$A,0),MATCH('Program MW '!R$28,'Ex ante LI &amp; Eligibility Stats'!$A$8:$M$8,0))/1000)</f>
        <v>0</v>
      </c>
      <c r="S41" s="237">
        <f>Q41*(INDEX('Ex post LI &amp; Eligibility Stats'!$A:$N,MATCH($A41,'Ex post LI &amp; Eligibility Stats'!$A:$A,0),MATCH('Program MW '!R$28,'Ex post LI &amp; Eligibility Stats'!$A$8:$N$8,0))/1000)</f>
        <v>0</v>
      </c>
      <c r="T41" s="4">
        <v>18875</v>
      </c>
      <c r="V41" s="282" t="s">
        <v>56</v>
      </c>
    </row>
    <row r="42" spans="1:26">
      <c r="A42" s="68" t="s">
        <v>25</v>
      </c>
      <c r="B42" s="123">
        <v>131</v>
      </c>
      <c r="C42" s="236">
        <f>B42*(INDEX('Ex ante LI &amp; Eligibility Stats'!$A:$M,MATCH('Program MW '!$A42,'Ex ante LI &amp; Eligibility Stats'!$A:$A,0),MATCH('Program MW '!C$28,'Ex ante LI &amp; Eligibility Stats'!$A$8:$M$8,0))/1000)</f>
        <v>1.186943447</v>
      </c>
      <c r="D42" s="237">
        <f>B42*(INDEX('Ex post LI &amp; Eligibility Stats'!$A:$N,MATCH($A42,'Ex post LI &amp; Eligibility Stats'!$A:$A,0),MATCH('Program MW '!C$28,'Ex post LI &amp; Eligibility Stats'!$A$8:$N$8,0))/1000)</f>
        <v>1.8079113499999999</v>
      </c>
      <c r="E42" s="123">
        <v>133</v>
      </c>
      <c r="F42" s="236">
        <f>E42*(INDEX('Ex ante LI &amp; Eligibility Stats'!$A:$M,MATCH('Program MW '!$A42,'Ex ante LI &amp; Eligibility Stats'!$A:$A,0),MATCH('Program MW '!F$28,'Ex ante LI &amp; Eligibility Stats'!$A$8:$M$8,0))/1000)</f>
        <v>1.2050647210000001</v>
      </c>
      <c r="G42" s="237">
        <f>E42*(INDEX('Ex post LI &amp; Eligibility Stats'!$A:$N,MATCH($A42,'Ex post LI &amp; Eligibility Stats'!$A:$A,0),MATCH('Program MW '!F$28,'Ex post LI &amp; Eligibility Stats'!$A$8:$N$8,0))/1000)</f>
        <v>1.8355130500000001</v>
      </c>
      <c r="H42" s="152">
        <v>130</v>
      </c>
      <c r="I42" s="236">
        <f>H42*(INDEX('Ex ante LI &amp; Eligibility Stats'!$A:$M,MATCH('Program MW '!$A42,'Ex ante LI &amp; Eligibility Stats'!$A:$A,0),MATCH('Program MW '!I$28,'Ex ante LI &amp; Eligibility Stats'!$A$8:$M$8,0))/1000)</f>
        <v>1.1778828100000001</v>
      </c>
      <c r="J42" s="237">
        <f>H42*(INDEX('Ex post LI &amp; Eligibility Stats'!$A:$N,MATCH($A42,'Ex post LI &amp; Eligibility Stats'!$A:$A,0),MATCH('Program MW '!I$28,'Ex post LI &amp; Eligibility Stats'!$A$8:$N$8,0))/1000)</f>
        <v>1.7941104999999999</v>
      </c>
      <c r="K42" s="123">
        <v>131</v>
      </c>
      <c r="L42" s="236">
        <f>K42*(INDEX('Ex ante LI &amp; Eligibility Stats'!$A:$M,MATCH('Program MW '!$A42,'Ex ante LI &amp; Eligibility Stats'!$A:$A,0),MATCH('Program MW '!L$28,'Ex ante LI &amp; Eligibility Stats'!$A$8:$M$8,0))/1000)</f>
        <v>1.186943447</v>
      </c>
      <c r="M42" s="237">
        <f>K42*(INDEX('Ex post LI &amp; Eligibility Stats'!$A:$N,MATCH($A42,'Ex post LI &amp; Eligibility Stats'!$A:$A,0),MATCH('Program MW '!L$28,'Ex post LI &amp; Eligibility Stats'!$A$8:$N$8,0))/1000)</f>
        <v>1.8079113499999999</v>
      </c>
      <c r="N42" s="123">
        <v>0</v>
      </c>
      <c r="O42" s="236">
        <f>N42*(INDEX('Ex ante LI &amp; Eligibility Stats'!$A:$M,MATCH('Program MW '!$A42,'Ex ante LI &amp; Eligibility Stats'!$A:$A,0),MATCH('Program MW '!O$28,'Ex ante LI &amp; Eligibility Stats'!$A$8:$M$8,0))/1000)</f>
        <v>0</v>
      </c>
      <c r="P42" s="237">
        <f>N42*(INDEX('Ex post LI &amp; Eligibility Stats'!$A:$N,MATCH($A42,'Ex post LI &amp; Eligibility Stats'!$A:$A,0),MATCH('Program MW '!O$28,'Ex post LI &amp; Eligibility Stats'!$A$8:$N$8,0))/1000)</f>
        <v>0</v>
      </c>
      <c r="Q42" s="123">
        <v>0</v>
      </c>
      <c r="R42" s="236">
        <f>Q42*(INDEX('Ex ante LI &amp; Eligibility Stats'!$A:$M,MATCH('Program MW '!$A42,'Ex ante LI &amp; Eligibility Stats'!$A:$A,0),MATCH('Program MW '!R$28,'Ex ante LI &amp; Eligibility Stats'!$A$8:$M$8,0))/1000)</f>
        <v>0</v>
      </c>
      <c r="S42" s="237">
        <f>Q42*(INDEX('Ex post LI &amp; Eligibility Stats'!$A:$N,MATCH($A42,'Ex post LI &amp; Eligibility Stats'!$A:$A,0),MATCH('Program MW '!R$28,'Ex post LI &amp; Eligibility Stats'!$A$8:$N$8,0))/1000)</f>
        <v>0</v>
      </c>
      <c r="T42" s="4">
        <v>18875</v>
      </c>
    </row>
    <row r="43" spans="1:26" s="117" customFormat="1">
      <c r="A43" s="197" t="s">
        <v>55</v>
      </c>
      <c r="B43" s="152">
        <v>95</v>
      </c>
      <c r="C43" s="236">
        <f>B43*(INDEX('Ex ante LI &amp; Eligibility Stats'!$A:$M,MATCH('Program MW '!$A43,'Ex ante LI &amp; Eligibility Stats'!$A:$A,0),MATCH('Program MW '!C$28,'Ex ante LI &amp; Eligibility Stats'!$A$8:$M$8,0))/1000)</f>
        <v>0</v>
      </c>
      <c r="D43" s="237">
        <f>B43*(INDEX('Ex post LI &amp; Eligibility Stats'!$A:$N,MATCH($A43,'Ex post LI &amp; Eligibility Stats'!$A:$A,0),MATCH('Program MW '!C$28,'Ex post LI &amp; Eligibility Stats'!$A$8:$N$8,0))/1000)</f>
        <v>4.5078440010547637E-2</v>
      </c>
      <c r="E43" s="152">
        <v>102</v>
      </c>
      <c r="F43" s="236">
        <f>E43*(INDEX('Ex ante LI &amp; Eligibility Stats'!$A:$M,MATCH('Program MW '!$A43,'Ex ante LI &amp; Eligibility Stats'!$A:$A,0),MATCH('Program MW '!F$28,'Ex ante LI &amp; Eligibility Stats'!$A$8:$M$8,0))/1000)</f>
        <v>0</v>
      </c>
      <c r="G43" s="237">
        <f>E43*(INDEX('Ex post LI &amp; Eligibility Stats'!$A:$N,MATCH($A43,'Ex post LI &amp; Eligibility Stats'!$A:$A,0),MATCH('Program MW '!F$28,'Ex post LI &amp; Eligibility Stats'!$A$8:$N$8,0))/1000)</f>
        <v>4.8400009274482729E-2</v>
      </c>
      <c r="H43" s="152">
        <v>105</v>
      </c>
      <c r="I43" s="236">
        <f>H43*(INDEX('Ex ante LI &amp; Eligibility Stats'!$A:$M,MATCH('Program MW '!$A43,'Ex ante LI &amp; Eligibility Stats'!$A:$A,0),MATCH('Program MW '!I$28,'Ex ante LI &amp; Eligibility Stats'!$A$8:$M$8,0))/1000)</f>
        <v>0</v>
      </c>
      <c r="J43" s="237">
        <f>H43*(INDEX('Ex post LI &amp; Eligibility Stats'!$A:$N,MATCH($A43,'Ex post LI &amp; Eligibility Stats'!$A:$A,0),MATCH('Program MW '!I$28,'Ex post LI &amp; Eligibility Stats'!$A$8:$N$8,0))/1000)</f>
        <v>4.9823538959026338E-2</v>
      </c>
      <c r="K43" s="152">
        <v>103</v>
      </c>
      <c r="L43" s="236">
        <f>K43*(INDEX('Ex ante LI &amp; Eligibility Stats'!$A:$M,MATCH('Program MW '!$A43,'Ex ante LI &amp; Eligibility Stats'!$A:$A,0),MATCH('Program MW '!L$28,'Ex ante LI &amp; Eligibility Stats'!$A$8:$M$8,0))/1000)</f>
        <v>0</v>
      </c>
      <c r="M43" s="237">
        <f>K43*(INDEX('Ex post LI &amp; Eligibility Stats'!$A:$N,MATCH($A43,'Ex post LI &amp; Eligibility Stats'!$A:$A,0),MATCH('Program MW '!L$28,'Ex post LI &amp; Eligibility Stats'!$A$8:$N$8,0))/1000)</f>
        <v>4.8874519169330596E-2</v>
      </c>
      <c r="N43" s="152">
        <v>108</v>
      </c>
      <c r="O43" s="236">
        <f>N43*(INDEX('Ex ante LI &amp; Eligibility Stats'!$A:$M,MATCH('Program MW '!$A43,'Ex ante LI &amp; Eligibility Stats'!$A:$A,0),MATCH('Program MW '!O$28,'Ex ante LI &amp; Eligibility Stats'!$A$8:$M$8,0))/1000)</f>
        <v>0</v>
      </c>
      <c r="P43" s="237">
        <f>N43*(INDEX('Ex post LI &amp; Eligibility Stats'!$A:$N,MATCH($A43,'Ex post LI &amp; Eligibility Stats'!$A:$A,0),MATCH('Program MW '!O$28,'Ex post LI &amp; Eligibility Stats'!$A$8:$N$8,0))/1000)</f>
        <v>5.1247068643569947E-2</v>
      </c>
      <c r="Q43" s="152">
        <v>108</v>
      </c>
      <c r="R43" s="236">
        <f>Q43*(INDEX('Ex ante LI &amp; Eligibility Stats'!$A:$M,MATCH('Program MW '!$A43,'Ex ante LI &amp; Eligibility Stats'!$A:$A,0),MATCH('Program MW '!R$28,'Ex ante LI &amp; Eligibility Stats'!$A$8:$M$8,0))/1000)</f>
        <v>0</v>
      </c>
      <c r="S43" s="237">
        <f>Q43*(INDEX('Ex post LI &amp; Eligibility Stats'!$A:$N,MATCH($A43,'Ex post LI &amp; Eligibility Stats'!$A:$A,0),MATCH('Program MW '!R$28,'Ex post LI &amp; Eligibility Stats'!$A$8:$N$8,0))/1000)</f>
        <v>5.1247068643569947E-2</v>
      </c>
      <c r="T43" s="294"/>
    </row>
    <row r="44" spans="1:26">
      <c r="A44" s="68" t="s">
        <v>26</v>
      </c>
      <c r="B44" s="123">
        <v>62705</v>
      </c>
      <c r="C44" s="236">
        <f>B44*(INDEX('Ex ante LI &amp; Eligibility Stats'!$A:$M,MATCH('Program MW '!$A44,'Ex ante LI &amp; Eligibility Stats'!$A:$A,0),MATCH('Program MW '!C$28,'Ex ante LI &amp; Eligibility Stats'!$A$8:$M$8,0))/1000)</f>
        <v>0.13718643118937368</v>
      </c>
      <c r="D44" s="237">
        <f>B44*(INDEX('Ex post LI &amp; Eligibility Stats'!$A:$N,MATCH($A44,'Ex post LI &amp; Eligibility Stats'!$A:$A,0),MATCH('Program MW '!C$28,'Ex post LI &amp; Eligibility Stats'!$A$8:$N$8,0))/1000)</f>
        <v>3.1330050788902919</v>
      </c>
      <c r="E44" s="123">
        <v>52619</v>
      </c>
      <c r="F44" s="236">
        <f>E44*(INDEX('Ex ante LI &amp; Eligibility Stats'!$A:$M,MATCH('Program MW '!$A44,'Ex ante LI &amp; Eligibility Stats'!$A:$A,0),MATCH('Program MW '!F$28,'Ex ante LI &amp; Eligibility Stats'!$A$8:$M$8,0))/1000)</f>
        <v>0.16549843604170117</v>
      </c>
      <c r="G44" s="237">
        <f>E44*(INDEX('Ex post LI &amp; Eligibility Stats'!$A:$N,MATCH($A44,'Ex post LI &amp; Eligibility Stats'!$A:$A,0),MATCH('Program MW '!F$28,'Ex post LI &amp; Eligibility Stats'!$A$8:$N$8,0))/1000)</f>
        <v>2.6290661708975085</v>
      </c>
      <c r="H44" s="123">
        <v>52325</v>
      </c>
      <c r="I44" s="236">
        <f>H44*(INDEX('Ex ante LI &amp; Eligibility Stats'!$A:$M,MATCH('Program MW '!$A44,'Ex ante LI &amp; Eligibility Stats'!$A:$A,0),MATCH('Program MW '!I$28,'Ex ante LI &amp; Eligibility Stats'!$A$8:$M$8,0))/1000)</f>
        <v>0.2334702063470154</v>
      </c>
      <c r="J44" s="237">
        <f>H44*(INDEX('Ex post LI &amp; Eligibility Stats'!$A:$N,MATCH($A44,'Ex post LI &amp; Eligibility Stats'!$A:$A,0),MATCH('Program MW '!I$28,'Ex post LI &amp; Eligibility Stats'!$A$8:$N$8,0))/1000)</f>
        <v>2.6143766964824899</v>
      </c>
      <c r="K44" s="123">
        <v>51755</v>
      </c>
      <c r="L44" s="236">
        <f>K44*(INDEX('Ex ante LI &amp; Eligibility Stats'!$A:$M,MATCH('Program MW '!$A44,'Ex ante LI &amp; Eligibility Stats'!$A:$A,0),MATCH('Program MW '!L$28,'Ex ante LI &amp; Eligibility Stats'!$A$8:$M$8,0))/1000)</f>
        <v>0.1479696831267667</v>
      </c>
      <c r="M44" s="237">
        <f>K44*(INDEX('Ex post LI &amp; Eligibility Stats'!$A:$N,MATCH($A44,'Ex post LI &amp; Eligibility Stats'!$A:$A,0),MATCH('Program MW '!L$28,'Ex post LI &amp; Eligibility Stats'!$A$8:$N$8,0))/1000)</f>
        <v>2.585897103228882</v>
      </c>
      <c r="N44" s="123">
        <v>51823</v>
      </c>
      <c r="O44" s="236">
        <f>N44*(INDEX('Ex ante LI &amp; Eligibility Stats'!$A:$M,MATCH('Program MW '!$A44,'Ex ante LI &amp; Eligibility Stats'!$A:$A,0),MATCH('Program MW '!O$28,'Ex ante LI &amp; Eligibility Stats'!$A$8:$M$8,0))/1000)</f>
        <v>1.6330572174783155E-2</v>
      </c>
      <c r="P44" s="237">
        <f>N44*(INDEX('Ex post LI &amp; Eligibility Stats'!$A:$N,MATCH($A44,'Ex post LI &amp; Eligibility Stats'!$A:$A,0),MATCH('Program MW '!O$28,'Ex post LI &amp; Eligibility Stats'!$A$8:$N$8,0))/1000)</f>
        <v>2.5892946687398388</v>
      </c>
      <c r="Q44" s="123">
        <v>51040</v>
      </c>
      <c r="R44" s="236">
        <f>Q44*(INDEX('Ex ante LI &amp; Eligibility Stats'!$A:$M,MATCH('Program MW '!$A44,'Ex ante LI &amp; Eligibility Stats'!$A:$A,0),MATCH('Program MW '!R$28,'Ex ante LI &amp; Eligibility Stats'!$A$8:$M$8,0))/1000)</f>
        <v>-3.966852934886504E-3</v>
      </c>
      <c r="S44" s="237">
        <f>Q44*(INDEX('Ex post LI &amp; Eligibility Stats'!$A:$N,MATCH($A44,'Ex post LI &amp; Eligibility Stats'!$A:$A,0),MATCH('Program MW '!R$28,'Ex post LI &amp; Eligibility Stats'!$A$8:$N$8,0))/1000)</f>
        <v>2.5501727011651463</v>
      </c>
      <c r="T44" s="4"/>
    </row>
    <row r="45" spans="1:26">
      <c r="A45" s="38" t="s">
        <v>27</v>
      </c>
      <c r="B45" s="195">
        <v>21149</v>
      </c>
      <c r="C45" s="236">
        <f>B45*(INDEX('Ex ante LI &amp; Eligibility Stats'!$A:$M,MATCH('Program MW '!$A45,'Ex ante LI &amp; Eligibility Stats'!$A:$A,0),MATCH('Program MW '!C$28,'Ex ante LI &amp; Eligibility Stats'!$A$8:$M$8,0))/1000)</f>
        <v>1.8182098268599642</v>
      </c>
      <c r="D45" s="237">
        <f>B45*(INDEX('Ex post LI &amp; Eligibility Stats'!$A:$N,MATCH($A45,'Ex post LI &amp; Eligibility Stats'!$A:$A,0),MATCH('Program MW '!C$28,'Ex post LI &amp; Eligibility Stats'!$A$8:$N$8,0))/1000)</f>
        <v>3.5342182453142823</v>
      </c>
      <c r="E45" s="195">
        <v>21943</v>
      </c>
      <c r="F45" s="236">
        <f>E45*(INDEX('Ex ante LI &amp; Eligibility Stats'!$A:$M,MATCH('Program MW '!$A45,'Ex ante LI &amp; Eligibility Stats'!$A:$A,0),MATCH('Program MW '!F$28,'Ex ante LI &amp; Eligibility Stats'!$A$8:$M$8,0))/1000)</f>
        <v>2.0169782995299981</v>
      </c>
      <c r="G45" s="237">
        <f>E45*(INDEX('Ex post LI &amp; Eligibility Stats'!$A:$N,MATCH($A45,'Ex post LI &amp; Eligibility Stats'!$A:$A,0),MATCH('Program MW '!F$28,'Ex post LI &amp; Eligibility Stats'!$A$8:$N$8,0))/1000)</f>
        <v>3.6669039177706417</v>
      </c>
      <c r="H45" s="195">
        <v>22333</v>
      </c>
      <c r="I45" s="236">
        <f>H45*(INDEX('Ex ante LI &amp; Eligibility Stats'!$A:$M,MATCH('Program MW '!$A45,'Ex ante LI &amp; Eligibility Stats'!$A:$A,0),MATCH('Program MW '!I$28,'Ex ante LI &amp; Eligibility Stats'!$A$8:$M$8,0))/1000)</f>
        <v>2.245907741382811</v>
      </c>
      <c r="J45" s="237">
        <f>H45*(INDEX('Ex post LI &amp; Eligibility Stats'!$A:$N,MATCH($A45,'Ex post LI &amp; Eligibility Stats'!$A:$A,0),MATCH('Program MW '!I$28,'Ex post LI &amp; Eligibility Stats'!$A$8:$N$8,0))/1000)</f>
        <v>3.7320769810678458</v>
      </c>
      <c r="K45" s="195">
        <v>22369</v>
      </c>
      <c r="L45" s="236">
        <f>K45*(INDEX('Ex ante LI &amp; Eligibility Stats'!$A:$M,MATCH('Program MW '!$A45,'Ex ante LI &amp; Eligibility Stats'!$A:$A,0),MATCH('Program MW '!L$28,'Ex ante LI &amp; Eligibility Stats'!$A$8:$M$8,0))/1000)</f>
        <v>2.095196886470446</v>
      </c>
      <c r="M45" s="237">
        <f>K45*(INDEX('Ex post LI &amp; Eligibility Stats'!$A:$N,MATCH($A45,'Ex post LI &amp; Eligibility Stats'!$A:$A,0),MATCH('Program MW '!L$28,'Ex post LI &amp; Eligibility Stats'!$A$8:$N$8,0))/1000)</f>
        <v>3.738092956141434</v>
      </c>
      <c r="N45" s="195">
        <v>22082</v>
      </c>
      <c r="O45" s="236">
        <f>N45*(INDEX('Ex ante LI &amp; Eligibility Stats'!$A:$M,MATCH('Program MW '!$A45,'Ex ante LI &amp; Eligibility Stats'!$A:$A,0),MATCH('Program MW '!O$28,'Ex ante LI &amp; Eligibility Stats'!$A$8:$M$8,0))/1000)</f>
        <v>3.1344709908821673</v>
      </c>
      <c r="P45" s="237">
        <f>N45*(INDEX('Ex post LI &amp; Eligibility Stats'!$A:$N,MATCH($A45,'Ex post LI &amp; Eligibility Stats'!$A:$A,0),MATCH('Program MW '!O$28,'Ex post LI &amp; Eligibility Stats'!$A$8:$N$8,0))/1000)</f>
        <v>3.6901322659714402</v>
      </c>
      <c r="Q45" s="195">
        <v>21897</v>
      </c>
      <c r="R45" s="236">
        <f>Q45*(INDEX('Ex ante LI &amp; Eligibility Stats'!$A:$M,MATCH('Program MW '!$A45,'Ex ante LI &amp; Eligibility Stats'!$A:$A,0),MATCH('Program MW '!R$28,'Ex ante LI &amp; Eligibility Stats'!$A$8:$M$8,0))/1000)</f>
        <v>3.529843614540805</v>
      </c>
      <c r="S45" s="237">
        <f>Q45*(INDEX('Ex post LI &amp; Eligibility Stats'!$A:$N,MATCH($A45,'Ex post LI &amp; Eligibility Stats'!$A:$A,0),MATCH('Program MW '!R$28,'Ex post LI &amp; Eligibility Stats'!$A$8:$N$8,0))/1000)</f>
        <v>3.6592168385099457</v>
      </c>
      <c r="T45" s="4"/>
    </row>
    <row r="46" spans="1:26" ht="13.5" thickBot="1">
      <c r="A46" s="135" t="s">
        <v>57</v>
      </c>
      <c r="B46" s="3">
        <f t="shared" ref="B46:S46" si="11">SUM(B34:B45)</f>
        <v>117170</v>
      </c>
      <c r="C46" s="180">
        <f t="shared" si="11"/>
        <v>8.0243870196707121</v>
      </c>
      <c r="D46" s="164">
        <f t="shared" si="11"/>
        <v>17.935063245218839</v>
      </c>
      <c r="E46" s="3">
        <f t="shared" si="11"/>
        <v>108086</v>
      </c>
      <c r="F46" s="180">
        <f t="shared" si="11"/>
        <v>10.215026954070641</v>
      </c>
      <c r="G46" s="164">
        <f t="shared" si="11"/>
        <v>17.886480750226802</v>
      </c>
      <c r="H46" s="3">
        <f t="shared" si="11"/>
        <v>108111</v>
      </c>
      <c r="I46" s="180">
        <f t="shared" si="11"/>
        <v>11.682166947795974</v>
      </c>
      <c r="J46" s="164">
        <f t="shared" si="11"/>
        <v>17.692187479857527</v>
      </c>
      <c r="K46" s="3">
        <f t="shared" si="11"/>
        <v>107539</v>
      </c>
      <c r="L46" s="180">
        <f t="shared" si="11"/>
        <v>8.2835067026850346</v>
      </c>
      <c r="M46" s="164">
        <f t="shared" si="11"/>
        <v>17.915496825199774</v>
      </c>
      <c r="N46" s="3">
        <f t="shared" si="11"/>
        <v>106224</v>
      </c>
      <c r="O46" s="180">
        <f t="shared" si="11"/>
        <v>3.6244268955242083</v>
      </c>
      <c r="P46" s="164">
        <f t="shared" si="11"/>
        <v>14.928585722031926</v>
      </c>
      <c r="Q46" s="3">
        <f t="shared" si="11"/>
        <v>105682</v>
      </c>
      <c r="R46" s="180">
        <f t="shared" si="11"/>
        <v>3.5258767616059186</v>
      </c>
      <c r="S46" s="164">
        <f t="shared" si="11"/>
        <v>15.001291449720711</v>
      </c>
      <c r="T46" s="8"/>
    </row>
    <row r="47" spans="1:26" ht="14.25" thickTop="1" thickBot="1">
      <c r="A47" s="138" t="s">
        <v>58</v>
      </c>
      <c r="B47" s="2">
        <f t="shared" ref="B47:S47" si="12">+B32+B46</f>
        <v>117171</v>
      </c>
      <c r="C47" s="181">
        <f t="shared" si="12"/>
        <v>8.1838750262625091</v>
      </c>
      <c r="D47" s="163">
        <f t="shared" si="12"/>
        <v>18.04106324521884</v>
      </c>
      <c r="E47" s="2">
        <f t="shared" si="12"/>
        <v>108087</v>
      </c>
      <c r="F47" s="181">
        <f t="shared" si="12"/>
        <v>10.374855338470056</v>
      </c>
      <c r="G47" s="163">
        <f t="shared" si="12"/>
        <v>17.992480750226804</v>
      </c>
      <c r="H47" s="2">
        <f t="shared" si="12"/>
        <v>108112</v>
      </c>
      <c r="I47" s="181">
        <f t="shared" si="12"/>
        <v>11.864200028850661</v>
      </c>
      <c r="J47" s="163">
        <f t="shared" si="12"/>
        <v>17.798187479857528</v>
      </c>
      <c r="K47" s="2">
        <f t="shared" si="12"/>
        <v>107540</v>
      </c>
      <c r="L47" s="181">
        <f t="shared" si="12"/>
        <v>8.4369206278559332</v>
      </c>
      <c r="M47" s="163">
        <f t="shared" si="12"/>
        <v>18.021496825199776</v>
      </c>
      <c r="N47" s="2">
        <f t="shared" si="12"/>
        <v>106224</v>
      </c>
      <c r="O47" s="181">
        <f t="shared" si="12"/>
        <v>3.6244268955242083</v>
      </c>
      <c r="P47" s="163">
        <f t="shared" si="12"/>
        <v>14.928585722031926</v>
      </c>
      <c r="Q47" s="2">
        <f t="shared" si="12"/>
        <v>105682</v>
      </c>
      <c r="R47" s="181">
        <f t="shared" si="12"/>
        <v>3.5258767616059186</v>
      </c>
      <c r="S47" s="163">
        <f t="shared" si="12"/>
        <v>15.001291449720711</v>
      </c>
      <c r="T47" s="11"/>
      <c r="U47" s="6"/>
      <c r="V47" s="11"/>
      <c r="W47" s="11"/>
      <c r="X47" s="6"/>
      <c r="Y47" s="11"/>
      <c r="Z47" s="11"/>
    </row>
    <row r="48" spans="1:26" ht="13.5" thickTop="1">
      <c r="A48" s="111"/>
      <c r="B48" s="11"/>
      <c r="C48" s="11"/>
      <c r="D48" s="6"/>
      <c r="E48" s="11"/>
      <c r="F48" s="11"/>
      <c r="G48" s="11"/>
      <c r="H48" s="6"/>
      <c r="I48" s="11"/>
      <c r="J48" s="11"/>
      <c r="K48" s="11"/>
      <c r="L48" s="11"/>
      <c r="M48" s="6"/>
      <c r="N48" s="11"/>
      <c r="O48" s="11"/>
      <c r="P48" s="11"/>
      <c r="Q48" s="6"/>
      <c r="R48" s="11"/>
      <c r="S48" s="11"/>
      <c r="T48" s="11"/>
      <c r="U48" s="6"/>
      <c r="V48" s="6"/>
      <c r="W48" s="11"/>
      <c r="X48" s="6"/>
      <c r="Y48" s="6"/>
      <c r="Z48" s="11"/>
    </row>
    <row r="49" spans="1:31" ht="15">
      <c r="A49" s="174" t="s">
        <v>67</v>
      </c>
      <c r="B49" s="139"/>
      <c r="C49" s="139"/>
      <c r="D49" s="139"/>
      <c r="E49" s="280"/>
      <c r="F49" s="140"/>
      <c r="G49" s="139"/>
      <c r="H49" s="140"/>
      <c r="I49" s="139"/>
      <c r="J49" s="139"/>
      <c r="K49" s="139"/>
      <c r="L49" s="139"/>
      <c r="M49" s="139"/>
      <c r="N49" s="139"/>
      <c r="O49" s="139"/>
      <c r="P49" s="141"/>
      <c r="Q49" s="139"/>
      <c r="R49" s="139"/>
      <c r="S49" s="139"/>
      <c r="T49" s="12"/>
      <c r="U49" s="12"/>
      <c r="V49" s="12"/>
      <c r="W49" s="12"/>
      <c r="X49" s="12"/>
      <c r="Y49" s="12"/>
      <c r="Z49" s="12"/>
    </row>
    <row r="50" spans="1:31" ht="29.85" customHeight="1">
      <c r="A50" s="678" t="s">
        <v>68</v>
      </c>
      <c r="B50" s="678"/>
      <c r="C50" s="678"/>
      <c r="D50" s="678"/>
      <c r="E50" s="678"/>
      <c r="F50" s="678"/>
      <c r="G50" s="678"/>
      <c r="H50" s="678"/>
      <c r="I50" s="678"/>
      <c r="J50" s="678"/>
      <c r="K50" s="678"/>
      <c r="L50" s="678"/>
      <c r="M50" s="678"/>
      <c r="N50" s="678"/>
      <c r="O50" s="678"/>
    </row>
    <row r="51" spans="1:31" ht="30.6" customHeight="1">
      <c r="A51" s="678" t="s">
        <v>69</v>
      </c>
      <c r="B51" s="678"/>
      <c r="C51" s="678"/>
      <c r="D51" s="678"/>
      <c r="E51" s="678"/>
      <c r="F51" s="678"/>
      <c r="G51" s="678"/>
      <c r="H51" s="678"/>
      <c r="I51" s="678"/>
      <c r="J51" s="678"/>
      <c r="K51" s="678"/>
      <c r="L51" s="678"/>
      <c r="M51" s="678"/>
      <c r="N51" s="678"/>
      <c r="O51" s="678"/>
      <c r="P51" s="12"/>
      <c r="Q51" s="12"/>
      <c r="R51" s="12"/>
      <c r="S51" s="12"/>
      <c r="T51" s="111"/>
      <c r="U51" s="111"/>
      <c r="V51" s="111"/>
      <c r="W51" s="111"/>
      <c r="X51" s="111"/>
      <c r="Y51" s="111"/>
      <c r="Z51" s="111"/>
    </row>
    <row r="52" spans="1:31" s="117" customFormat="1" ht="18" customHeight="1">
      <c r="A52" s="678" t="s">
        <v>70</v>
      </c>
      <c r="B52" s="678"/>
      <c r="C52" s="678"/>
      <c r="D52" s="678"/>
      <c r="E52" s="678"/>
      <c r="F52" s="678"/>
      <c r="G52" s="678"/>
      <c r="H52" s="678"/>
      <c r="I52" s="678"/>
      <c r="J52" s="678"/>
      <c r="K52" s="678"/>
      <c r="L52" s="678"/>
      <c r="M52" s="678"/>
      <c r="N52" s="678"/>
      <c r="O52" s="678"/>
      <c r="P52" s="278"/>
      <c r="Q52" s="278"/>
      <c r="R52" s="278"/>
      <c r="S52" s="278"/>
      <c r="T52" s="149"/>
      <c r="U52" s="149"/>
      <c r="V52" s="149"/>
      <c r="W52" s="149"/>
      <c r="X52" s="149"/>
      <c r="Y52" s="149"/>
      <c r="Z52" s="149"/>
    </row>
    <row r="53" spans="1:31" s="117" customFormat="1" ht="18" customHeight="1">
      <c r="A53" s="678" t="s">
        <v>71</v>
      </c>
      <c r="B53" s="678"/>
      <c r="C53" s="678"/>
      <c r="D53" s="678"/>
      <c r="E53" s="678"/>
      <c r="F53" s="678"/>
      <c r="G53" s="678"/>
      <c r="H53" s="678"/>
      <c r="I53" s="678"/>
      <c r="J53" s="678"/>
      <c r="K53" s="678"/>
      <c r="L53" s="678"/>
      <c r="M53" s="678"/>
      <c r="N53" s="678"/>
      <c r="O53" s="678"/>
      <c r="P53" s="278"/>
      <c r="Q53" s="278"/>
      <c r="R53" s="278"/>
      <c r="S53" s="278"/>
      <c r="T53" s="149"/>
      <c r="U53" s="149"/>
      <c r="V53" s="149"/>
      <c r="W53" s="149"/>
      <c r="X53" s="149"/>
      <c r="Y53" s="149"/>
      <c r="Z53" s="149"/>
    </row>
    <row r="54" spans="1:31" s="117" customFormat="1" ht="14.1" customHeight="1">
      <c r="A54" s="678" t="s">
        <v>72</v>
      </c>
      <c r="B54" s="678"/>
      <c r="C54" s="678"/>
      <c r="D54" s="678"/>
      <c r="E54" s="678"/>
      <c r="F54" s="678"/>
      <c r="G54" s="678"/>
      <c r="H54" s="678"/>
      <c r="I54" s="678"/>
      <c r="J54" s="678"/>
      <c r="K54" s="678"/>
      <c r="L54" s="678"/>
      <c r="M54" s="678"/>
      <c r="N54" s="678"/>
      <c r="O54" s="410"/>
      <c r="P54" s="278"/>
      <c r="Q54" s="278"/>
      <c r="R54" s="278"/>
      <c r="S54" s="278"/>
      <c r="T54" s="149"/>
      <c r="U54" s="149"/>
      <c r="V54" s="149"/>
      <c r="W54" s="149"/>
      <c r="X54" s="149"/>
      <c r="Y54" s="149"/>
      <c r="Z54" s="149"/>
    </row>
    <row r="55" spans="1:31" ht="15.75" customHeight="1">
      <c r="A55" s="347" t="s">
        <v>73</v>
      </c>
      <c r="B55" s="418"/>
      <c r="C55" s="418"/>
      <c r="D55" s="418"/>
      <c r="E55" s="418"/>
      <c r="F55" s="418"/>
      <c r="G55" s="418"/>
      <c r="H55" s="418"/>
      <c r="I55" s="418"/>
      <c r="J55" s="418"/>
      <c r="K55" s="418"/>
      <c r="L55" s="418"/>
      <c r="M55" s="418"/>
      <c r="N55" s="418"/>
      <c r="O55" s="419"/>
    </row>
    <row r="56" spans="1:31" ht="14.25">
      <c r="A56" s="347" t="s">
        <v>74</v>
      </c>
      <c r="B56" s="418"/>
      <c r="C56" s="418"/>
      <c r="D56" s="418"/>
      <c r="E56" s="418"/>
      <c r="F56" s="418"/>
      <c r="G56" s="418"/>
      <c r="H56" s="418"/>
      <c r="I56" s="418"/>
      <c r="J56" s="418"/>
      <c r="K56" s="418"/>
      <c r="L56" s="418"/>
      <c r="M56" s="418"/>
      <c r="N56" s="418"/>
      <c r="O56" s="419"/>
    </row>
    <row r="57" spans="1:31" ht="14.25">
      <c r="A57" s="417" t="s">
        <v>75</v>
      </c>
      <c r="B57" s="418"/>
      <c r="C57" s="418"/>
      <c r="D57" s="418"/>
      <c r="E57" s="418"/>
      <c r="F57" s="418"/>
      <c r="G57" s="418"/>
      <c r="H57" s="418"/>
      <c r="I57" s="418"/>
      <c r="J57" s="418"/>
      <c r="K57" s="418"/>
      <c r="L57" s="418"/>
      <c r="M57" s="418"/>
      <c r="N57" s="418"/>
      <c r="O57" s="419"/>
    </row>
    <row r="58" spans="1:31" s="117" customFormat="1" ht="14.25">
      <c r="A58" s="446" t="s">
        <v>76</v>
      </c>
    </row>
    <row r="59" spans="1:31" s="117" customFormat="1" ht="14.25">
      <c r="A59" s="446" t="s">
        <v>77</v>
      </c>
    </row>
    <row r="60" spans="1:31" ht="14.25">
      <c r="A60" s="347" t="s">
        <v>78</v>
      </c>
      <c r="B60" s="418"/>
      <c r="C60" s="418"/>
      <c r="D60" s="418"/>
      <c r="E60" s="418"/>
      <c r="F60" s="418"/>
      <c r="G60" s="418"/>
      <c r="H60" s="418"/>
      <c r="I60" s="418"/>
      <c r="J60" s="418"/>
      <c r="K60" s="418"/>
      <c r="L60" s="418"/>
      <c r="M60" s="418"/>
      <c r="N60" s="418"/>
      <c r="O60" s="419"/>
      <c r="P60" s="445"/>
      <c r="Q60" s="445"/>
      <c r="R60" s="445"/>
      <c r="S60" s="445"/>
      <c r="T60" s="445"/>
      <c r="U60" s="445"/>
      <c r="V60" s="445"/>
      <c r="W60" s="445"/>
      <c r="X60" s="445"/>
      <c r="Y60" s="445"/>
      <c r="Z60" s="445"/>
      <c r="AA60" s="445"/>
      <c r="AB60" s="445"/>
      <c r="AC60" s="445"/>
      <c r="AD60" s="445"/>
      <c r="AE60" s="445"/>
    </row>
    <row r="61" spans="1:31" ht="15">
      <c r="A61" s="165" t="s">
        <v>79</v>
      </c>
    </row>
  </sheetData>
  <mergeCells count="5">
    <mergeCell ref="A50:O50"/>
    <mergeCell ref="A51:O51"/>
    <mergeCell ref="A52:O52"/>
    <mergeCell ref="A53:O53"/>
    <mergeCell ref="A54:N54"/>
  </mergeCells>
  <phoneticPr fontId="0" type="noConversion"/>
  <printOptions horizontalCentered="1"/>
  <pageMargins left="0" right="0" top="0.3" bottom="0.17" header="0.3" footer="0.15"/>
  <pageSetup paperSize="5" scale="54"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0DA37-2717-4968-BA2E-24600E37EBFB}">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4"/>
  <sheetViews>
    <sheetView zoomScaleNormal="100" zoomScaleSheetLayoutView="100" workbookViewId="0">
      <selection activeCell="C10" sqref="C10"/>
    </sheetView>
  </sheetViews>
  <sheetFormatPr defaultColWidth="9.28515625" defaultRowHeight="12.75"/>
  <cols>
    <col min="1" max="1" width="33.5703125" customWidth="1"/>
    <col min="2" max="2" width="9" customWidth="1"/>
    <col min="3" max="3" width="10.28515625" customWidth="1"/>
    <col min="4" max="4" width="9" customWidth="1"/>
    <col min="5" max="9" width="10.5703125" customWidth="1"/>
    <col min="10" max="10" width="11.5703125" customWidth="1"/>
    <col min="11" max="11" width="10.5703125" customWidth="1"/>
    <col min="12" max="12" width="10.7109375" customWidth="1"/>
    <col min="13" max="13" width="10.28515625" customWidth="1"/>
    <col min="14" max="14" width="18.7109375" style="118" customWidth="1"/>
    <col min="15" max="15" width="149.5703125" customWidth="1"/>
  </cols>
  <sheetData>
    <row r="2" spans="1:16">
      <c r="A2" s="35"/>
      <c r="H2" s="113" t="s">
        <v>39</v>
      </c>
      <c r="N2" s="257"/>
    </row>
    <row r="3" spans="1:16">
      <c r="E3" s="258"/>
      <c r="H3" s="116" t="str">
        <f>'Program MW '!H3</f>
        <v>December  2021</v>
      </c>
      <c r="N3" s="257"/>
    </row>
    <row r="4" spans="1:16">
      <c r="E4" s="115"/>
      <c r="F4" s="115"/>
      <c r="G4" s="115"/>
      <c r="I4" s="115"/>
      <c r="N4" s="257"/>
    </row>
    <row r="5" spans="1:16">
      <c r="B5" s="115"/>
      <c r="C5" s="115"/>
      <c r="D5" s="115"/>
      <c r="F5" s="114"/>
      <c r="N5" s="257"/>
      <c r="O5" s="37"/>
    </row>
    <row r="6" spans="1:16">
      <c r="F6" s="114"/>
      <c r="N6" s="257"/>
    </row>
    <row r="7" spans="1:16" ht="13.5" customHeight="1">
      <c r="A7" s="679" t="s">
        <v>80</v>
      </c>
      <c r="B7" s="680"/>
      <c r="C7" s="680"/>
      <c r="D7" s="680"/>
      <c r="E7" s="680"/>
      <c r="F7" s="680"/>
      <c r="G7" s="680"/>
      <c r="H7" s="680"/>
      <c r="I7" s="680"/>
      <c r="J7" s="680"/>
      <c r="K7" s="680"/>
      <c r="L7" s="680"/>
      <c r="M7" s="680"/>
      <c r="N7" s="681"/>
      <c r="O7" s="478"/>
    </row>
    <row r="8" spans="1:16" ht="38.25" customHeight="1">
      <c r="A8" s="36" t="s">
        <v>1</v>
      </c>
      <c r="B8" s="302" t="s">
        <v>41</v>
      </c>
      <c r="C8" s="302" t="s">
        <v>42</v>
      </c>
      <c r="D8" s="302" t="s">
        <v>43</v>
      </c>
      <c r="E8" s="302" t="s">
        <v>44</v>
      </c>
      <c r="F8" s="302" t="s">
        <v>31</v>
      </c>
      <c r="G8" s="302" t="s">
        <v>45</v>
      </c>
      <c r="H8" s="302" t="s">
        <v>59</v>
      </c>
      <c r="I8" s="302" t="s">
        <v>60</v>
      </c>
      <c r="J8" s="302" t="s">
        <v>61</v>
      </c>
      <c r="K8" s="302" t="s">
        <v>62</v>
      </c>
      <c r="L8" s="302" t="s">
        <v>63</v>
      </c>
      <c r="M8" s="302" t="s">
        <v>64</v>
      </c>
      <c r="N8" s="301" t="s">
        <v>81</v>
      </c>
      <c r="O8" s="198" t="s">
        <v>82</v>
      </c>
    </row>
    <row r="9" spans="1:16" ht="75.75" customHeight="1">
      <c r="A9" s="303" t="s">
        <v>8</v>
      </c>
      <c r="B9" s="479">
        <v>147.93927001953125</v>
      </c>
      <c r="C9" s="479">
        <v>123.35836029052734</v>
      </c>
      <c r="D9" s="479">
        <v>154.17617797851563</v>
      </c>
      <c r="E9" s="479">
        <v>141.36283874511719</v>
      </c>
      <c r="F9" s="479">
        <v>137.30026245117188</v>
      </c>
      <c r="G9" s="479">
        <v>167.08448791503906</v>
      </c>
      <c r="H9" s="479">
        <v>159.48800659179688</v>
      </c>
      <c r="I9" s="479">
        <v>159.82838439941406</v>
      </c>
      <c r="J9" s="479">
        <v>182.0330810546875</v>
      </c>
      <c r="K9" s="479">
        <v>153.41392517089844</v>
      </c>
      <c r="L9" s="479">
        <v>178.67237854003906</v>
      </c>
      <c r="M9" s="479">
        <v>115.07282257080078</v>
      </c>
      <c r="N9" s="480">
        <v>5326</v>
      </c>
      <c r="O9" s="297" t="s">
        <v>83</v>
      </c>
      <c r="P9" s="479"/>
    </row>
    <row r="10" spans="1:16" ht="75.75" customHeight="1">
      <c r="A10" s="304" t="s">
        <v>11</v>
      </c>
      <c r="B10" s="305">
        <v>0.14000000000000001</v>
      </c>
      <c r="C10" s="305">
        <v>0.14000000000000001</v>
      </c>
      <c r="D10" s="479">
        <v>0</v>
      </c>
      <c r="E10" s="479">
        <v>0</v>
      </c>
      <c r="F10" s="479">
        <v>0</v>
      </c>
      <c r="G10" s="479">
        <v>0</v>
      </c>
      <c r="H10" s="479">
        <v>0</v>
      </c>
      <c r="I10" s="479">
        <v>0</v>
      </c>
      <c r="J10" s="479">
        <v>0</v>
      </c>
      <c r="K10" s="479">
        <v>0</v>
      </c>
      <c r="L10" s="479">
        <v>0</v>
      </c>
      <c r="M10" s="479">
        <v>0</v>
      </c>
      <c r="N10" s="306">
        <v>24298</v>
      </c>
      <c r="O10" s="297" t="s">
        <v>84</v>
      </c>
    </row>
    <row r="11" spans="1:16" ht="75.75" customHeight="1">
      <c r="A11" s="304" t="s">
        <v>17</v>
      </c>
      <c r="B11" s="305">
        <v>1.1249953786318656E-5</v>
      </c>
      <c r="C11" s="305">
        <v>2.6053535293613095E-6</v>
      </c>
      <c r="D11" s="479">
        <v>0</v>
      </c>
      <c r="E11" s="479">
        <v>3.6579277366399765E-2</v>
      </c>
      <c r="F11" s="479">
        <v>8.1266388297080994E-2</v>
      </c>
      <c r="G11" s="479">
        <v>5.1364414393901825E-2</v>
      </c>
      <c r="H11" s="479">
        <v>0.16627712547779083</v>
      </c>
      <c r="I11" s="479">
        <v>0.22152504324913025</v>
      </c>
      <c r="J11" s="479">
        <v>0.28739506006240845</v>
      </c>
      <c r="K11" s="479">
        <v>0.1512436717748642</v>
      </c>
      <c r="L11" s="479">
        <v>2.2867627441883087E-2</v>
      </c>
      <c r="M11" s="479">
        <v>0</v>
      </c>
      <c r="N11" s="307">
        <v>590220</v>
      </c>
      <c r="O11" s="297" t="s">
        <v>85</v>
      </c>
    </row>
    <row r="12" spans="1:16" ht="75.75" customHeight="1">
      <c r="A12" s="304" t="s">
        <v>20</v>
      </c>
      <c r="B12" s="305">
        <v>3.6358251236379147E-4</v>
      </c>
      <c r="C12" s="305">
        <v>8.4200954006519169E-5</v>
      </c>
      <c r="D12" s="479">
        <v>0</v>
      </c>
      <c r="E12" s="479">
        <v>0.3435758650302887</v>
      </c>
      <c r="F12" s="479">
        <v>0.92136132717132568</v>
      </c>
      <c r="G12" s="479">
        <v>0.85638010501861572</v>
      </c>
      <c r="H12" s="479">
        <v>2.0786657333374023</v>
      </c>
      <c r="I12" s="479">
        <v>3.0234215259552002</v>
      </c>
      <c r="J12" s="479">
        <v>2.5092508792877197</v>
      </c>
      <c r="K12" s="479">
        <v>2.084477424621582</v>
      </c>
      <c r="L12" s="479">
        <v>0.46237781643867493</v>
      </c>
      <c r="M12" s="479">
        <v>0</v>
      </c>
      <c r="N12" s="307">
        <v>133226</v>
      </c>
      <c r="O12" s="297" t="s">
        <v>86</v>
      </c>
    </row>
    <row r="13" spans="1:16" ht="75.75" customHeight="1">
      <c r="A13" s="304" t="s">
        <v>21</v>
      </c>
      <c r="B13" s="308">
        <v>0</v>
      </c>
      <c r="C13" s="308">
        <v>0</v>
      </c>
      <c r="D13" s="479">
        <v>0</v>
      </c>
      <c r="E13" s="479">
        <v>2.7623999999999999E-2</v>
      </c>
      <c r="F13" s="479">
        <v>5.7694599999999999E-2</v>
      </c>
      <c r="G13" s="479">
        <v>3.6857399999999998E-2</v>
      </c>
      <c r="H13" s="479">
        <v>0.13324759999999999</v>
      </c>
      <c r="I13" s="479">
        <v>0.19637180000000001</v>
      </c>
      <c r="J13" s="479">
        <v>0.24341650000000001</v>
      </c>
      <c r="K13" s="479">
        <v>0.12678610000000001</v>
      </c>
      <c r="L13" s="479">
        <v>0</v>
      </c>
      <c r="M13" s="479">
        <v>0</v>
      </c>
      <c r="N13" s="307">
        <v>590220</v>
      </c>
      <c r="O13" s="297" t="s">
        <v>87</v>
      </c>
    </row>
    <row r="14" spans="1:16" ht="75.75" customHeight="1">
      <c r="A14" s="304" t="s">
        <v>23</v>
      </c>
      <c r="B14" s="308">
        <v>0</v>
      </c>
      <c r="C14" s="308">
        <v>0</v>
      </c>
      <c r="D14" s="479">
        <v>0</v>
      </c>
      <c r="E14" s="479">
        <v>5.6296800000000001E-2</v>
      </c>
      <c r="F14" s="479">
        <v>6.4429500000000001E-2</v>
      </c>
      <c r="G14" s="479">
        <v>5.9807899999999997E-2</v>
      </c>
      <c r="H14" s="479">
        <v>8.1098299999999998E-2</v>
      </c>
      <c r="I14" s="479">
        <v>9.1515600000000003E-2</v>
      </c>
      <c r="J14" s="479">
        <v>0.1040353</v>
      </c>
      <c r="K14" s="479">
        <v>8.3492899999999995E-2</v>
      </c>
      <c r="L14" s="479">
        <v>0</v>
      </c>
      <c r="M14" s="479">
        <v>0</v>
      </c>
      <c r="N14" s="307">
        <v>133226</v>
      </c>
      <c r="O14" s="297" t="s">
        <v>88</v>
      </c>
    </row>
    <row r="15" spans="1:16" ht="75.75" customHeight="1">
      <c r="A15" s="304" t="s">
        <v>24</v>
      </c>
      <c r="B15" s="308">
        <v>0</v>
      </c>
      <c r="C15" s="308">
        <v>0</v>
      </c>
      <c r="D15" s="479">
        <v>0</v>
      </c>
      <c r="E15" s="479">
        <v>0</v>
      </c>
      <c r="F15" s="479">
        <v>11.825189999999999</v>
      </c>
      <c r="G15" s="479">
        <v>11.825189999999999</v>
      </c>
      <c r="H15" s="479">
        <v>11.825189999999999</v>
      </c>
      <c r="I15" s="479">
        <v>11.825189999999999</v>
      </c>
      <c r="J15" s="479">
        <v>11.825189999999999</v>
      </c>
      <c r="K15" s="479">
        <v>11.825189999999999</v>
      </c>
      <c r="L15" s="479">
        <v>0</v>
      </c>
      <c r="M15" s="479">
        <v>0</v>
      </c>
      <c r="N15" s="306">
        <v>78368</v>
      </c>
      <c r="O15" s="297" t="s">
        <v>89</v>
      </c>
    </row>
    <row r="16" spans="1:16" ht="75.75" customHeight="1">
      <c r="A16" s="304" t="s">
        <v>25</v>
      </c>
      <c r="B16" s="308">
        <v>0</v>
      </c>
      <c r="C16" s="308">
        <v>0</v>
      </c>
      <c r="D16" s="479">
        <v>0</v>
      </c>
      <c r="E16" s="479">
        <v>0</v>
      </c>
      <c r="F16" s="479">
        <v>9.0606369999999998</v>
      </c>
      <c r="G16" s="479">
        <v>9.0606369999999998</v>
      </c>
      <c r="H16" s="479">
        <v>9.0606369999999998</v>
      </c>
      <c r="I16" s="479">
        <v>9.0606369999999998</v>
      </c>
      <c r="J16" s="479">
        <v>9.0606369999999998</v>
      </c>
      <c r="K16" s="479">
        <v>9.0606369999999998</v>
      </c>
      <c r="L16" s="479">
        <v>0</v>
      </c>
      <c r="M16" s="479">
        <v>0</v>
      </c>
      <c r="N16" s="306">
        <v>78368</v>
      </c>
      <c r="O16" s="297" t="s">
        <v>89</v>
      </c>
    </row>
    <row r="17" spans="1:15" ht="75.75" customHeight="1">
      <c r="A17" s="304" t="s">
        <v>27</v>
      </c>
      <c r="B17" s="305">
        <v>3.8699023425579071E-2</v>
      </c>
      <c r="C17" s="305">
        <v>3.4362420439720154E-2</v>
      </c>
      <c r="D17" s="479">
        <v>4.2291874821189825E-2</v>
      </c>
      <c r="E17" s="479">
        <v>4.6052272182349342E-2</v>
      </c>
      <c r="F17" s="479">
        <v>9.885066047078217E-2</v>
      </c>
      <c r="G17" s="479">
        <v>7.4932532811322408E-2</v>
      </c>
      <c r="H17" s="479">
        <v>8.597143254338098E-2</v>
      </c>
      <c r="I17" s="479">
        <v>9.1918985532060252E-2</v>
      </c>
      <c r="J17" s="479">
        <v>0.10056453415944168</v>
      </c>
      <c r="K17" s="479">
        <v>9.3665201236999687E-2</v>
      </c>
      <c r="L17" s="479">
        <v>0.14194687939870335</v>
      </c>
      <c r="M17" s="479">
        <v>0.16120215621047654</v>
      </c>
      <c r="N17" s="306">
        <v>1292629</v>
      </c>
      <c r="O17" s="297" t="s">
        <v>90</v>
      </c>
    </row>
    <row r="18" spans="1:15" ht="160.5" customHeight="1">
      <c r="A18" s="349" t="s">
        <v>26</v>
      </c>
      <c r="B18" s="309">
        <v>0.01</v>
      </c>
      <c r="C18" s="309">
        <v>0.01</v>
      </c>
      <c r="D18" s="481">
        <v>1.04106768919839E-4</v>
      </c>
      <c r="E18" s="481">
        <v>7.3445614094823331E-4</v>
      </c>
      <c r="F18" s="481">
        <v>1.3674112203188298E-3</v>
      </c>
      <c r="G18" s="481">
        <v>8.7751531743847301E-4</v>
      </c>
      <c r="H18" s="481">
        <v>2.1878068924228323E-3</v>
      </c>
      <c r="I18" s="481">
        <v>3.1452219928486133E-3</v>
      </c>
      <c r="J18" s="481">
        <v>4.4619246315722007E-3</v>
      </c>
      <c r="K18" s="481">
        <v>2.8590413124677172E-3</v>
      </c>
      <c r="L18" s="481">
        <v>3.151220920205923E-4</v>
      </c>
      <c r="M18" s="481">
        <v>-7.7720472862196388E-5</v>
      </c>
      <c r="N18" s="350">
        <v>120672</v>
      </c>
      <c r="O18" s="351" t="s">
        <v>90</v>
      </c>
    </row>
    <row r="19" spans="1:15" ht="51">
      <c r="A19" s="303" t="s">
        <v>55</v>
      </c>
      <c r="B19" s="352">
        <v>7.0191817358136177E-3</v>
      </c>
      <c r="C19" s="352">
        <v>7.0191817358136177E-3</v>
      </c>
      <c r="D19" s="352">
        <v>8.5556581616401672E-3</v>
      </c>
      <c r="E19" s="352">
        <v>0</v>
      </c>
      <c r="F19" s="352">
        <v>0</v>
      </c>
      <c r="G19" s="352">
        <v>0</v>
      </c>
      <c r="H19" s="352">
        <v>0</v>
      </c>
      <c r="I19" s="352">
        <v>0</v>
      </c>
      <c r="J19" s="352">
        <v>0</v>
      </c>
      <c r="K19" s="352">
        <v>0</v>
      </c>
      <c r="L19" s="352">
        <v>0</v>
      </c>
      <c r="M19" s="352">
        <v>0</v>
      </c>
      <c r="N19" s="353">
        <v>2822</v>
      </c>
      <c r="O19" s="199" t="s">
        <v>91</v>
      </c>
    </row>
    <row r="20" spans="1:15" ht="51" customHeight="1">
      <c r="A20" s="318"/>
      <c r="B20" s="319"/>
      <c r="C20" s="319"/>
      <c r="D20" s="319"/>
      <c r="E20" s="319"/>
      <c r="F20" s="319"/>
      <c r="G20" s="319"/>
      <c r="H20" s="319"/>
      <c r="I20" s="319"/>
      <c r="J20" s="319"/>
      <c r="K20" s="319"/>
      <c r="L20" s="319"/>
      <c r="M20" s="319"/>
      <c r="N20" s="320"/>
      <c r="O20" s="300"/>
    </row>
    <row r="21" spans="1:15">
      <c r="A21" s="318"/>
      <c r="B21" s="319"/>
      <c r="C21" s="319"/>
      <c r="D21" s="319"/>
      <c r="E21" s="319"/>
      <c r="F21" s="319"/>
      <c r="G21" s="319"/>
      <c r="H21" s="319"/>
      <c r="I21" s="319"/>
      <c r="J21" s="319"/>
      <c r="K21" s="319"/>
      <c r="L21" s="319"/>
      <c r="M21" s="319"/>
      <c r="N21" s="321"/>
      <c r="O21" s="300"/>
    </row>
    <row r="22" spans="1:15" ht="15">
      <c r="A22" s="175" t="s">
        <v>67</v>
      </c>
      <c r="B22" s="259"/>
      <c r="C22" s="259"/>
      <c r="D22" s="259"/>
      <c r="E22" s="259"/>
      <c r="F22" s="260"/>
      <c r="G22" s="259"/>
      <c r="H22" s="260"/>
      <c r="I22" s="259"/>
      <c r="J22" s="259"/>
      <c r="K22" s="259"/>
      <c r="L22" s="259"/>
      <c r="M22" s="259"/>
      <c r="N22" s="257"/>
      <c r="O22" s="259"/>
    </row>
    <row r="23" spans="1:15" ht="30.6" customHeight="1">
      <c r="A23" s="686" t="s">
        <v>92</v>
      </c>
      <c r="B23" s="686"/>
      <c r="C23" s="686"/>
      <c r="D23" s="686"/>
      <c r="E23" s="686"/>
      <c r="F23" s="686"/>
      <c r="G23" s="686"/>
      <c r="H23" s="686"/>
      <c r="I23" s="686"/>
      <c r="J23" s="686"/>
      <c r="K23" s="686"/>
      <c r="L23" s="686"/>
      <c r="M23" s="686"/>
      <c r="N23" s="381"/>
      <c r="O23" s="381"/>
    </row>
    <row r="24" spans="1:15" ht="14.25">
      <c r="A24" s="682" t="s">
        <v>93</v>
      </c>
      <c r="B24" s="683"/>
      <c r="C24" s="683"/>
      <c r="D24" s="683"/>
      <c r="E24" s="683"/>
      <c r="F24" s="683"/>
      <c r="G24" s="683"/>
      <c r="H24" s="683"/>
      <c r="I24" s="683"/>
      <c r="J24" s="683"/>
      <c r="K24" s="683"/>
      <c r="L24" s="683"/>
      <c r="M24" s="683"/>
      <c r="N24" s="683"/>
      <c r="O24" s="37"/>
    </row>
    <row r="25" spans="1:15" ht="14.25">
      <c r="A25" s="323" t="s">
        <v>94</v>
      </c>
      <c r="B25" s="37"/>
      <c r="C25" s="37"/>
      <c r="D25" s="37"/>
      <c r="E25" s="37"/>
      <c r="F25" s="37"/>
      <c r="G25" s="37"/>
      <c r="H25" s="37"/>
      <c r="I25" s="37"/>
      <c r="J25" s="37"/>
      <c r="K25" s="37"/>
      <c r="L25" s="37"/>
      <c r="M25" s="37"/>
      <c r="N25" s="37"/>
      <c r="O25" s="37"/>
    </row>
    <row r="26" spans="1:15" s="115" customFormat="1" ht="14.25">
      <c r="A26" s="684" t="s">
        <v>95</v>
      </c>
      <c r="B26" s="685"/>
      <c r="C26" s="685"/>
      <c r="D26" s="685"/>
      <c r="E26" s="685"/>
      <c r="F26" s="685"/>
      <c r="G26" s="685"/>
      <c r="H26" s="685"/>
      <c r="I26" s="685"/>
      <c r="J26" s="685"/>
      <c r="K26" s="685"/>
      <c r="L26" s="685"/>
      <c r="M26" s="685"/>
      <c r="N26" s="685"/>
      <c r="O26" s="37"/>
    </row>
    <row r="27" spans="1:15" ht="15">
      <c r="A27" s="165" t="s">
        <v>79</v>
      </c>
      <c r="B27" s="356"/>
      <c r="C27" s="356"/>
      <c r="D27" s="356"/>
      <c r="E27" s="356"/>
      <c r="F27" s="356"/>
      <c r="G27" s="356"/>
      <c r="H27" s="356"/>
      <c r="I27" s="356"/>
      <c r="J27" s="356"/>
      <c r="K27" s="356"/>
      <c r="L27" s="356"/>
      <c r="M27" s="356"/>
      <c r="N27" s="356"/>
      <c r="O27" s="348" t="s">
        <v>96</v>
      </c>
    </row>
    <row r="28" spans="1:15" ht="14.25">
      <c r="A28" s="323"/>
      <c r="B28" s="37"/>
      <c r="C28" s="37"/>
      <c r="D28" s="37"/>
      <c r="E28" s="37"/>
      <c r="F28" s="37"/>
      <c r="G28" s="37"/>
      <c r="H28" s="37"/>
      <c r="I28" s="37"/>
      <c r="J28" s="37"/>
      <c r="K28" s="37"/>
      <c r="L28" s="37"/>
      <c r="M28" s="37"/>
      <c r="N28" s="37"/>
      <c r="O28" s="37"/>
    </row>
    <row r="29" spans="1:15">
      <c r="N29" s="257"/>
    </row>
    <row r="30" spans="1:15">
      <c r="N30" s="257"/>
    </row>
    <row r="34" spans="8:8">
      <c r="H34">
        <v>0</v>
      </c>
    </row>
  </sheetData>
  <mergeCells count="4">
    <mergeCell ref="A7:N7"/>
    <mergeCell ref="A24:N24"/>
    <mergeCell ref="A26:N26"/>
    <mergeCell ref="A23:M23"/>
  </mergeCells>
  <phoneticPr fontId="46" type="noConversion"/>
  <printOptions horizontalCentered="1"/>
  <pageMargins left="0" right="0" top="0.55000000000000004" bottom="0.17" header="0.3" footer="0.15"/>
  <pageSetup paperSize="5" scale="42"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58"/>
  <sheetViews>
    <sheetView showGridLines="0" showRuler="0" zoomScaleNormal="100" zoomScaleSheetLayoutView="100" workbookViewId="0">
      <selection activeCell="H32" sqref="H32"/>
    </sheetView>
  </sheetViews>
  <sheetFormatPr defaultColWidth="9.28515625" defaultRowHeight="40.5" customHeight="1"/>
  <cols>
    <col min="1" max="1" width="35" customWidth="1"/>
    <col min="2" max="9" width="10.7109375" customWidth="1"/>
    <col min="10" max="10" width="11.28515625" customWidth="1"/>
    <col min="11" max="13" width="10.7109375" customWidth="1"/>
    <col min="14" max="14" width="14.28515625" style="147" bestFit="1" customWidth="1"/>
    <col min="15" max="15" width="149.5703125" customWidth="1"/>
  </cols>
  <sheetData>
    <row r="1" spans="1:16" ht="12.75">
      <c r="N1" s="261"/>
    </row>
    <row r="2" spans="1:16" ht="12.75">
      <c r="H2" s="113" t="s">
        <v>39</v>
      </c>
      <c r="N2" s="261"/>
    </row>
    <row r="3" spans="1:16" ht="12.75">
      <c r="H3" s="144" t="str">
        <f>'Program MW '!H3</f>
        <v>December  2021</v>
      </c>
      <c r="N3" s="261"/>
    </row>
    <row r="4" spans="1:16" ht="12.75">
      <c r="F4" s="115"/>
      <c r="G4" s="115"/>
      <c r="I4" s="115"/>
      <c r="N4" s="261"/>
      <c r="O4" s="37"/>
    </row>
    <row r="5" spans="1:16" ht="12.75">
      <c r="B5" s="115"/>
      <c r="C5" s="115"/>
      <c r="D5" s="115"/>
      <c r="F5" s="113"/>
      <c r="N5" s="261"/>
    </row>
    <row r="6" spans="1:16" ht="12.75">
      <c r="F6" s="113"/>
      <c r="N6" s="261"/>
    </row>
    <row r="7" spans="1:16" ht="22.5" customHeight="1">
      <c r="A7" s="687" t="s">
        <v>97</v>
      </c>
      <c r="B7" s="688"/>
      <c r="C7" s="688"/>
      <c r="D7" s="688"/>
      <c r="E7" s="688"/>
      <c r="F7" s="688"/>
      <c r="G7" s="688"/>
      <c r="H7" s="688"/>
      <c r="I7" s="688"/>
      <c r="J7" s="688"/>
      <c r="K7" s="688"/>
      <c r="L7" s="688"/>
      <c r="M7" s="688"/>
      <c r="N7" s="689"/>
      <c r="O7" s="482"/>
    </row>
    <row r="8" spans="1:16" ht="40.5" customHeight="1">
      <c r="A8" s="36" t="s">
        <v>1</v>
      </c>
      <c r="B8" s="302" t="s">
        <v>41</v>
      </c>
      <c r="C8" s="302" t="s">
        <v>42</v>
      </c>
      <c r="D8" s="302" t="s">
        <v>43</v>
      </c>
      <c r="E8" s="302" t="s">
        <v>44</v>
      </c>
      <c r="F8" s="302" t="s">
        <v>31</v>
      </c>
      <c r="G8" s="302" t="s">
        <v>45</v>
      </c>
      <c r="H8" s="302" t="s">
        <v>59</v>
      </c>
      <c r="I8" s="302" t="s">
        <v>60</v>
      </c>
      <c r="J8" s="302" t="s">
        <v>61</v>
      </c>
      <c r="K8" s="302" t="s">
        <v>62</v>
      </c>
      <c r="L8" s="302" t="s">
        <v>63</v>
      </c>
      <c r="M8" s="302" t="s">
        <v>64</v>
      </c>
      <c r="N8" s="483" t="str">
        <f>'Ex ante LI &amp; Eligibility Stats'!N8:N8</f>
        <v>Eligible Accounts as of January</v>
      </c>
      <c r="O8" s="198" t="s">
        <v>82</v>
      </c>
    </row>
    <row r="9" spans="1:16" ht="75.75" customHeight="1">
      <c r="A9" s="303" t="s">
        <v>8</v>
      </c>
      <c r="B9" s="479">
        <v>106.08</v>
      </c>
      <c r="C9" s="479">
        <v>106.08</v>
      </c>
      <c r="D9" s="479">
        <v>106</v>
      </c>
      <c r="E9" s="479">
        <v>106</v>
      </c>
      <c r="F9" s="479">
        <v>106</v>
      </c>
      <c r="G9" s="479">
        <v>106</v>
      </c>
      <c r="H9" s="479">
        <v>106</v>
      </c>
      <c r="I9" s="479">
        <v>106</v>
      </c>
      <c r="J9" s="479">
        <v>106</v>
      </c>
      <c r="K9" s="479">
        <v>106</v>
      </c>
      <c r="L9" s="479">
        <v>106</v>
      </c>
      <c r="M9" s="479">
        <v>106</v>
      </c>
      <c r="N9" s="484">
        <f>'Ex ante LI &amp; Eligibility Stats'!N9</f>
        <v>5326</v>
      </c>
      <c r="O9" s="199" t="str">
        <f>'Ex ante LI &amp; Eligibility Stats'!O9</f>
        <v>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v>
      </c>
      <c r="P9" s="479"/>
    </row>
    <row r="10" spans="1:16" ht="75.75" customHeight="1">
      <c r="A10" s="357" t="s">
        <v>11</v>
      </c>
      <c r="B10" s="358">
        <v>0.4</v>
      </c>
      <c r="C10" s="358">
        <v>0.4</v>
      </c>
      <c r="D10" s="479">
        <v>0.48120716908709499</v>
      </c>
      <c r="E10" s="479">
        <v>0.48120716908709499</v>
      </c>
      <c r="F10" s="479">
        <v>0.48120716908709499</v>
      </c>
      <c r="G10" s="479">
        <v>0.48120716908709499</v>
      </c>
      <c r="H10" s="479">
        <v>0.48120716908709499</v>
      </c>
      <c r="I10" s="479">
        <v>0.48120716908709499</v>
      </c>
      <c r="J10" s="479">
        <v>0.48120716908709499</v>
      </c>
      <c r="K10" s="479">
        <v>0.48120716908709499</v>
      </c>
      <c r="L10" s="479">
        <v>0.48120716908709499</v>
      </c>
      <c r="M10" s="479">
        <v>0.48120716908709499</v>
      </c>
      <c r="N10" s="307">
        <f>'Ex ante LI &amp; Eligibility Stats'!N10</f>
        <v>24298</v>
      </c>
      <c r="O10" s="199"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304" t="s">
        <v>17</v>
      </c>
      <c r="B11" s="305">
        <v>0.32</v>
      </c>
      <c r="C11" s="305">
        <v>0.32</v>
      </c>
      <c r="D11" s="479">
        <v>0.30028513073921204</v>
      </c>
      <c r="E11" s="479">
        <v>0.30028513073921204</v>
      </c>
      <c r="F11" s="479">
        <v>0.30028513073921204</v>
      </c>
      <c r="G11" s="479">
        <v>0.30028513073921204</v>
      </c>
      <c r="H11" s="479">
        <v>0.30028513073921204</v>
      </c>
      <c r="I11" s="479">
        <v>0.30028513073921204</v>
      </c>
      <c r="J11" s="479">
        <v>0.30028513073921204</v>
      </c>
      <c r="K11" s="479">
        <v>0.30028513073921204</v>
      </c>
      <c r="L11" s="479">
        <v>0.30028513073921204</v>
      </c>
      <c r="M11" s="479">
        <v>0.30028513073921204</v>
      </c>
      <c r="N11" s="307">
        <f>'Ex ante LI &amp; Eligibility Stats'!N11</f>
        <v>590220</v>
      </c>
      <c r="O11" s="199"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v>
      </c>
    </row>
    <row r="12" spans="1:16" ht="75.75" customHeight="1">
      <c r="A12" s="304" t="s">
        <v>20</v>
      </c>
      <c r="B12" s="305">
        <v>0.46</v>
      </c>
      <c r="C12" s="305">
        <v>0.46</v>
      </c>
      <c r="D12" s="479">
        <v>0.4638446569442749</v>
      </c>
      <c r="E12" s="479">
        <v>0.4638446569442749</v>
      </c>
      <c r="F12" s="479">
        <v>0.4638446569442749</v>
      </c>
      <c r="G12" s="479">
        <v>0.4638446569442749</v>
      </c>
      <c r="H12" s="479">
        <v>0.4638446569442749</v>
      </c>
      <c r="I12" s="479">
        <v>0.4638446569442749</v>
      </c>
      <c r="J12" s="479">
        <v>0.4638446569442749</v>
      </c>
      <c r="K12" s="479">
        <v>0.4638446569442749</v>
      </c>
      <c r="L12" s="479">
        <v>0.4638446569442749</v>
      </c>
      <c r="M12" s="479">
        <v>0.4638446569442749</v>
      </c>
      <c r="N12" s="307">
        <f>'Ex ante LI &amp; Eligibility Stats'!N12</f>
        <v>133226</v>
      </c>
      <c r="O12" s="199"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304" t="s">
        <v>21</v>
      </c>
      <c r="B13" s="305">
        <v>0.13</v>
      </c>
      <c r="C13" s="305">
        <v>0.13</v>
      </c>
      <c r="D13" s="479">
        <v>0.13413890000000001</v>
      </c>
      <c r="E13" s="479">
        <v>0.13413890000000001</v>
      </c>
      <c r="F13" s="479">
        <v>0.13413890000000001</v>
      </c>
      <c r="G13" s="479">
        <v>0.13413890000000001</v>
      </c>
      <c r="H13" s="479">
        <v>0.13413890000000001</v>
      </c>
      <c r="I13" s="479">
        <v>0.13413890000000001</v>
      </c>
      <c r="J13" s="479">
        <v>0.13413890000000001</v>
      </c>
      <c r="K13" s="479">
        <v>0.13413890000000001</v>
      </c>
      <c r="L13" s="479">
        <v>0.13413890000000001</v>
      </c>
      <c r="M13" s="479">
        <v>0.13413890000000001</v>
      </c>
      <c r="N13" s="307">
        <f>'Ex ante LI &amp; Eligibility Stats'!N13</f>
        <v>590220</v>
      </c>
      <c r="O13" s="199"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v>
      </c>
    </row>
    <row r="14" spans="1:16" ht="75.75" customHeight="1">
      <c r="A14" s="304" t="s">
        <v>23</v>
      </c>
      <c r="B14" s="305">
        <v>0.05</v>
      </c>
      <c r="C14" s="305">
        <v>0.05</v>
      </c>
      <c r="D14" s="479">
        <v>4.9344300000000001E-2</v>
      </c>
      <c r="E14" s="479">
        <v>4.9344300000000001E-2</v>
      </c>
      <c r="F14" s="479">
        <v>4.9344300000000001E-2</v>
      </c>
      <c r="G14" s="479">
        <v>4.9344300000000001E-2</v>
      </c>
      <c r="H14" s="479">
        <v>4.9344300000000001E-2</v>
      </c>
      <c r="I14" s="479">
        <v>4.9344300000000001E-2</v>
      </c>
      <c r="J14" s="479">
        <v>4.9344300000000001E-2</v>
      </c>
      <c r="K14" s="479">
        <v>4.9344300000000001E-2</v>
      </c>
      <c r="L14" s="479">
        <v>4.9344300000000001E-2</v>
      </c>
      <c r="M14" s="479">
        <v>4.9344300000000001E-2</v>
      </c>
      <c r="N14" s="307">
        <f>'Ex ante LI &amp; Eligibility Stats'!N14</f>
        <v>133226</v>
      </c>
      <c r="O14" s="199"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v>
      </c>
    </row>
    <row r="15" spans="1:16" ht="75.75" customHeight="1">
      <c r="A15" s="357" t="s">
        <v>24</v>
      </c>
      <c r="B15" s="485">
        <v>18</v>
      </c>
      <c r="C15" s="485">
        <v>18</v>
      </c>
      <c r="D15" s="479">
        <v>17.953320000000001</v>
      </c>
      <c r="E15" s="479">
        <v>17.953320000000001</v>
      </c>
      <c r="F15" s="479">
        <v>17.953320000000001</v>
      </c>
      <c r="G15" s="479">
        <v>17.953320000000001</v>
      </c>
      <c r="H15" s="479">
        <v>17.953320000000001</v>
      </c>
      <c r="I15" s="479">
        <v>17.953320000000001</v>
      </c>
      <c r="J15" s="479">
        <v>17.953320000000001</v>
      </c>
      <c r="K15" s="479">
        <v>17.953320000000001</v>
      </c>
      <c r="L15" s="479">
        <v>17.953320000000001</v>
      </c>
      <c r="M15" s="479">
        <v>17.953320000000001</v>
      </c>
      <c r="N15" s="307">
        <f>'Ex ante LI &amp; Eligibility Stats'!N15</f>
        <v>78368</v>
      </c>
      <c r="O15" s="199"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357" t="s">
        <v>25</v>
      </c>
      <c r="B16" s="485">
        <v>13.8</v>
      </c>
      <c r="C16" s="485">
        <v>13.8</v>
      </c>
      <c r="D16" s="479">
        <v>13.800850000000001</v>
      </c>
      <c r="E16" s="479">
        <v>13.800850000000001</v>
      </c>
      <c r="F16" s="479">
        <v>13.800850000000001</v>
      </c>
      <c r="G16" s="479">
        <v>13.800850000000001</v>
      </c>
      <c r="H16" s="479">
        <v>13.800850000000001</v>
      </c>
      <c r="I16" s="479">
        <v>13.800850000000001</v>
      </c>
      <c r="J16" s="479">
        <v>13.800850000000001</v>
      </c>
      <c r="K16" s="479">
        <v>13.800850000000001</v>
      </c>
      <c r="L16" s="479">
        <v>13.800850000000001</v>
      </c>
      <c r="M16" s="479">
        <v>13.800850000000001</v>
      </c>
      <c r="N16" s="307">
        <f>'Ex ante LI &amp; Eligibility Stats'!N16</f>
        <v>78368</v>
      </c>
      <c r="O16" s="199"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304" t="s">
        <v>27</v>
      </c>
      <c r="B17" s="479">
        <v>0.17</v>
      </c>
      <c r="C17" s="479">
        <v>0.17</v>
      </c>
      <c r="D17" s="479">
        <v>0.16711041871077983</v>
      </c>
      <c r="E17" s="479">
        <v>0.16711041871077983</v>
      </c>
      <c r="F17" s="479">
        <v>0.16711041871077983</v>
      </c>
      <c r="G17" s="479">
        <v>0.16711041871077983</v>
      </c>
      <c r="H17" s="479">
        <v>0.16711041871077983</v>
      </c>
      <c r="I17" s="479">
        <v>0.16711041871077983</v>
      </c>
      <c r="J17" s="479">
        <v>0.16711041871077983</v>
      </c>
      <c r="K17" s="479">
        <v>0.16711041871077983</v>
      </c>
      <c r="L17" s="479">
        <v>0.16711041871077983</v>
      </c>
      <c r="M17" s="479">
        <v>0.16711041871077983</v>
      </c>
      <c r="N17" s="307">
        <f>'Ex ante LI &amp; Eligibility Stats'!N17</f>
        <v>1292629</v>
      </c>
      <c r="O17" s="199"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349" t="s">
        <v>26</v>
      </c>
      <c r="B18" s="309">
        <v>0.05</v>
      </c>
      <c r="C18" s="309">
        <v>0.05</v>
      </c>
      <c r="D18" s="481">
        <v>4.9964198690539703E-2</v>
      </c>
      <c r="E18" s="481">
        <v>4.9964198690539703E-2</v>
      </c>
      <c r="F18" s="481">
        <v>4.9964198690539703E-2</v>
      </c>
      <c r="G18" s="481">
        <v>4.9964198690539703E-2</v>
      </c>
      <c r="H18" s="481">
        <v>4.9964198690539703E-2</v>
      </c>
      <c r="I18" s="481">
        <v>4.9964198690539703E-2</v>
      </c>
      <c r="J18" s="481">
        <v>4.9964198690539703E-2</v>
      </c>
      <c r="K18" s="481">
        <v>4.9964198690539703E-2</v>
      </c>
      <c r="L18" s="481">
        <v>4.9964198690539703E-2</v>
      </c>
      <c r="M18" s="481">
        <v>4.9964198690539703E-2</v>
      </c>
      <c r="N18" s="354">
        <f>'Ex ante LI &amp; Eligibility Stats'!N18</f>
        <v>120672</v>
      </c>
      <c r="O18" s="486" t="str">
        <f>'Ex ante LI &amp; Eligibility Stats'!O18</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9" spans="1:26" ht="66.75" customHeight="1">
      <c r="A19" s="303" t="s">
        <v>55</v>
      </c>
      <c r="B19" s="352">
        <v>0</v>
      </c>
      <c r="C19" s="352">
        <v>0</v>
      </c>
      <c r="D19" s="352">
        <v>0.47450989484786987</v>
      </c>
      <c r="E19" s="352">
        <v>0.47450989484786987</v>
      </c>
      <c r="F19" s="352">
        <v>0.47450989484786987</v>
      </c>
      <c r="G19" s="352">
        <v>0.47450989484786987</v>
      </c>
      <c r="H19" s="352">
        <v>0.47450989484786987</v>
      </c>
      <c r="I19" s="352">
        <v>0.47450989484786987</v>
      </c>
      <c r="J19" s="352">
        <v>0.47450989484786987</v>
      </c>
      <c r="K19" s="352">
        <v>0.47450989484786987</v>
      </c>
      <c r="L19" s="352">
        <v>0.47450989484786987</v>
      </c>
      <c r="M19" s="352">
        <v>0.47450989484786987</v>
      </c>
      <c r="N19" s="355">
        <f>'Ex ante LI &amp; Eligibility Stats'!N19</f>
        <v>2822</v>
      </c>
      <c r="O19" s="199"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23.25" customHeight="1">
      <c r="A20" s="318"/>
      <c r="B20" s="319"/>
      <c r="C20" s="319"/>
      <c r="D20" s="319"/>
      <c r="E20" s="319"/>
      <c r="F20" s="319"/>
      <c r="G20" s="319"/>
      <c r="H20" s="319"/>
      <c r="I20" s="319"/>
      <c r="J20" s="319"/>
      <c r="K20" s="319"/>
      <c r="L20" s="319"/>
      <c r="M20" s="319"/>
      <c r="N20" s="320"/>
      <c r="O20" s="300"/>
    </row>
    <row r="21" spans="1:26" ht="15">
      <c r="A21" s="690" t="s">
        <v>98</v>
      </c>
      <c r="B21" s="690"/>
      <c r="C21" s="690"/>
      <c r="D21" s="690"/>
      <c r="E21" s="690"/>
      <c r="F21" s="690"/>
      <c r="G21" s="690"/>
      <c r="H21" s="690"/>
      <c r="I21" s="690"/>
      <c r="J21" s="690"/>
      <c r="K21" s="690"/>
      <c r="L21" s="690"/>
      <c r="M21" s="690"/>
      <c r="N21" s="690"/>
      <c r="O21" s="690"/>
    </row>
    <row r="22" spans="1:26" s="9" customFormat="1" ht="48.75" customHeight="1">
      <c r="A22" s="686" t="s">
        <v>99</v>
      </c>
      <c r="B22" s="693"/>
      <c r="C22" s="693"/>
      <c r="D22" s="693"/>
      <c r="E22" s="693"/>
      <c r="F22" s="693"/>
      <c r="G22" s="693"/>
      <c r="H22" s="693"/>
      <c r="I22" s="693"/>
      <c r="J22" s="693"/>
      <c r="K22" s="693"/>
      <c r="L22" s="693"/>
      <c r="M22" s="382"/>
      <c r="N22" s="382"/>
      <c r="O22" s="382"/>
      <c r="P22" s="12"/>
      <c r="Q22" s="12"/>
      <c r="R22" s="12"/>
      <c r="S22" s="12"/>
      <c r="T22" s="111"/>
      <c r="U22" s="111"/>
      <c r="V22" s="111"/>
      <c r="W22" s="111"/>
      <c r="X22" s="111"/>
      <c r="Y22" s="111"/>
      <c r="Z22" s="111"/>
    </row>
    <row r="23" spans="1:26" s="9" customFormat="1" ht="13.5" customHeight="1">
      <c r="A23" s="411"/>
      <c r="B23" s="416"/>
      <c r="C23" s="416"/>
      <c r="D23" s="416"/>
      <c r="E23" s="416"/>
      <c r="F23" s="416"/>
      <c r="G23" s="416"/>
      <c r="H23" s="416"/>
      <c r="I23" s="416"/>
      <c r="J23" s="416"/>
      <c r="K23" s="416"/>
      <c r="L23" s="416"/>
      <c r="M23" s="382"/>
      <c r="N23" s="382"/>
      <c r="O23" s="382"/>
      <c r="P23" s="12"/>
      <c r="Q23" s="12"/>
      <c r="R23" s="12"/>
      <c r="S23" s="12"/>
      <c r="T23" s="111"/>
      <c r="U23" s="111"/>
      <c r="V23" s="111"/>
      <c r="W23" s="111"/>
      <c r="X23" s="111"/>
      <c r="Y23" s="111"/>
      <c r="Z23" s="111"/>
    </row>
    <row r="24" spans="1:26" ht="12.75" customHeight="1">
      <c r="A24" s="682" t="s">
        <v>100</v>
      </c>
      <c r="B24" s="683"/>
      <c r="C24" s="683"/>
      <c r="D24" s="683"/>
      <c r="E24" s="683"/>
      <c r="F24" s="683"/>
      <c r="G24" s="683"/>
      <c r="H24" s="683"/>
      <c r="I24" s="683"/>
      <c r="J24" s="683"/>
      <c r="K24" s="683"/>
      <c r="L24" s="683"/>
      <c r="M24" s="683"/>
      <c r="N24" s="683"/>
      <c r="O24" s="683"/>
    </row>
    <row r="25" spans="1:26" ht="12.75" customHeight="1">
      <c r="A25" s="323"/>
      <c r="B25" s="382"/>
      <c r="C25" s="382"/>
      <c r="D25" s="382"/>
      <c r="E25" s="382"/>
      <c r="F25" s="382"/>
      <c r="G25" s="382"/>
      <c r="H25" s="382"/>
      <c r="I25" s="382"/>
      <c r="J25" s="382"/>
      <c r="K25" s="382"/>
      <c r="L25" s="382"/>
      <c r="M25" s="382"/>
      <c r="N25" s="382"/>
      <c r="O25" s="382"/>
    </row>
    <row r="26" spans="1:26" ht="12.75" customHeight="1">
      <c r="A26" s="684" t="s">
        <v>101</v>
      </c>
      <c r="B26" s="685"/>
      <c r="C26" s="685"/>
      <c r="D26" s="685"/>
      <c r="E26" s="685"/>
      <c r="F26" s="685"/>
      <c r="G26" s="685"/>
      <c r="H26" s="685"/>
      <c r="I26" s="685"/>
      <c r="J26" s="685"/>
      <c r="K26" s="685"/>
      <c r="L26" s="685"/>
      <c r="M26" s="685"/>
      <c r="N26" s="685"/>
    </row>
    <row r="27" spans="1:26" ht="12.75" customHeight="1">
      <c r="A27" s="414"/>
      <c r="B27" s="415"/>
      <c r="C27" s="415"/>
      <c r="D27" s="415"/>
      <c r="E27" s="415"/>
      <c r="F27" s="415"/>
      <c r="G27" s="415"/>
      <c r="H27" s="415"/>
      <c r="I27" s="415"/>
      <c r="J27" s="415"/>
      <c r="K27" s="415"/>
      <c r="L27" s="415"/>
      <c r="M27" s="415"/>
      <c r="N27" s="415"/>
    </row>
    <row r="28" spans="1:26" s="9" customFormat="1" ht="27.75" customHeight="1">
      <c r="A28" s="691" t="s">
        <v>102</v>
      </c>
      <c r="B28" s="692"/>
      <c r="C28" s="692"/>
      <c r="D28" s="692"/>
      <c r="E28" s="692"/>
      <c r="F28" s="692"/>
      <c r="G28" s="692"/>
      <c r="H28" s="692"/>
      <c r="I28" s="692"/>
      <c r="J28" s="692"/>
      <c r="K28" s="692"/>
      <c r="L28" s="692"/>
      <c r="M28" s="692"/>
      <c r="N28" s="692"/>
      <c r="O28"/>
      <c r="P28" s="12"/>
      <c r="Q28" s="12"/>
      <c r="R28" s="12"/>
      <c r="S28" s="12"/>
      <c r="T28" s="111"/>
      <c r="U28" s="111"/>
      <c r="V28" s="111"/>
      <c r="W28" s="111"/>
      <c r="X28" s="111"/>
      <c r="Y28" s="111"/>
      <c r="Z28" s="111"/>
    </row>
    <row r="29" spans="1:26" s="9" customFormat="1" ht="15.75" customHeight="1">
      <c r="A29" s="412"/>
      <c r="B29" s="413"/>
      <c r="C29" s="413"/>
      <c r="D29" s="413"/>
      <c r="E29" s="413"/>
      <c r="F29" s="413"/>
      <c r="G29" s="413"/>
      <c r="H29" s="413"/>
      <c r="I29" s="413"/>
      <c r="J29" s="413"/>
      <c r="K29" s="413"/>
      <c r="L29" s="413"/>
      <c r="M29" s="413"/>
      <c r="N29" s="413"/>
      <c r="O29"/>
      <c r="P29" s="12"/>
      <c r="Q29" s="12"/>
      <c r="R29" s="12"/>
      <c r="S29" s="12"/>
      <c r="T29" s="111"/>
      <c r="U29" s="111"/>
      <c r="V29" s="111"/>
      <c r="W29" s="111"/>
      <c r="X29" s="111"/>
      <c r="Y29" s="111"/>
      <c r="Z29" s="111"/>
    </row>
    <row r="30" spans="1:26" s="9" customFormat="1" ht="15">
      <c r="A30" s="176" t="s">
        <v>79</v>
      </c>
      <c r="B30"/>
      <c r="C30"/>
      <c r="D30"/>
      <c r="E30"/>
      <c r="F30"/>
      <c r="G30"/>
      <c r="H30"/>
      <c r="I30"/>
      <c r="J30"/>
      <c r="K30"/>
      <c r="L30"/>
      <c r="M30"/>
      <c r="N30" s="261"/>
      <c r="O30"/>
      <c r="P30" s="12"/>
      <c r="Q30" s="12"/>
      <c r="R30" s="12"/>
      <c r="S30" s="12"/>
      <c r="T30" s="111"/>
      <c r="U30" s="111"/>
      <c r="V30" s="111"/>
      <c r="W30" s="111"/>
      <c r="X30" s="111"/>
      <c r="Y30" s="111"/>
      <c r="Z30" s="111"/>
    </row>
    <row r="31" spans="1:26" ht="40.5" customHeight="1">
      <c r="N31" s="261"/>
    </row>
    <row r="34" spans="8:8" ht="40.5" customHeight="1">
      <c r="H34" t="s">
        <v>56</v>
      </c>
    </row>
    <row r="58" spans="1:1" ht="40.5" customHeight="1">
      <c r="A58" s="150"/>
    </row>
  </sheetData>
  <mergeCells count="6">
    <mergeCell ref="A7:N7"/>
    <mergeCell ref="A21:O21"/>
    <mergeCell ref="A24:O24"/>
    <mergeCell ref="A28:N28"/>
    <mergeCell ref="A26:N26"/>
    <mergeCell ref="A22:L22"/>
  </mergeCells>
  <phoneticPr fontId="0" type="noConversion"/>
  <printOptions horizontalCentered="1"/>
  <pageMargins left="0" right="0" top="0" bottom="0" header="0.3" footer="0.15"/>
  <pageSetup paperSize="5" scale="42"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8515625" defaultRowHeight="12.75"/>
  <cols>
    <col min="1" max="1" width="45.7109375" style="40" customWidth="1"/>
    <col min="2" max="4" width="10.7109375" style="40" customWidth="1"/>
    <col min="5" max="5" width="12.7109375" style="40" customWidth="1"/>
    <col min="6" max="8" width="10.5703125" style="40" customWidth="1"/>
    <col min="9" max="9" width="12.7109375" style="40" customWidth="1"/>
    <col min="10" max="12" width="10.7109375" style="40" customWidth="1"/>
    <col min="13" max="13" width="12.7109375" style="40" customWidth="1"/>
    <col min="14" max="16" width="10.7109375" style="40" customWidth="1"/>
    <col min="17" max="17" width="12.7109375" style="40" customWidth="1"/>
    <col min="18" max="20" width="10.7109375" style="40" customWidth="1"/>
    <col min="21" max="21" width="12.7109375" style="40" customWidth="1"/>
    <col min="22" max="24" width="10.7109375" style="40" customWidth="1"/>
    <col min="25" max="25" width="12.7109375" style="40" customWidth="1"/>
    <col min="26" max="16384" width="9.28515625" style="40"/>
  </cols>
  <sheetData>
    <row r="1" spans="1:25">
      <c r="A1" s="39" t="s">
        <v>103</v>
      </c>
    </row>
    <row r="3" spans="1:25" ht="21.75" customHeight="1">
      <c r="A3" s="76">
        <v>2016</v>
      </c>
      <c r="B3" s="694" t="s">
        <v>41</v>
      </c>
      <c r="C3" s="694"/>
      <c r="D3" s="694"/>
      <c r="E3" s="694"/>
      <c r="F3" s="695" t="s">
        <v>42</v>
      </c>
      <c r="G3" s="695"/>
      <c r="H3" s="695"/>
      <c r="I3" s="695"/>
      <c r="J3" s="695" t="s">
        <v>43</v>
      </c>
      <c r="K3" s="695"/>
      <c r="L3" s="695"/>
      <c r="M3" s="695"/>
      <c r="N3" s="695" t="s">
        <v>44</v>
      </c>
      <c r="O3" s="695"/>
      <c r="P3" s="695"/>
      <c r="Q3" s="695"/>
      <c r="R3" s="695" t="s">
        <v>31</v>
      </c>
      <c r="S3" s="695"/>
      <c r="T3" s="695"/>
      <c r="U3" s="695"/>
      <c r="V3" s="695" t="s">
        <v>45</v>
      </c>
      <c r="W3" s="695"/>
      <c r="X3" s="695"/>
      <c r="Y3" s="695"/>
    </row>
    <row r="4" spans="1:25" ht="79.5" customHeight="1">
      <c r="A4" s="324" t="s">
        <v>104</v>
      </c>
      <c r="B4" s="50" t="s">
        <v>105</v>
      </c>
      <c r="C4" s="50" t="s">
        <v>106</v>
      </c>
      <c r="D4" s="50" t="s">
        <v>107</v>
      </c>
      <c r="E4" s="50" t="s">
        <v>108</v>
      </c>
      <c r="F4" s="50" t="s">
        <v>105</v>
      </c>
      <c r="G4" s="50" t="s">
        <v>106</v>
      </c>
      <c r="H4" s="50" t="s">
        <v>107</v>
      </c>
      <c r="I4" s="50" t="s">
        <v>108</v>
      </c>
      <c r="J4" s="50" t="s">
        <v>105</v>
      </c>
      <c r="K4" s="50" t="s">
        <v>106</v>
      </c>
      <c r="L4" s="50" t="s">
        <v>107</v>
      </c>
      <c r="M4" s="50" t="s">
        <v>108</v>
      </c>
      <c r="N4" s="50" t="s">
        <v>105</v>
      </c>
      <c r="O4" s="50" t="s">
        <v>106</v>
      </c>
      <c r="P4" s="50" t="s">
        <v>107</v>
      </c>
      <c r="Q4" s="50" t="s">
        <v>108</v>
      </c>
      <c r="R4" s="50" t="s">
        <v>105</v>
      </c>
      <c r="S4" s="50" t="s">
        <v>106</v>
      </c>
      <c r="T4" s="50" t="s">
        <v>107</v>
      </c>
      <c r="U4" s="50" t="s">
        <v>108</v>
      </c>
      <c r="V4" s="50" t="s">
        <v>105</v>
      </c>
      <c r="W4" s="50" t="s">
        <v>106</v>
      </c>
      <c r="X4" s="50" t="s">
        <v>107</v>
      </c>
      <c r="Y4" s="50" t="s">
        <v>108</v>
      </c>
    </row>
    <row r="5" spans="1:25">
      <c r="A5" s="77" t="s">
        <v>109</v>
      </c>
      <c r="B5" s="52"/>
      <c r="C5" s="53">
        <v>5.8977000000000004</v>
      </c>
      <c r="D5" s="54">
        <v>2.3029999999999999</v>
      </c>
      <c r="E5" s="55">
        <f>SUM(B5:D5)</f>
        <v>8.2007000000000012</v>
      </c>
      <c r="F5" s="51"/>
      <c r="G5" s="54">
        <v>5.8977000000000004</v>
      </c>
      <c r="H5" s="54">
        <v>2.3029999999999999</v>
      </c>
      <c r="I5" s="56">
        <f>SUM(G5:H5)</f>
        <v>8.2007000000000012</v>
      </c>
      <c r="J5" s="51"/>
      <c r="K5" s="54"/>
      <c r="L5" s="54"/>
      <c r="M5" s="56">
        <f>SUM(K5:L5)</f>
        <v>0</v>
      </c>
      <c r="N5" s="51"/>
      <c r="O5" s="54"/>
      <c r="P5" s="54"/>
      <c r="Q5" s="56">
        <f>SUM(O5:P5)</f>
        <v>0</v>
      </c>
      <c r="R5" s="51"/>
      <c r="S5" s="54"/>
      <c r="T5" s="54"/>
      <c r="U5" s="56">
        <f>SUM(S5:T5)</f>
        <v>0</v>
      </c>
      <c r="V5" s="51"/>
      <c r="W5" s="54"/>
      <c r="X5" s="54"/>
      <c r="Y5" s="56">
        <f>SUM(W5:X5)</f>
        <v>0</v>
      </c>
    </row>
    <row r="6" spans="1:25">
      <c r="A6" s="77" t="s">
        <v>110</v>
      </c>
      <c r="B6" s="82"/>
      <c r="C6" s="83">
        <v>12.8962</v>
      </c>
      <c r="D6" s="53">
        <v>1.4750000000000001</v>
      </c>
      <c r="E6" s="55">
        <f>SUM(B6:D6)</f>
        <v>14.3712</v>
      </c>
      <c r="F6" s="51"/>
      <c r="G6" s="54">
        <v>12.911899999999999</v>
      </c>
      <c r="H6" s="57">
        <v>1.4750000000000001</v>
      </c>
      <c r="I6" s="56">
        <f>SUM(G6:H6)</f>
        <v>14.386899999999999</v>
      </c>
      <c r="J6" s="58"/>
      <c r="K6" s="54"/>
      <c r="L6" s="57"/>
      <c r="M6" s="56">
        <f>SUM(K6:L6)</f>
        <v>0</v>
      </c>
      <c r="N6" s="58"/>
      <c r="O6" s="54"/>
      <c r="P6" s="57"/>
      <c r="Q6" s="56">
        <f>SUM(O6:P6)</f>
        <v>0</v>
      </c>
      <c r="R6" s="58"/>
      <c r="S6" s="54"/>
      <c r="T6" s="57"/>
      <c r="U6" s="56">
        <f>SUM(S6:T6)</f>
        <v>0</v>
      </c>
      <c r="V6" s="58"/>
      <c r="W6" s="54"/>
      <c r="X6" s="57"/>
      <c r="Y6" s="56">
        <f>SUM(W6:X6)</f>
        <v>0</v>
      </c>
    </row>
    <row r="7" spans="1:25" s="39" customFormat="1">
      <c r="A7" s="487" t="s">
        <v>111</v>
      </c>
      <c r="B7" s="488"/>
      <c r="C7" s="489">
        <f>SUM(C5:C6)</f>
        <v>18.793900000000001</v>
      </c>
      <c r="D7" s="489">
        <f>SUM(D5:D6)</f>
        <v>3.778</v>
      </c>
      <c r="E7" s="489">
        <f>SUM(E5:E6)</f>
        <v>22.571899999999999</v>
      </c>
      <c r="F7" s="490"/>
      <c r="G7" s="56">
        <f t="shared" ref="G7:Y7" si="0">SUM(G5:G6)</f>
        <v>18.8096</v>
      </c>
      <c r="H7" s="56">
        <f t="shared" si="0"/>
        <v>3.778</v>
      </c>
      <c r="I7" s="56">
        <f t="shared" si="0"/>
        <v>22.587600000000002</v>
      </c>
      <c r="J7" s="56"/>
      <c r="K7" s="56">
        <f t="shared" si="0"/>
        <v>0</v>
      </c>
      <c r="L7" s="56">
        <f t="shared" si="0"/>
        <v>0</v>
      </c>
      <c r="M7" s="56">
        <f t="shared" si="0"/>
        <v>0</v>
      </c>
      <c r="N7" s="56"/>
      <c r="O7" s="56">
        <f t="shared" si="0"/>
        <v>0</v>
      </c>
      <c r="P7" s="56">
        <f t="shared" si="0"/>
        <v>0</v>
      </c>
      <c r="Q7" s="56">
        <f t="shared" si="0"/>
        <v>0</v>
      </c>
      <c r="R7" s="56"/>
      <c r="S7" s="56">
        <f t="shared" si="0"/>
        <v>0</v>
      </c>
      <c r="T7" s="56">
        <f t="shared" si="0"/>
        <v>0</v>
      </c>
      <c r="U7" s="56">
        <f t="shared" si="0"/>
        <v>0</v>
      </c>
      <c r="V7" s="56"/>
      <c r="W7" s="56">
        <f t="shared" si="0"/>
        <v>0</v>
      </c>
      <c r="X7" s="56">
        <f t="shared" si="0"/>
        <v>0</v>
      </c>
      <c r="Y7" s="56">
        <f t="shared" si="0"/>
        <v>0</v>
      </c>
    </row>
    <row r="8" spans="1:25" ht="4.5" customHeight="1">
      <c r="A8" s="487"/>
      <c r="B8" s="490"/>
      <c r="C8" s="84"/>
      <c r="D8" s="84"/>
      <c r="E8" s="85"/>
      <c r="F8" s="490"/>
      <c r="G8" s="58"/>
      <c r="H8" s="58"/>
      <c r="I8" s="56"/>
      <c r="J8" s="491"/>
      <c r="K8" s="58"/>
      <c r="L8" s="58"/>
      <c r="M8" s="56"/>
      <c r="N8" s="491"/>
      <c r="O8" s="58"/>
      <c r="P8" s="58"/>
      <c r="Q8" s="56"/>
      <c r="R8" s="491"/>
      <c r="S8" s="58"/>
      <c r="T8" s="58"/>
      <c r="U8" s="56"/>
      <c r="V8" s="491"/>
      <c r="W8" s="58"/>
      <c r="X8" s="58"/>
      <c r="Y8" s="56"/>
    </row>
    <row r="9" spans="1:25">
      <c r="A9" s="492" t="s">
        <v>51</v>
      </c>
      <c r="B9" s="493"/>
      <c r="C9" s="50"/>
      <c r="D9" s="50"/>
      <c r="E9" s="325"/>
      <c r="F9" s="493"/>
      <c r="G9" s="59"/>
      <c r="H9" s="60"/>
      <c r="I9" s="60"/>
      <c r="J9" s="494"/>
      <c r="K9" s="59"/>
      <c r="L9" s="60"/>
      <c r="M9" s="56"/>
      <c r="N9" s="494"/>
      <c r="O9" s="59"/>
      <c r="P9" s="60"/>
      <c r="Q9" s="56"/>
      <c r="R9" s="494"/>
      <c r="S9" s="59"/>
      <c r="T9" s="60"/>
      <c r="U9" s="56"/>
      <c r="V9" s="494"/>
      <c r="W9" s="59"/>
      <c r="X9" s="60"/>
      <c r="Y9" s="56">
        <f>SUM(W9:X9)</f>
        <v>0</v>
      </c>
    </row>
    <row r="10" spans="1:25">
      <c r="A10" s="77" t="s">
        <v>112</v>
      </c>
      <c r="B10" s="82"/>
      <c r="C10" s="82"/>
      <c r="D10" s="53"/>
      <c r="E10" s="55"/>
      <c r="F10" s="51"/>
      <c r="G10" s="54"/>
      <c r="H10" s="53"/>
      <c r="I10" s="55"/>
      <c r="J10" s="58"/>
      <c r="K10" s="53" t="s">
        <v>56</v>
      </c>
      <c r="L10" s="53"/>
      <c r="M10" s="56"/>
      <c r="N10" s="58"/>
      <c r="O10" s="53" t="s">
        <v>56</v>
      </c>
      <c r="P10" s="53"/>
      <c r="Q10" s="56"/>
      <c r="R10" s="58"/>
      <c r="S10" s="53" t="s">
        <v>56</v>
      </c>
      <c r="T10" s="53"/>
      <c r="U10" s="56"/>
      <c r="V10" s="58"/>
      <c r="W10" s="53" t="s">
        <v>56</v>
      </c>
      <c r="X10" s="53"/>
      <c r="Y10" s="56">
        <f>SUM(W10:X10)</f>
        <v>0</v>
      </c>
    </row>
    <row r="11" spans="1:25">
      <c r="A11" s="77" t="s">
        <v>113</v>
      </c>
      <c r="B11" s="82"/>
      <c r="C11" s="82"/>
      <c r="D11" s="53"/>
      <c r="E11" s="55"/>
      <c r="F11" s="51"/>
      <c r="G11" s="54"/>
      <c r="H11" s="54"/>
      <c r="I11" s="58"/>
      <c r="J11" s="58"/>
      <c r="K11" s="54"/>
      <c r="L11" s="54"/>
      <c r="M11" s="56"/>
      <c r="N11" s="58"/>
      <c r="O11" s="54"/>
      <c r="P11" s="54"/>
      <c r="Q11" s="56"/>
      <c r="R11" s="58"/>
      <c r="S11" s="54"/>
      <c r="T11" s="54"/>
      <c r="U11" s="56"/>
      <c r="V11" s="58"/>
      <c r="W11" s="54"/>
      <c r="X11" s="54"/>
      <c r="Y11" s="56">
        <f>SUM(W11:X11)</f>
        <v>0</v>
      </c>
    </row>
    <row r="12" spans="1:25">
      <c r="A12" s="77"/>
      <c r="B12" s="52"/>
      <c r="C12" s="53"/>
      <c r="D12" s="53"/>
      <c r="E12" s="86"/>
      <c r="F12" s="51"/>
      <c r="G12" s="54"/>
      <c r="H12" s="54"/>
      <c r="I12" s="58"/>
      <c r="J12" s="58"/>
      <c r="K12" s="54"/>
      <c r="L12" s="54"/>
      <c r="M12" s="56" t="s">
        <v>56</v>
      </c>
      <c r="N12" s="58"/>
      <c r="O12" s="54"/>
      <c r="P12" s="54"/>
      <c r="Q12" s="56" t="s">
        <v>56</v>
      </c>
      <c r="R12" s="58"/>
      <c r="S12" s="54"/>
      <c r="T12" s="54"/>
      <c r="U12" s="56" t="s">
        <v>56</v>
      </c>
      <c r="V12" s="58"/>
      <c r="W12" s="54"/>
      <c r="X12" s="54"/>
      <c r="Y12" s="56" t="s">
        <v>56</v>
      </c>
    </row>
    <row r="13" spans="1:25" s="39" customFormat="1">
      <c r="A13" s="487" t="s">
        <v>111</v>
      </c>
      <c r="B13" s="488"/>
      <c r="C13" s="489">
        <v>0</v>
      </c>
      <c r="D13" s="489">
        <f>SUM(D10:D12)</f>
        <v>0</v>
      </c>
      <c r="E13" s="489">
        <f>SUM(E10:E12)</f>
        <v>0</v>
      </c>
      <c r="F13" s="490"/>
      <c r="G13" s="56">
        <f>SUM(G9:G12)</f>
        <v>0</v>
      </c>
      <c r="H13" s="56">
        <f>SUM(H9:H12)</f>
        <v>0</v>
      </c>
      <c r="I13" s="56">
        <f>SUM(I9:I12)</f>
        <v>0</v>
      </c>
      <c r="J13" s="491"/>
      <c r="K13" s="56">
        <f>SUM(K9:K12)</f>
        <v>0</v>
      </c>
      <c r="L13" s="56">
        <f>SUM(L9:L12)</f>
        <v>0</v>
      </c>
      <c r="M13" s="56">
        <f>SUM(M9:M12)</f>
        <v>0</v>
      </c>
      <c r="N13" s="491"/>
      <c r="O13" s="56">
        <f>SUM(O9:O12)</f>
        <v>0</v>
      </c>
      <c r="P13" s="56">
        <f>SUM(P9:P12)</f>
        <v>0</v>
      </c>
      <c r="Q13" s="56">
        <f>SUM(Q9:Q12)</f>
        <v>0</v>
      </c>
      <c r="R13" s="491"/>
      <c r="S13" s="56">
        <f>SUM(S9:S12)</f>
        <v>0</v>
      </c>
      <c r="T13" s="56">
        <f>SUM(T9:T12)</f>
        <v>0</v>
      </c>
      <c r="U13" s="56">
        <f>SUM(U9:U12)</f>
        <v>0</v>
      </c>
      <c r="V13" s="491"/>
      <c r="W13" s="56">
        <f>SUM(W9:W12)</f>
        <v>0</v>
      </c>
      <c r="X13" s="56">
        <f>SUM(X9:X12)</f>
        <v>0</v>
      </c>
      <c r="Y13" s="56">
        <f>SUM(Y9:Y12)</f>
        <v>0</v>
      </c>
    </row>
    <row r="14" spans="1:25" ht="4.5" customHeight="1">
      <c r="A14" s="487"/>
      <c r="B14" s="490"/>
      <c r="C14" s="84"/>
      <c r="D14" s="84"/>
      <c r="E14" s="85"/>
      <c r="F14" s="490"/>
      <c r="G14" s="58"/>
      <c r="H14" s="58"/>
      <c r="I14" s="56"/>
      <c r="J14" s="491"/>
      <c r="K14" s="58"/>
      <c r="L14" s="58"/>
      <c r="M14" s="56">
        <f>SUM(M9:M12)</f>
        <v>0</v>
      </c>
      <c r="N14" s="491"/>
      <c r="O14" s="58"/>
      <c r="P14" s="58"/>
      <c r="Q14" s="56">
        <f>SUM(Q9:Q12)</f>
        <v>0</v>
      </c>
      <c r="R14" s="491"/>
      <c r="S14" s="58"/>
      <c r="T14" s="58"/>
      <c r="U14" s="56">
        <f>SUM(U9:U12)</f>
        <v>0</v>
      </c>
      <c r="V14" s="491"/>
      <c r="W14" s="58"/>
      <c r="X14" s="58"/>
      <c r="Y14" s="56"/>
    </row>
    <row r="15" spans="1:25" s="39" customFormat="1" ht="17.25" customHeight="1">
      <c r="A15" s="487" t="s">
        <v>108</v>
      </c>
      <c r="B15" s="490"/>
      <c r="C15" s="489">
        <f>C7+C13</f>
        <v>18.793900000000001</v>
      </c>
      <c r="D15" s="489">
        <f>D7+D13</f>
        <v>3.778</v>
      </c>
      <c r="E15" s="489">
        <f>E7+E13</f>
        <v>22.571899999999999</v>
      </c>
      <c r="F15" s="490"/>
      <c r="G15" s="56">
        <f>G7+G13</f>
        <v>18.8096</v>
      </c>
      <c r="H15" s="56">
        <f>H7+H13</f>
        <v>3.778</v>
      </c>
      <c r="I15" s="56">
        <f>I7+I13</f>
        <v>22.587600000000002</v>
      </c>
      <c r="J15" s="491"/>
      <c r="K15" s="56">
        <f>K7+K13</f>
        <v>0</v>
      </c>
      <c r="L15" s="56">
        <f>L7+L13</f>
        <v>0</v>
      </c>
      <c r="M15" s="56">
        <f>M7+M13</f>
        <v>0</v>
      </c>
      <c r="N15" s="491"/>
      <c r="O15" s="56">
        <f>O7+O13</f>
        <v>0</v>
      </c>
      <c r="P15" s="56">
        <f>P7+P13</f>
        <v>0</v>
      </c>
      <c r="Q15" s="56">
        <f>Q7+Q13</f>
        <v>0</v>
      </c>
      <c r="R15" s="491"/>
      <c r="S15" s="56">
        <f>S7+S13</f>
        <v>0</v>
      </c>
      <c r="T15" s="56">
        <f>T7+T13</f>
        <v>0</v>
      </c>
      <c r="U15" s="56">
        <f>U7+U13</f>
        <v>0</v>
      </c>
      <c r="V15" s="491"/>
      <c r="W15" s="56">
        <f>W7+W13</f>
        <v>0</v>
      </c>
      <c r="X15" s="56">
        <f>X7+X13</f>
        <v>0</v>
      </c>
      <c r="Y15" s="56">
        <f>Y7+Y13</f>
        <v>0</v>
      </c>
    </row>
    <row r="16" spans="1:25" ht="17.25" customHeight="1">
      <c r="A16" s="495"/>
      <c r="B16" s="496"/>
      <c r="C16" s="497"/>
      <c r="D16" s="497"/>
      <c r="E16" s="498"/>
      <c r="F16" s="496"/>
      <c r="G16" s="499"/>
      <c r="H16" s="499"/>
      <c r="I16" s="500"/>
      <c r="J16" s="500"/>
      <c r="K16" s="499"/>
      <c r="L16" s="499"/>
      <c r="M16" s="500"/>
      <c r="N16" s="500"/>
      <c r="O16" s="499"/>
      <c r="P16" s="499"/>
      <c r="Q16" s="500"/>
      <c r="R16" s="500"/>
      <c r="S16" s="499"/>
      <c r="T16" s="499"/>
      <c r="U16" s="500"/>
      <c r="V16" s="500"/>
      <c r="W16" s="499"/>
      <c r="X16" s="499"/>
      <c r="Y16" s="500"/>
    </row>
    <row r="17" spans="1:25">
      <c r="A17" s="324" t="s">
        <v>114</v>
      </c>
      <c r="B17" s="501"/>
      <c r="C17" s="502"/>
      <c r="D17" s="502"/>
      <c r="E17" s="503"/>
      <c r="F17" s="504"/>
      <c r="G17" s="505"/>
      <c r="H17" s="505"/>
      <c r="I17" s="506"/>
      <c r="J17" s="506"/>
      <c r="K17" s="505"/>
      <c r="L17" s="505"/>
      <c r="M17" s="506"/>
      <c r="N17" s="506"/>
      <c r="O17" s="505"/>
      <c r="P17" s="505"/>
      <c r="Q17" s="506"/>
      <c r="R17" s="506"/>
      <c r="S17" s="505"/>
      <c r="T17" s="505"/>
      <c r="U17" s="506"/>
      <c r="V17" s="506"/>
      <c r="W17" s="505"/>
      <c r="X17" s="505"/>
      <c r="Y17" s="507"/>
    </row>
    <row r="18" spans="1:25">
      <c r="A18" s="78" t="s">
        <v>115</v>
      </c>
      <c r="B18" s="52"/>
      <c r="C18" s="82"/>
      <c r="D18" s="82"/>
      <c r="E18" s="86"/>
      <c r="F18" s="52"/>
      <c r="G18" s="54"/>
      <c r="H18" s="54"/>
      <c r="I18" s="58"/>
      <c r="J18" s="52"/>
      <c r="K18" s="54"/>
      <c r="L18" s="54"/>
      <c r="M18" s="58"/>
      <c r="N18" s="52"/>
      <c r="O18" s="54"/>
      <c r="P18" s="54"/>
      <c r="Q18" s="58"/>
      <c r="R18" s="52"/>
      <c r="S18" s="54"/>
      <c r="T18" s="54"/>
      <c r="U18" s="58"/>
      <c r="V18" s="52"/>
      <c r="W18" s="54"/>
      <c r="X18" s="54"/>
      <c r="Y18" s="58"/>
    </row>
    <row r="19" spans="1:25">
      <c r="A19" s="77"/>
      <c r="B19" s="51"/>
      <c r="C19" s="87"/>
      <c r="D19" s="87"/>
      <c r="E19" s="88">
        <v>59.3</v>
      </c>
      <c r="F19" s="51"/>
      <c r="G19" s="54"/>
      <c r="H19" s="54"/>
      <c r="I19" s="88">
        <v>59.3</v>
      </c>
      <c r="J19" s="58"/>
      <c r="K19" s="54"/>
      <c r="L19" s="54"/>
      <c r="M19" s="58"/>
      <c r="N19" s="58"/>
      <c r="O19" s="54"/>
      <c r="P19" s="54"/>
      <c r="Q19" s="58"/>
      <c r="R19" s="58"/>
      <c r="S19" s="54"/>
      <c r="T19" s="54"/>
      <c r="U19" s="58"/>
      <c r="V19" s="58"/>
      <c r="W19" s="54"/>
      <c r="X19" s="54"/>
      <c r="Y19" s="58"/>
    </row>
    <row r="20" spans="1:25" s="39" customFormat="1">
      <c r="A20" s="79" t="s">
        <v>111</v>
      </c>
      <c r="B20" s="489">
        <f>SUM(B18:B19)</f>
        <v>0</v>
      </c>
      <c r="C20" s="489"/>
      <c r="D20" s="489"/>
      <c r="E20" s="489">
        <v>59.3</v>
      </c>
      <c r="F20" s="61">
        <f>SUM(F18:F19)</f>
        <v>0</v>
      </c>
      <c r="G20" s="62"/>
      <c r="H20" s="62"/>
      <c r="I20" s="489">
        <v>59.3</v>
      </c>
      <c r="J20" s="56">
        <f>SUM(J18:J19)</f>
        <v>0</v>
      </c>
      <c r="K20" s="62"/>
      <c r="L20" s="62"/>
      <c r="M20" s="56"/>
      <c r="N20" s="56">
        <f>SUM(N18:N19)</f>
        <v>0</v>
      </c>
      <c r="O20" s="62"/>
      <c r="P20" s="62"/>
      <c r="Q20" s="56"/>
      <c r="R20" s="56">
        <f>SUM(R18:R19)</f>
        <v>0</v>
      </c>
      <c r="S20" s="62"/>
      <c r="T20" s="62"/>
      <c r="U20" s="56"/>
      <c r="V20" s="56">
        <f>SUM(V18:V19)</f>
        <v>0</v>
      </c>
      <c r="W20" s="62"/>
      <c r="X20" s="62"/>
      <c r="Y20" s="56"/>
    </row>
    <row r="21" spans="1:25" ht="4.5" customHeight="1">
      <c r="A21" s="487"/>
      <c r="B21" s="84"/>
      <c r="C21" s="84"/>
      <c r="D21" s="84"/>
      <c r="E21" s="85"/>
      <c r="F21" s="490"/>
      <c r="G21" s="58"/>
      <c r="H21" s="58"/>
      <c r="I21" s="85"/>
      <c r="J21" s="491"/>
      <c r="K21" s="58"/>
      <c r="L21" s="58"/>
      <c r="M21" s="56"/>
      <c r="N21" s="491"/>
      <c r="O21" s="58"/>
      <c r="P21" s="58"/>
      <c r="Q21" s="56"/>
      <c r="R21" s="491"/>
      <c r="S21" s="58"/>
      <c r="T21" s="58"/>
      <c r="U21" s="56"/>
      <c r="V21" s="491"/>
      <c r="W21" s="58"/>
      <c r="X21" s="58"/>
      <c r="Y21" s="56"/>
    </row>
    <row r="22" spans="1:25" s="39" customFormat="1">
      <c r="A22" s="487" t="s">
        <v>116</v>
      </c>
      <c r="B22" s="508">
        <f>B20</f>
        <v>0</v>
      </c>
      <c r="C22" s="508"/>
      <c r="D22" s="508"/>
      <c r="E22" s="509">
        <v>59.3</v>
      </c>
      <c r="F22" s="61">
        <f>F20</f>
        <v>0</v>
      </c>
      <c r="G22" s="508"/>
      <c r="H22" s="508"/>
      <c r="I22" s="509">
        <v>59.3</v>
      </c>
      <c r="J22" s="491">
        <f>J20</f>
        <v>0</v>
      </c>
      <c r="K22" s="508"/>
      <c r="L22" s="508"/>
      <c r="M22" s="509"/>
      <c r="N22" s="491">
        <f>N20</f>
        <v>0</v>
      </c>
      <c r="O22" s="508"/>
      <c r="P22" s="508"/>
      <c r="Q22" s="509"/>
      <c r="R22" s="491">
        <f>R20</f>
        <v>0</v>
      </c>
      <c r="S22" s="508"/>
      <c r="T22" s="508"/>
      <c r="U22" s="509"/>
      <c r="V22" s="491">
        <f>V20</f>
        <v>0</v>
      </c>
      <c r="W22" s="508"/>
      <c r="X22" s="508"/>
      <c r="Y22" s="509"/>
    </row>
    <row r="23" spans="1:25">
      <c r="A23" s="39"/>
      <c r="B23" s="65"/>
      <c r="C23" s="66"/>
      <c r="D23" s="66"/>
      <c r="E23" s="67"/>
      <c r="F23" s="65"/>
      <c r="G23" s="66"/>
      <c r="H23" s="67"/>
      <c r="I23" s="65"/>
      <c r="J23" s="65"/>
      <c r="K23" s="66"/>
      <c r="L23" s="67"/>
      <c r="M23" s="65"/>
      <c r="N23" s="65"/>
      <c r="O23" s="66"/>
      <c r="P23" s="67"/>
      <c r="Q23" s="65"/>
      <c r="R23" s="65"/>
      <c r="S23" s="66"/>
      <c r="T23" s="67"/>
      <c r="U23" s="65"/>
      <c r="V23" s="65"/>
      <c r="W23" s="66"/>
      <c r="X23" s="67"/>
      <c r="Y23" s="65"/>
    </row>
    <row r="24" spans="1:25">
      <c r="B24" s="49"/>
      <c r="C24" s="49"/>
      <c r="D24" s="49"/>
      <c r="E24" s="49"/>
      <c r="F24" s="49"/>
      <c r="G24" s="49"/>
      <c r="H24" s="49"/>
      <c r="I24" s="49"/>
      <c r="J24" s="49"/>
      <c r="K24" s="49"/>
      <c r="L24" s="49"/>
      <c r="M24" s="49"/>
      <c r="N24" s="49"/>
      <c r="O24" s="49"/>
      <c r="P24" s="49"/>
      <c r="Q24" s="49"/>
      <c r="R24" s="49"/>
      <c r="S24" s="49"/>
      <c r="T24" s="49"/>
      <c r="U24" s="49"/>
      <c r="V24" s="49"/>
      <c r="W24" s="49"/>
      <c r="X24" s="49"/>
      <c r="Y24" s="49"/>
    </row>
    <row r="25" spans="1:25">
      <c r="A25" s="80"/>
      <c r="B25" s="695" t="s">
        <v>59</v>
      </c>
      <c r="C25" s="695"/>
      <c r="D25" s="695"/>
      <c r="E25" s="695"/>
      <c r="F25" s="695" t="s">
        <v>60</v>
      </c>
      <c r="G25" s="695"/>
      <c r="H25" s="695"/>
      <c r="I25" s="695" t="s">
        <v>59</v>
      </c>
      <c r="J25" s="695" t="s">
        <v>61</v>
      </c>
      <c r="K25" s="695"/>
      <c r="L25" s="695"/>
      <c r="M25" s="695" t="s">
        <v>59</v>
      </c>
      <c r="N25" s="695" t="s">
        <v>62</v>
      </c>
      <c r="O25" s="695"/>
      <c r="P25" s="695"/>
      <c r="Q25" s="695" t="s">
        <v>59</v>
      </c>
      <c r="R25" s="695" t="s">
        <v>63</v>
      </c>
      <c r="S25" s="695"/>
      <c r="T25" s="695"/>
      <c r="U25" s="695" t="s">
        <v>59</v>
      </c>
      <c r="V25" s="695" t="s">
        <v>64</v>
      </c>
      <c r="W25" s="695"/>
      <c r="X25" s="695"/>
      <c r="Y25" s="695" t="s">
        <v>59</v>
      </c>
    </row>
    <row r="26" spans="1:25" ht="38.25">
      <c r="A26" s="324" t="s">
        <v>104</v>
      </c>
      <c r="B26" s="50" t="s">
        <v>105</v>
      </c>
      <c r="C26" s="50" t="s">
        <v>106</v>
      </c>
      <c r="D26" s="50" t="s">
        <v>107</v>
      </c>
      <c r="E26" s="50" t="s">
        <v>108</v>
      </c>
      <c r="F26" s="50" t="s">
        <v>105</v>
      </c>
      <c r="G26" s="50" t="s">
        <v>106</v>
      </c>
      <c r="H26" s="50" t="s">
        <v>107</v>
      </c>
      <c r="I26" s="50" t="s">
        <v>108</v>
      </c>
      <c r="J26" s="50" t="s">
        <v>105</v>
      </c>
      <c r="K26" s="50" t="s">
        <v>106</v>
      </c>
      <c r="L26" s="50" t="s">
        <v>107</v>
      </c>
      <c r="M26" s="50" t="s">
        <v>108</v>
      </c>
      <c r="N26" s="50" t="s">
        <v>105</v>
      </c>
      <c r="O26" s="50" t="s">
        <v>106</v>
      </c>
      <c r="P26" s="50" t="s">
        <v>107</v>
      </c>
      <c r="Q26" s="50" t="s">
        <v>108</v>
      </c>
      <c r="R26" s="50" t="s">
        <v>105</v>
      </c>
      <c r="S26" s="50" t="s">
        <v>106</v>
      </c>
      <c r="T26" s="50" t="s">
        <v>107</v>
      </c>
      <c r="U26" s="50" t="s">
        <v>108</v>
      </c>
      <c r="V26" s="50" t="s">
        <v>105</v>
      </c>
      <c r="W26" s="50" t="s">
        <v>106</v>
      </c>
      <c r="X26" s="50" t="s">
        <v>107</v>
      </c>
      <c r="Y26" s="50" t="s">
        <v>108</v>
      </c>
    </row>
    <row r="27" spans="1:25">
      <c r="A27" s="77" t="s">
        <v>117</v>
      </c>
      <c r="B27" s="63"/>
      <c r="C27" s="63"/>
      <c r="D27" s="54"/>
      <c r="E27" s="89"/>
      <c r="F27" s="58"/>
      <c r="G27" s="54"/>
      <c r="H27" s="57"/>
      <c r="I27" s="56"/>
      <c r="J27" s="58"/>
      <c r="K27" s="54"/>
      <c r="L27" s="57"/>
      <c r="M27" s="56"/>
      <c r="N27" s="58"/>
      <c r="O27" s="54"/>
      <c r="P27" s="57"/>
      <c r="Q27" s="56"/>
      <c r="R27" s="58"/>
      <c r="S27" s="54"/>
      <c r="T27" s="57"/>
      <c r="U27" s="56"/>
      <c r="V27" s="58"/>
      <c r="W27" s="54"/>
      <c r="X27" s="57"/>
      <c r="Y27" s="56"/>
    </row>
    <row r="28" spans="1:25">
      <c r="A28" s="77" t="s">
        <v>110</v>
      </c>
      <c r="B28" s="63"/>
      <c r="C28" s="90"/>
      <c r="D28" s="54"/>
      <c r="E28" s="89">
        <f>SUM(B28:D28)</f>
        <v>0</v>
      </c>
      <c r="F28" s="58"/>
      <c r="G28" s="54"/>
      <c r="H28" s="57"/>
      <c r="I28" s="56">
        <f>SUM(G28:H28)</f>
        <v>0</v>
      </c>
      <c r="J28" s="58"/>
      <c r="K28" s="54"/>
      <c r="L28" s="57"/>
      <c r="M28" s="56">
        <f>SUM(K28:L28)</f>
        <v>0</v>
      </c>
      <c r="N28" s="58"/>
      <c r="O28" s="54"/>
      <c r="P28" s="57"/>
      <c r="Q28" s="56">
        <f t="shared" ref="Q28:Q33" si="1">SUM(O28:P28)</f>
        <v>0</v>
      </c>
      <c r="R28" s="58"/>
      <c r="S28" s="54"/>
      <c r="T28" s="57"/>
      <c r="U28" s="56">
        <f>SUM(S28:T28)</f>
        <v>0</v>
      </c>
      <c r="V28" s="58"/>
      <c r="W28" s="54"/>
      <c r="X28" s="57"/>
      <c r="Y28" s="56">
        <f>SUM(W28:X28)</f>
        <v>0</v>
      </c>
    </row>
    <row r="29" spans="1:25">
      <c r="A29" s="77" t="s">
        <v>118</v>
      </c>
      <c r="B29" s="63"/>
      <c r="C29" s="54"/>
      <c r="D29" s="54"/>
      <c r="E29" s="89"/>
      <c r="F29" s="58"/>
      <c r="G29" s="54"/>
      <c r="H29" s="57"/>
      <c r="I29" s="56">
        <f>SUM(G29:H29)</f>
        <v>0</v>
      </c>
      <c r="J29" s="58"/>
      <c r="K29" s="54"/>
      <c r="L29" s="57"/>
      <c r="M29" s="56">
        <f t="shared" ref="M29:M40" si="2">SUM(K29:L29)</f>
        <v>0</v>
      </c>
      <c r="N29" s="58"/>
      <c r="O29" s="54"/>
      <c r="P29" s="57"/>
      <c r="Q29" s="56">
        <f t="shared" si="1"/>
        <v>0</v>
      </c>
      <c r="R29" s="58"/>
      <c r="S29" s="54"/>
      <c r="T29" s="57"/>
      <c r="U29" s="56"/>
      <c r="V29" s="58"/>
      <c r="W29" s="54"/>
      <c r="X29" s="57"/>
      <c r="Y29" s="56"/>
    </row>
    <row r="30" spans="1:25">
      <c r="A30" s="77" t="s">
        <v>119</v>
      </c>
      <c r="B30" s="63"/>
      <c r="C30" s="54"/>
      <c r="D30" s="54"/>
      <c r="E30" s="89"/>
      <c r="F30" s="58"/>
      <c r="G30" s="64"/>
      <c r="H30" s="64"/>
      <c r="I30" s="56">
        <f>SUM(G30:H30)</f>
        <v>0</v>
      </c>
      <c r="J30" s="58"/>
      <c r="K30" s="64"/>
      <c r="L30" s="64"/>
      <c r="M30" s="56">
        <f t="shared" si="2"/>
        <v>0</v>
      </c>
      <c r="N30" s="58"/>
      <c r="O30" s="64"/>
      <c r="P30" s="64"/>
      <c r="Q30" s="56">
        <f t="shared" si="1"/>
        <v>0</v>
      </c>
      <c r="R30" s="58"/>
      <c r="S30" s="64"/>
      <c r="T30" s="64"/>
      <c r="U30" s="56"/>
      <c r="V30" s="58"/>
      <c r="W30" s="64"/>
      <c r="X30" s="64"/>
      <c r="Y30" s="56"/>
    </row>
    <row r="31" spans="1:25">
      <c r="A31" s="77" t="s">
        <v>120</v>
      </c>
      <c r="B31" s="63"/>
      <c r="C31" s="54"/>
      <c r="D31" s="54"/>
      <c r="E31" s="89"/>
      <c r="F31" s="58"/>
      <c r="G31" s="64"/>
      <c r="H31" s="64"/>
      <c r="I31" s="56">
        <f>SUM(G31:H31)</f>
        <v>0</v>
      </c>
      <c r="J31" s="58"/>
      <c r="K31" s="64"/>
      <c r="L31" s="64"/>
      <c r="M31" s="56">
        <f t="shared" si="2"/>
        <v>0</v>
      </c>
      <c r="N31" s="58"/>
      <c r="O31" s="64"/>
      <c r="P31" s="64"/>
      <c r="Q31" s="56">
        <f t="shared" si="1"/>
        <v>0</v>
      </c>
      <c r="R31" s="58"/>
      <c r="S31" s="64"/>
      <c r="T31" s="64"/>
      <c r="U31" s="56"/>
      <c r="V31" s="58"/>
      <c r="W31" s="64"/>
      <c r="X31" s="64"/>
      <c r="Y31" s="56"/>
    </row>
    <row r="32" spans="1:25">
      <c r="A32" s="77" t="s">
        <v>121</v>
      </c>
      <c r="B32" s="58"/>
      <c r="C32" s="54"/>
      <c r="D32" s="54"/>
      <c r="E32" s="89">
        <f>SUM(B32:D32)</f>
        <v>0</v>
      </c>
      <c r="F32" s="58"/>
      <c r="G32" s="54"/>
      <c r="H32" s="54"/>
      <c r="I32" s="56">
        <f>SUM(G32:H32)</f>
        <v>0</v>
      </c>
      <c r="J32" s="58"/>
      <c r="K32" s="54"/>
      <c r="L32" s="54"/>
      <c r="M32" s="56">
        <f t="shared" si="2"/>
        <v>0</v>
      </c>
      <c r="N32" s="58"/>
      <c r="O32" s="54"/>
      <c r="P32" s="54"/>
      <c r="Q32" s="56">
        <f t="shared" si="1"/>
        <v>0</v>
      </c>
      <c r="R32" s="58"/>
      <c r="S32" s="54"/>
      <c r="T32" s="54"/>
      <c r="U32" s="56">
        <f>SUM(S32:T32)</f>
        <v>0</v>
      </c>
      <c r="V32" s="58"/>
      <c r="W32" s="54"/>
      <c r="X32" s="54"/>
      <c r="Y32" s="56">
        <f>SUM(W32:X32)</f>
        <v>0</v>
      </c>
    </row>
    <row r="33" spans="1:25" s="39" customFormat="1">
      <c r="A33" s="487" t="s">
        <v>111</v>
      </c>
      <c r="B33" s="510"/>
      <c r="C33" s="491">
        <f>SUM(C27:C32)</f>
        <v>0</v>
      </c>
      <c r="D33" s="491">
        <f>SUM(D27:D32)</f>
        <v>0</v>
      </c>
      <c r="E33" s="491">
        <f>SUM(E27:E32)</f>
        <v>0</v>
      </c>
      <c r="F33" s="491"/>
      <c r="G33" s="56">
        <f>SUM(G27:G32)</f>
        <v>0</v>
      </c>
      <c r="H33" s="56">
        <f>SUM(H27:H32)</f>
        <v>0</v>
      </c>
      <c r="I33" s="56">
        <f>SUM(I27:I32)</f>
        <v>0</v>
      </c>
      <c r="J33" s="491"/>
      <c r="K33" s="56">
        <f>SUM(K28:K32)</f>
        <v>0</v>
      </c>
      <c r="L33" s="56">
        <f>SUM(L28:L32)</f>
        <v>0</v>
      </c>
      <c r="M33" s="56">
        <f t="shared" si="2"/>
        <v>0</v>
      </c>
      <c r="N33" s="491"/>
      <c r="O33" s="56">
        <f>SUM(O28:O32)</f>
        <v>0</v>
      </c>
      <c r="P33" s="56">
        <f>SUM(P28:P32)</f>
        <v>0</v>
      </c>
      <c r="Q33" s="56">
        <f t="shared" si="1"/>
        <v>0</v>
      </c>
      <c r="R33" s="491"/>
      <c r="S33" s="56">
        <f>SUM(S28:S32)</f>
        <v>0</v>
      </c>
      <c r="T33" s="56">
        <f>SUM(T28:T32)</f>
        <v>0</v>
      </c>
      <c r="U33" s="56">
        <f>SUM(S33:T33)</f>
        <v>0</v>
      </c>
      <c r="V33" s="491"/>
      <c r="W33" s="56">
        <f>SUM(W28:W32)</f>
        <v>0</v>
      </c>
      <c r="X33" s="56">
        <f>SUM(X28:X32)</f>
        <v>0</v>
      </c>
      <c r="Y33" s="56">
        <f>SUM(W33:X33)</f>
        <v>0</v>
      </c>
    </row>
    <row r="34" spans="1:25" ht="4.5" customHeight="1">
      <c r="A34" s="487"/>
      <c r="B34" s="491"/>
      <c r="C34" s="58"/>
      <c r="D34" s="58"/>
      <c r="E34" s="56"/>
      <c r="F34" s="491"/>
      <c r="G34" s="58"/>
      <c r="H34" s="58"/>
      <c r="I34" s="56"/>
      <c r="J34" s="491"/>
      <c r="K34" s="58"/>
      <c r="L34" s="58"/>
      <c r="M34" s="56"/>
      <c r="N34" s="491"/>
      <c r="O34" s="58"/>
      <c r="P34" s="58"/>
      <c r="Q34" s="56"/>
      <c r="R34" s="491"/>
      <c r="S34" s="58"/>
      <c r="T34" s="58"/>
      <c r="U34" s="56"/>
      <c r="V34" s="491"/>
      <c r="W34" s="58"/>
      <c r="X34" s="58"/>
      <c r="Y34" s="56"/>
    </row>
    <row r="35" spans="1:25">
      <c r="A35" s="492" t="s">
        <v>51</v>
      </c>
      <c r="B35" s="494"/>
      <c r="C35" s="59"/>
      <c r="D35" s="59"/>
      <c r="E35" s="60"/>
      <c r="F35" s="494"/>
      <c r="G35" s="59"/>
      <c r="H35" s="60"/>
      <c r="I35" s="56">
        <f>SUM(G35:H35)</f>
        <v>0</v>
      </c>
      <c r="J35" s="494"/>
      <c r="K35" s="59"/>
      <c r="L35" s="60"/>
      <c r="M35" s="56">
        <f t="shared" si="2"/>
        <v>0</v>
      </c>
      <c r="N35" s="494"/>
      <c r="O35" s="56"/>
      <c r="P35" s="60"/>
      <c r="Q35" s="56">
        <f t="shared" ref="Q35:Q40" si="3">SUM(O35:P35)</f>
        <v>0</v>
      </c>
      <c r="R35" s="494"/>
      <c r="S35" s="59"/>
      <c r="T35" s="60"/>
      <c r="U35" s="56">
        <f t="shared" ref="U35:U40" si="4">SUM(S35:T35)</f>
        <v>0</v>
      </c>
      <c r="V35" s="494"/>
      <c r="W35" s="59"/>
      <c r="X35" s="60"/>
      <c r="Y35" s="56">
        <f t="shared" ref="Y35:Y40" si="5">SUM(W35:X35)</f>
        <v>0</v>
      </c>
    </row>
    <row r="36" spans="1:25">
      <c r="A36" s="77" t="s">
        <v>112</v>
      </c>
      <c r="B36" s="63"/>
      <c r="C36" s="63"/>
      <c r="D36" s="54"/>
      <c r="E36" s="89"/>
      <c r="F36" s="58"/>
      <c r="G36" s="54"/>
      <c r="H36" s="54"/>
      <c r="I36" s="56">
        <f>SUM(G36:H36)</f>
        <v>0</v>
      </c>
      <c r="J36" s="58"/>
      <c r="K36" s="54"/>
      <c r="L36" s="54"/>
      <c r="M36" s="56">
        <f t="shared" si="2"/>
        <v>0</v>
      </c>
      <c r="N36" s="58"/>
      <c r="O36" s="56"/>
      <c r="P36" s="54"/>
      <c r="Q36" s="56">
        <f t="shared" si="3"/>
        <v>0</v>
      </c>
      <c r="R36" s="58"/>
      <c r="S36" s="54"/>
      <c r="T36" s="54"/>
      <c r="U36" s="56">
        <f t="shared" si="4"/>
        <v>0</v>
      </c>
      <c r="V36" s="58"/>
      <c r="W36" s="54"/>
      <c r="X36" s="54"/>
      <c r="Y36" s="56">
        <f t="shared" si="5"/>
        <v>0</v>
      </c>
    </row>
    <row r="37" spans="1:25">
      <c r="A37" s="77" t="s">
        <v>122</v>
      </c>
      <c r="B37" s="63"/>
      <c r="C37" s="63"/>
      <c r="D37" s="54"/>
      <c r="E37" s="89"/>
      <c r="F37" s="58"/>
      <c r="G37" s="54"/>
      <c r="H37" s="54"/>
      <c r="I37" s="56">
        <f>SUM(G37:H37)</f>
        <v>0</v>
      </c>
      <c r="J37" s="58"/>
      <c r="K37" s="54"/>
      <c r="L37" s="54"/>
      <c r="M37" s="56">
        <f t="shared" si="2"/>
        <v>0</v>
      </c>
      <c r="N37" s="58"/>
      <c r="O37" s="56"/>
      <c r="P37" s="54"/>
      <c r="Q37" s="56">
        <f t="shared" si="3"/>
        <v>0</v>
      </c>
      <c r="R37" s="58"/>
      <c r="S37" s="54"/>
      <c r="T37" s="54"/>
      <c r="U37" s="56">
        <f t="shared" si="4"/>
        <v>0</v>
      </c>
      <c r="V37" s="58"/>
      <c r="W37" s="54"/>
      <c r="X37" s="54"/>
      <c r="Y37" s="56">
        <f t="shared" si="5"/>
        <v>0</v>
      </c>
    </row>
    <row r="38" spans="1:25">
      <c r="A38" s="77" t="s">
        <v>113</v>
      </c>
      <c r="B38" s="63"/>
      <c r="C38" s="63"/>
      <c r="D38" s="54"/>
      <c r="E38" s="89"/>
      <c r="F38" s="58"/>
      <c r="G38" s="54"/>
      <c r="H38" s="54"/>
      <c r="I38" s="56">
        <f>SUM(G38:H38)</f>
        <v>0</v>
      </c>
      <c r="J38" s="58"/>
      <c r="K38" s="54"/>
      <c r="L38" s="54"/>
      <c r="M38" s="56">
        <f t="shared" si="2"/>
        <v>0</v>
      </c>
      <c r="N38" s="58"/>
      <c r="O38" s="56"/>
      <c r="P38" s="54"/>
      <c r="Q38" s="56">
        <f t="shared" si="3"/>
        <v>0</v>
      </c>
      <c r="R38" s="58"/>
      <c r="S38" s="54"/>
      <c r="T38" s="54"/>
      <c r="U38" s="56">
        <f t="shared" si="4"/>
        <v>0</v>
      </c>
      <c r="V38" s="58"/>
      <c r="W38" s="54"/>
      <c r="X38" s="54"/>
      <c r="Y38" s="56">
        <f t="shared" si="5"/>
        <v>0</v>
      </c>
    </row>
    <row r="39" spans="1:25">
      <c r="A39" s="77"/>
      <c r="B39" s="58"/>
      <c r="C39" s="54"/>
      <c r="D39" s="54"/>
      <c r="E39" s="62"/>
      <c r="F39" s="58"/>
      <c r="G39" s="54"/>
      <c r="H39" s="54"/>
      <c r="I39" s="56">
        <f>SUM(G39:H39)</f>
        <v>0</v>
      </c>
      <c r="J39" s="58"/>
      <c r="K39" s="54"/>
      <c r="L39" s="54"/>
      <c r="M39" s="56">
        <f t="shared" si="2"/>
        <v>0</v>
      </c>
      <c r="N39" s="58"/>
      <c r="O39" s="56"/>
      <c r="P39" s="54"/>
      <c r="Q39" s="56">
        <f t="shared" si="3"/>
        <v>0</v>
      </c>
      <c r="R39" s="58"/>
      <c r="S39" s="54"/>
      <c r="T39" s="54"/>
      <c r="U39" s="56">
        <f t="shared" si="4"/>
        <v>0</v>
      </c>
      <c r="V39" s="58"/>
      <c r="W39" s="54"/>
      <c r="X39" s="54"/>
      <c r="Y39" s="56">
        <f t="shared" si="5"/>
        <v>0</v>
      </c>
    </row>
    <row r="40" spans="1:25" s="39" customFormat="1">
      <c r="A40" s="487" t="s">
        <v>111</v>
      </c>
      <c r="B40" s="510"/>
      <c r="C40" s="491">
        <f>SUM(C35:C39)</f>
        <v>0</v>
      </c>
      <c r="D40" s="491">
        <f>SUM(D36:D39)</f>
        <v>0</v>
      </c>
      <c r="E40" s="491">
        <f>SUM(E36:E39)</f>
        <v>0</v>
      </c>
      <c r="F40" s="491"/>
      <c r="G40" s="56">
        <f>SUM(G35:G39)</f>
        <v>0</v>
      </c>
      <c r="H40" s="56">
        <f>SUM(H35:H39)</f>
        <v>0</v>
      </c>
      <c r="I40" s="56">
        <f>SUM(I35:I39)</f>
        <v>0</v>
      </c>
      <c r="J40" s="491"/>
      <c r="K40" s="56">
        <f>(K35+K39)</f>
        <v>0</v>
      </c>
      <c r="L40" s="56">
        <f>(L35+L39)</f>
        <v>0</v>
      </c>
      <c r="M40" s="56">
        <f t="shared" si="2"/>
        <v>0</v>
      </c>
      <c r="N40" s="491"/>
      <c r="O40" s="56"/>
      <c r="P40" s="56"/>
      <c r="Q40" s="56">
        <f t="shared" si="3"/>
        <v>0</v>
      </c>
      <c r="R40" s="491"/>
      <c r="S40" s="56"/>
      <c r="T40" s="56"/>
      <c r="U40" s="56">
        <f t="shared" si="4"/>
        <v>0</v>
      </c>
      <c r="V40" s="491"/>
      <c r="W40" s="56"/>
      <c r="X40" s="56"/>
      <c r="Y40" s="56">
        <f t="shared" si="5"/>
        <v>0</v>
      </c>
    </row>
    <row r="41" spans="1:25" ht="4.5" customHeight="1">
      <c r="A41" s="487"/>
      <c r="B41" s="491"/>
      <c r="C41" s="58"/>
      <c r="D41" s="58"/>
      <c r="E41" s="56"/>
      <c r="F41" s="491"/>
      <c r="G41" s="58"/>
      <c r="H41" s="58"/>
      <c r="I41" s="56"/>
      <c r="J41" s="491"/>
      <c r="K41" s="58"/>
      <c r="L41" s="58"/>
      <c r="M41" s="56"/>
      <c r="N41" s="491"/>
      <c r="O41" s="58"/>
      <c r="P41" s="58"/>
      <c r="Q41" s="56"/>
      <c r="R41" s="491"/>
      <c r="S41" s="58"/>
      <c r="T41" s="58"/>
      <c r="U41" s="56"/>
      <c r="V41" s="491"/>
      <c r="W41" s="58"/>
      <c r="X41" s="58"/>
      <c r="Y41" s="56"/>
    </row>
    <row r="42" spans="1:25" ht="17.25" customHeight="1">
      <c r="A42" s="487" t="s">
        <v>108</v>
      </c>
      <c r="B42" s="491"/>
      <c r="C42" s="491">
        <f>C33+C40</f>
        <v>0</v>
      </c>
      <c r="D42" s="491">
        <f>D33+D40</f>
        <v>0</v>
      </c>
      <c r="E42" s="491">
        <f>E33+E40</f>
        <v>0</v>
      </c>
      <c r="F42" s="491"/>
      <c r="G42" s="56">
        <f>G33+G40</f>
        <v>0</v>
      </c>
      <c r="H42" s="56">
        <f>H33+H40</f>
        <v>0</v>
      </c>
      <c r="I42" s="56">
        <f>I33+I40</f>
        <v>0</v>
      </c>
      <c r="J42" s="491"/>
      <c r="K42" s="56">
        <f>(K33+K40)</f>
        <v>0</v>
      </c>
      <c r="L42" s="56">
        <f>(L33+L40)</f>
        <v>0</v>
      </c>
      <c r="M42" s="56">
        <f>(M33+M40)</f>
        <v>0</v>
      </c>
      <c r="N42" s="56">
        <f>N33+N40</f>
        <v>0</v>
      </c>
      <c r="O42" s="56">
        <f>O33+O40</f>
        <v>0</v>
      </c>
      <c r="P42" s="56">
        <f>(P33+P40)</f>
        <v>0</v>
      </c>
      <c r="Q42" s="56">
        <f>(Q33+Q40)</f>
        <v>0</v>
      </c>
      <c r="R42" s="56">
        <f t="shared" ref="R42:Y42" si="6">SUM(R33:R40)</f>
        <v>0</v>
      </c>
      <c r="S42" s="56">
        <f t="shared" si="6"/>
        <v>0</v>
      </c>
      <c r="T42" s="56">
        <f t="shared" si="6"/>
        <v>0</v>
      </c>
      <c r="U42" s="56">
        <f t="shared" si="6"/>
        <v>0</v>
      </c>
      <c r="V42" s="56">
        <f t="shared" si="6"/>
        <v>0</v>
      </c>
      <c r="W42" s="56">
        <f t="shared" si="6"/>
        <v>0</v>
      </c>
      <c r="X42" s="56">
        <f t="shared" si="6"/>
        <v>0</v>
      </c>
      <c r="Y42" s="56">
        <f t="shared" si="6"/>
        <v>0</v>
      </c>
    </row>
    <row r="43" spans="1:25" ht="17.25" customHeight="1">
      <c r="A43" s="495"/>
      <c r="B43" s="500"/>
      <c r="C43" s="499"/>
      <c r="D43" s="499"/>
      <c r="E43" s="500"/>
      <c r="F43" s="500"/>
      <c r="G43" s="499"/>
      <c r="H43" s="499"/>
      <c r="I43" s="500"/>
      <c r="J43" s="500"/>
      <c r="K43" s="499"/>
      <c r="L43" s="499"/>
      <c r="M43" s="500"/>
      <c r="N43" s="500"/>
      <c r="O43" s="499"/>
      <c r="P43" s="499"/>
      <c r="Q43" s="500"/>
      <c r="R43" s="500"/>
      <c r="S43" s="499"/>
      <c r="T43" s="499"/>
      <c r="U43" s="500"/>
      <c r="V43" s="500"/>
      <c r="W43" s="499"/>
      <c r="X43" s="499"/>
      <c r="Y43" s="500"/>
    </row>
    <row r="44" spans="1:25">
      <c r="A44" s="324" t="s">
        <v>114</v>
      </c>
      <c r="B44" s="511"/>
      <c r="C44" s="505"/>
      <c r="D44" s="505"/>
      <c r="E44" s="512"/>
      <c r="F44" s="506"/>
      <c r="G44" s="505"/>
      <c r="H44" s="505"/>
      <c r="I44" s="506"/>
      <c r="J44" s="506"/>
      <c r="K44" s="505"/>
      <c r="L44" s="505"/>
      <c r="M44" s="506"/>
      <c r="N44" s="506"/>
      <c r="O44" s="505"/>
      <c r="P44" s="505"/>
      <c r="Q44" s="506"/>
      <c r="R44" s="506"/>
      <c r="S44" s="505"/>
      <c r="T44" s="505"/>
      <c r="U44" s="506"/>
      <c r="V44" s="506"/>
      <c r="W44" s="505"/>
      <c r="X44" s="505"/>
      <c r="Y44" s="507"/>
    </row>
    <row r="45" spans="1:25">
      <c r="A45" s="78" t="s">
        <v>115</v>
      </c>
      <c r="B45" s="58"/>
      <c r="C45" s="63"/>
      <c r="D45" s="63"/>
      <c r="E45" s="62"/>
      <c r="F45" s="52"/>
      <c r="G45" s="63"/>
      <c r="H45" s="63"/>
      <c r="I45" s="62"/>
      <c r="J45" s="52"/>
      <c r="K45" s="63"/>
      <c r="L45" s="63"/>
      <c r="M45" s="62"/>
      <c r="N45" s="52"/>
      <c r="O45" s="63"/>
      <c r="P45" s="63"/>
      <c r="Q45" s="62"/>
      <c r="R45" s="52"/>
      <c r="S45" s="63"/>
      <c r="T45" s="63"/>
      <c r="U45" s="62"/>
      <c r="V45" s="52"/>
      <c r="W45" s="63"/>
      <c r="X45" s="63"/>
      <c r="Y45" s="62"/>
    </row>
    <row r="46" spans="1:25">
      <c r="A46" s="77"/>
      <c r="B46" s="58"/>
      <c r="C46" s="54"/>
      <c r="D46" s="54"/>
      <c r="E46" s="62"/>
      <c r="F46" s="58"/>
      <c r="G46" s="54"/>
      <c r="H46" s="54"/>
      <c r="I46" s="62"/>
      <c r="J46" s="58"/>
      <c r="K46" s="54"/>
      <c r="L46" s="54"/>
      <c r="M46" s="62"/>
      <c r="N46" s="58"/>
      <c r="O46" s="54"/>
      <c r="P46" s="54"/>
      <c r="Q46" s="62"/>
      <c r="R46" s="58"/>
      <c r="S46" s="54"/>
      <c r="T46" s="54"/>
      <c r="U46" s="62"/>
      <c r="V46" s="58"/>
      <c r="W46" s="54"/>
      <c r="X46" s="54"/>
      <c r="Y46" s="62"/>
    </row>
    <row r="47" spans="1:25" s="39" customFormat="1">
      <c r="A47" s="79" t="s">
        <v>111</v>
      </c>
      <c r="B47" s="491">
        <f>SUM(B45:B46)</f>
        <v>0</v>
      </c>
      <c r="C47" s="491"/>
      <c r="D47" s="491"/>
      <c r="E47" s="491"/>
      <c r="F47" s="491">
        <f>SUM(F45:F46)</f>
        <v>0</v>
      </c>
      <c r="G47" s="491"/>
      <c r="H47" s="491"/>
      <c r="I47" s="491">
        <f>SUM(I45:I46)</f>
        <v>0</v>
      </c>
      <c r="J47" s="491"/>
      <c r="K47" s="491"/>
      <c r="L47" s="491"/>
      <c r="M47" s="491">
        <f>SUM(M45:M46)</f>
        <v>0</v>
      </c>
      <c r="N47" s="491"/>
      <c r="O47" s="491"/>
      <c r="P47" s="491"/>
      <c r="Q47" s="491">
        <f>SUM(Q45:Q46)</f>
        <v>0</v>
      </c>
      <c r="R47" s="491"/>
      <c r="S47" s="491"/>
      <c r="T47" s="491"/>
      <c r="U47" s="491">
        <f>SUM(U45:U46)</f>
        <v>0</v>
      </c>
      <c r="V47" s="491"/>
      <c r="W47" s="491"/>
      <c r="X47" s="491"/>
      <c r="Y47" s="491"/>
    </row>
    <row r="48" spans="1:25" ht="4.5" customHeight="1">
      <c r="A48" s="487"/>
      <c r="B48" s="58"/>
      <c r="C48" s="58"/>
      <c r="D48" s="58"/>
      <c r="E48" s="56"/>
      <c r="F48" s="58"/>
      <c r="G48" s="58"/>
      <c r="H48" s="58"/>
      <c r="I48" s="56"/>
      <c r="J48" s="58"/>
      <c r="K48" s="58"/>
      <c r="L48" s="58"/>
      <c r="M48" s="56"/>
      <c r="N48" s="58"/>
      <c r="O48" s="58"/>
      <c r="P48" s="58"/>
      <c r="Q48" s="56"/>
      <c r="R48" s="58"/>
      <c r="S48" s="58"/>
      <c r="T48" s="58"/>
      <c r="U48" s="56"/>
      <c r="V48" s="58"/>
      <c r="W48" s="58"/>
      <c r="X48" s="58"/>
      <c r="Y48" s="56"/>
    </row>
    <row r="49" spans="1:25" s="42" customFormat="1">
      <c r="A49" s="487" t="s">
        <v>116</v>
      </c>
      <c r="B49" s="513">
        <f>B47</f>
        <v>0</v>
      </c>
      <c r="C49" s="513"/>
      <c r="D49" s="513"/>
      <c r="E49" s="513"/>
      <c r="F49" s="513">
        <f>F47</f>
        <v>0</v>
      </c>
      <c r="G49" s="513"/>
      <c r="H49" s="513"/>
      <c r="I49" s="513">
        <f>I47</f>
        <v>0</v>
      </c>
      <c r="J49" s="513"/>
      <c r="K49" s="513"/>
      <c r="L49" s="513"/>
      <c r="M49" s="513">
        <f>M47</f>
        <v>0</v>
      </c>
      <c r="N49" s="513"/>
      <c r="O49" s="513"/>
      <c r="P49" s="513"/>
      <c r="Q49" s="513">
        <f>Q47</f>
        <v>0</v>
      </c>
      <c r="R49" s="513"/>
      <c r="S49" s="513"/>
      <c r="T49" s="513"/>
      <c r="U49" s="513">
        <f>U47</f>
        <v>0</v>
      </c>
      <c r="V49" s="513"/>
      <c r="W49" s="513"/>
      <c r="X49" s="513"/>
      <c r="Y49" s="513"/>
    </row>
    <row r="50" spans="1:25" s="47" customFormat="1">
      <c r="A50" s="39"/>
      <c r="B50" s="43"/>
      <c r="C50" s="43"/>
      <c r="D50" s="43"/>
      <c r="E50" s="44"/>
      <c r="F50" s="42"/>
      <c r="G50" s="45"/>
      <c r="H50" s="46"/>
      <c r="I50" s="42"/>
      <c r="J50" s="42"/>
      <c r="K50" s="45"/>
      <c r="L50" s="46"/>
      <c r="M50" s="42"/>
      <c r="N50" s="42"/>
      <c r="O50" s="45"/>
      <c r="P50" s="46"/>
      <c r="Q50" s="42"/>
      <c r="R50" s="42"/>
      <c r="S50" s="45"/>
      <c r="T50" s="46"/>
      <c r="U50" s="42"/>
      <c r="V50" s="42"/>
      <c r="W50" s="45"/>
      <c r="X50" s="46"/>
      <c r="Y50" s="42"/>
    </row>
    <row r="51" spans="1:25">
      <c r="A51" s="39" t="s">
        <v>67</v>
      </c>
      <c r="B51" s="39"/>
      <c r="C51" s="41" t="s">
        <v>123</v>
      </c>
      <c r="D51" s="41"/>
      <c r="E51" s="41"/>
      <c r="F51" s="39"/>
      <c r="G51" s="41"/>
      <c r="H51" s="41"/>
      <c r="I51" s="39"/>
      <c r="J51" s="39"/>
      <c r="K51" s="41"/>
      <c r="L51" s="41"/>
      <c r="M51" s="39"/>
      <c r="N51" s="39"/>
      <c r="O51" s="41"/>
      <c r="P51" s="41"/>
      <c r="Q51" s="39"/>
      <c r="R51" s="39"/>
      <c r="S51" s="41"/>
      <c r="T51" s="41"/>
      <c r="V51" s="39"/>
      <c r="W51" s="41"/>
      <c r="X51" s="41"/>
      <c r="Y51" s="39"/>
    </row>
    <row r="52" spans="1:25">
      <c r="W52" s="41"/>
      <c r="X52" s="41"/>
    </row>
    <row r="53" spans="1:25">
      <c r="A53" s="39" t="s">
        <v>124</v>
      </c>
      <c r="B53" s="39" t="s">
        <v>125</v>
      </c>
      <c r="D53" s="41"/>
      <c r="G53" s="41"/>
      <c r="I53" s="39"/>
      <c r="K53" s="41"/>
      <c r="M53" s="39"/>
      <c r="O53" s="41"/>
      <c r="P53" s="41"/>
      <c r="S53" s="41"/>
      <c r="T53" s="41"/>
      <c r="W53" s="41"/>
      <c r="X53" s="41"/>
    </row>
    <row r="54" spans="1:25">
      <c r="A54" s="39" t="s">
        <v>126</v>
      </c>
      <c r="B54" s="39" t="s">
        <v>127</v>
      </c>
      <c r="D54" s="41"/>
      <c r="G54" s="41"/>
      <c r="I54" s="39"/>
      <c r="K54" s="41"/>
      <c r="M54" s="39"/>
      <c r="O54" s="41"/>
      <c r="P54" s="41"/>
      <c r="S54" s="41"/>
      <c r="T54" s="41"/>
    </row>
    <row r="55" spans="1:25">
      <c r="A55" s="39" t="s">
        <v>128</v>
      </c>
      <c r="B55" s="39" t="s">
        <v>129</v>
      </c>
      <c r="D55" s="41"/>
      <c r="G55" s="41"/>
      <c r="I55" s="39"/>
      <c r="K55" s="41"/>
      <c r="M55" s="39"/>
      <c r="U55" s="48"/>
      <c r="V55" s="48"/>
      <c r="Y55" s="48"/>
    </row>
    <row r="56" spans="1:25">
      <c r="A56" s="39" t="s">
        <v>130</v>
      </c>
      <c r="B56" s="39" t="s">
        <v>131</v>
      </c>
      <c r="D56" s="41"/>
      <c r="F56" s="48"/>
      <c r="I56" s="48"/>
      <c r="J56" s="48"/>
      <c r="M56" s="48"/>
      <c r="N56" s="48"/>
      <c r="Q56" s="48"/>
      <c r="R56" s="48"/>
      <c r="W56" s="41"/>
      <c r="X56" s="41"/>
    </row>
    <row r="57" spans="1:25">
      <c r="A57" s="39"/>
      <c r="B57" s="39"/>
      <c r="D57" s="41"/>
      <c r="G57" s="41"/>
      <c r="I57" s="39"/>
      <c r="K57" s="41"/>
      <c r="M57" s="39"/>
      <c r="O57" s="41"/>
      <c r="P57" s="41"/>
      <c r="S57" s="41"/>
      <c r="T57" s="41"/>
      <c r="U57" s="48"/>
      <c r="V57" s="48"/>
      <c r="Y57" s="48"/>
    </row>
    <row r="58" spans="1:25">
      <c r="A58" s="48"/>
      <c r="B58" s="48"/>
      <c r="F58" s="48"/>
      <c r="I58" s="48"/>
      <c r="J58" s="48"/>
      <c r="M58" s="48"/>
      <c r="N58" s="48"/>
      <c r="Q58" s="48"/>
      <c r="R58" s="48"/>
      <c r="U58" s="48"/>
      <c r="V58" s="48"/>
      <c r="Y58" s="48"/>
    </row>
    <row r="59" spans="1:25">
      <c r="A59" s="48"/>
      <c r="B59" s="48"/>
      <c r="F59" s="48"/>
      <c r="I59" s="48"/>
      <c r="J59" s="48"/>
      <c r="M59" s="48"/>
      <c r="N59" s="48"/>
      <c r="Q59" s="48"/>
      <c r="R59" s="48"/>
      <c r="U59" s="48"/>
      <c r="V59" s="48"/>
      <c r="Y59" s="48"/>
    </row>
    <row r="60" spans="1:25">
      <c r="A60" s="48"/>
      <c r="B60" s="48"/>
      <c r="F60" s="48"/>
      <c r="I60" s="48"/>
      <c r="J60" s="48"/>
      <c r="M60" s="48"/>
      <c r="N60" s="48"/>
      <c r="Q60" s="48"/>
      <c r="R60" s="48"/>
      <c r="U60" s="48"/>
      <c r="V60" s="48"/>
      <c r="Y60" s="48"/>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G104"/>
  <sheetViews>
    <sheetView zoomScaleNormal="100" zoomScaleSheetLayoutView="90" workbookViewId="0">
      <selection activeCell="A95" sqref="A95"/>
    </sheetView>
  </sheetViews>
  <sheetFormatPr defaultColWidth="9.28515625" defaultRowHeight="14.25" customHeight="1"/>
  <cols>
    <col min="1" max="1" width="56.7109375" style="263" customWidth="1"/>
    <col min="2" max="2" width="30" style="172" customWidth="1"/>
    <col min="3" max="3" width="15.7109375" style="264" customWidth="1"/>
    <col min="4" max="4" width="27" style="263" bestFit="1" customWidth="1"/>
    <col min="5" max="5" width="15.7109375" style="263" customWidth="1"/>
    <col min="6" max="6" width="22" style="263" customWidth="1"/>
    <col min="7" max="7" width="37" style="263" customWidth="1"/>
    <col min="8" max="16384" width="9.28515625" style="143"/>
  </cols>
  <sheetData>
    <row r="2" spans="1:7" ht="12.75">
      <c r="C2" s="173" t="s">
        <v>39</v>
      </c>
    </row>
    <row r="3" spans="1:7" ht="12.75">
      <c r="C3" s="173" t="s">
        <v>132</v>
      </c>
    </row>
    <row r="4" spans="1:7" ht="12.75">
      <c r="C4" s="558" t="str">
        <f>'Program MW '!H3</f>
        <v>December  2021</v>
      </c>
    </row>
    <row r="5" spans="1:7" ht="12.75">
      <c r="C5" s="173"/>
    </row>
    <row r="7" spans="1:7" ht="15.75">
      <c r="A7" s="696" t="s">
        <v>133</v>
      </c>
      <c r="B7" s="697"/>
      <c r="C7" s="697"/>
      <c r="D7" s="697"/>
      <c r="E7" s="697"/>
      <c r="F7" s="697"/>
      <c r="G7" s="698"/>
    </row>
    <row r="8" spans="1:7" ht="27">
      <c r="A8" s="559" t="s">
        <v>134</v>
      </c>
      <c r="B8" s="559" t="s">
        <v>135</v>
      </c>
      <c r="C8" s="560" t="s">
        <v>136</v>
      </c>
      <c r="D8" s="559" t="s">
        <v>137</v>
      </c>
      <c r="E8" s="561" t="s">
        <v>343</v>
      </c>
      <c r="F8" s="561" t="s">
        <v>138</v>
      </c>
      <c r="G8" s="561" t="s">
        <v>344</v>
      </c>
    </row>
    <row r="9" spans="1:7" ht="14.25" customHeight="1">
      <c r="A9" s="562" t="s">
        <v>139</v>
      </c>
      <c r="B9" s="563">
        <v>1</v>
      </c>
      <c r="C9" s="564">
        <v>44364</v>
      </c>
      <c r="D9" s="565" t="s">
        <v>140</v>
      </c>
      <c r="E9" s="566">
        <v>2.1801377999999998</v>
      </c>
      <c r="F9" s="567" t="s">
        <v>141</v>
      </c>
      <c r="G9" s="568">
        <v>3</v>
      </c>
    </row>
    <row r="10" spans="1:7" ht="14.25" customHeight="1">
      <c r="A10" s="562" t="s">
        <v>112</v>
      </c>
      <c r="B10" s="563">
        <v>2</v>
      </c>
      <c r="C10" s="564">
        <v>44364</v>
      </c>
      <c r="D10" s="565" t="s">
        <v>142</v>
      </c>
      <c r="E10" s="566">
        <v>0.26278600531131435</v>
      </c>
      <c r="F10" s="567" t="s">
        <v>143</v>
      </c>
      <c r="G10" s="568">
        <v>2</v>
      </c>
    </row>
    <row r="11" spans="1:7" ht="14.25" customHeight="1">
      <c r="A11" s="562" t="s">
        <v>144</v>
      </c>
      <c r="B11" s="563">
        <v>3</v>
      </c>
      <c r="C11" s="564">
        <v>44362</v>
      </c>
      <c r="D11" s="565" t="s">
        <v>145</v>
      </c>
      <c r="E11" s="566">
        <v>0.69502343333333327</v>
      </c>
      <c r="F11" s="567" t="s">
        <v>146</v>
      </c>
      <c r="G11" s="568">
        <v>3</v>
      </c>
    </row>
    <row r="12" spans="1:7" ht="14.25" customHeight="1">
      <c r="A12" s="562" t="s">
        <v>147</v>
      </c>
      <c r="B12" s="563">
        <v>4</v>
      </c>
      <c r="C12" s="564">
        <v>44362</v>
      </c>
      <c r="D12" s="565" t="s">
        <v>145</v>
      </c>
      <c r="E12" s="566">
        <v>0.62630815000000006</v>
      </c>
      <c r="F12" s="567" t="s">
        <v>143</v>
      </c>
      <c r="G12" s="568">
        <v>2</v>
      </c>
    </row>
    <row r="13" spans="1:7" ht="14.25" customHeight="1">
      <c r="A13" s="562" t="s">
        <v>148</v>
      </c>
      <c r="B13" s="563">
        <v>5</v>
      </c>
      <c r="C13" s="564">
        <v>44362</v>
      </c>
      <c r="D13" s="565" t="s">
        <v>149</v>
      </c>
      <c r="E13" s="566">
        <v>3.0679685000000001</v>
      </c>
      <c r="F13" s="567" t="s">
        <v>143</v>
      </c>
      <c r="G13" s="568">
        <v>2</v>
      </c>
    </row>
    <row r="14" spans="1:7" ht="18" customHeight="1">
      <c r="A14" s="562" t="s">
        <v>144</v>
      </c>
      <c r="B14" s="563">
        <v>6</v>
      </c>
      <c r="C14" s="564">
        <v>44363</v>
      </c>
      <c r="D14" s="565" t="s">
        <v>145</v>
      </c>
      <c r="E14" s="566">
        <v>0.78972344999999999</v>
      </c>
      <c r="F14" s="567" t="s">
        <v>150</v>
      </c>
      <c r="G14" s="568">
        <v>5</v>
      </c>
    </row>
    <row r="15" spans="1:7" ht="18.75" customHeight="1">
      <c r="A15" s="562" t="s">
        <v>147</v>
      </c>
      <c r="B15" s="563">
        <v>7</v>
      </c>
      <c r="C15" s="564">
        <v>44363</v>
      </c>
      <c r="D15" s="565" t="s">
        <v>145</v>
      </c>
      <c r="E15" s="566">
        <v>0.51411545000000003</v>
      </c>
      <c r="F15" s="567" t="s">
        <v>143</v>
      </c>
      <c r="G15" s="568">
        <v>4</v>
      </c>
    </row>
    <row r="16" spans="1:7" ht="14.25" customHeight="1">
      <c r="A16" s="562" t="s">
        <v>148</v>
      </c>
      <c r="B16" s="563">
        <v>8</v>
      </c>
      <c r="C16" s="564">
        <v>44363</v>
      </c>
      <c r="D16" s="565" t="s">
        <v>149</v>
      </c>
      <c r="E16" s="566">
        <v>2.6918065000000002</v>
      </c>
      <c r="F16" s="567" t="s">
        <v>143</v>
      </c>
      <c r="G16" s="568">
        <v>4</v>
      </c>
    </row>
    <row r="17" spans="1:7" ht="14.25" customHeight="1">
      <c r="A17" s="562" t="s">
        <v>144</v>
      </c>
      <c r="B17" s="563">
        <v>9</v>
      </c>
      <c r="C17" s="564">
        <v>44364</v>
      </c>
      <c r="D17" s="565" t="s">
        <v>145</v>
      </c>
      <c r="E17" s="566">
        <v>0.85352819999999996</v>
      </c>
      <c r="F17" s="567" t="s">
        <v>150</v>
      </c>
      <c r="G17" s="568">
        <v>7</v>
      </c>
    </row>
    <row r="18" spans="1:7" ht="14.25" customHeight="1">
      <c r="A18" s="562" t="s">
        <v>147</v>
      </c>
      <c r="B18" s="563">
        <v>10</v>
      </c>
      <c r="C18" s="564">
        <v>44364</v>
      </c>
      <c r="D18" s="565" t="s">
        <v>145</v>
      </c>
      <c r="E18" s="566">
        <v>0.49246373333333332</v>
      </c>
      <c r="F18" s="567" t="s">
        <v>141</v>
      </c>
      <c r="G18" s="568">
        <v>7</v>
      </c>
    </row>
    <row r="19" spans="1:7" ht="14.25" customHeight="1">
      <c r="A19" s="562" t="s">
        <v>148</v>
      </c>
      <c r="B19" s="563">
        <v>11</v>
      </c>
      <c r="C19" s="564">
        <v>44364</v>
      </c>
      <c r="D19" s="565" t="s">
        <v>149</v>
      </c>
      <c r="E19" s="566">
        <v>2.6815739999999999</v>
      </c>
      <c r="F19" s="567" t="s">
        <v>141</v>
      </c>
      <c r="G19" s="568">
        <v>7</v>
      </c>
    </row>
    <row r="20" spans="1:7" ht="14.25" customHeight="1">
      <c r="A20" s="562" t="s">
        <v>151</v>
      </c>
      <c r="B20" s="563">
        <v>12</v>
      </c>
      <c r="C20" s="564">
        <v>44362</v>
      </c>
      <c r="D20" s="565" t="s">
        <v>140</v>
      </c>
      <c r="E20" s="566">
        <v>0.73429339999999999</v>
      </c>
      <c r="F20" s="567" t="s">
        <v>143</v>
      </c>
      <c r="G20" s="568">
        <v>2</v>
      </c>
    </row>
    <row r="21" spans="1:7" ht="14.25" customHeight="1">
      <c r="A21" s="562" t="s">
        <v>152</v>
      </c>
      <c r="B21" s="563">
        <v>13</v>
      </c>
      <c r="C21" s="564">
        <v>44362</v>
      </c>
      <c r="D21" s="565" t="s">
        <v>140</v>
      </c>
      <c r="E21" s="566">
        <v>-0.32388844999999999</v>
      </c>
      <c r="F21" s="567" t="s">
        <v>143</v>
      </c>
      <c r="G21" s="568">
        <v>2</v>
      </c>
    </row>
    <row r="22" spans="1:7" ht="14.25" customHeight="1">
      <c r="A22" s="562" t="s">
        <v>151</v>
      </c>
      <c r="B22" s="563">
        <v>14</v>
      </c>
      <c r="C22" s="564">
        <v>44363</v>
      </c>
      <c r="D22" s="565" t="s">
        <v>140</v>
      </c>
      <c r="E22" s="566">
        <v>0.34984634999999997</v>
      </c>
      <c r="F22" s="567" t="s">
        <v>143</v>
      </c>
      <c r="G22" s="568">
        <v>4</v>
      </c>
    </row>
    <row r="23" spans="1:7" ht="14.25" customHeight="1">
      <c r="A23" s="562" t="s">
        <v>152</v>
      </c>
      <c r="B23" s="563">
        <v>15</v>
      </c>
      <c r="C23" s="564">
        <v>44363</v>
      </c>
      <c r="D23" s="565" t="s">
        <v>140</v>
      </c>
      <c r="E23" s="566">
        <v>0.85613500000000009</v>
      </c>
      <c r="F23" s="567" t="s">
        <v>143</v>
      </c>
      <c r="G23" s="568">
        <v>4</v>
      </c>
    </row>
    <row r="24" spans="1:7" ht="14.25" customHeight="1">
      <c r="A24" s="562" t="s">
        <v>151</v>
      </c>
      <c r="B24" s="563">
        <v>16</v>
      </c>
      <c r="C24" s="564">
        <v>44364</v>
      </c>
      <c r="D24" s="565" t="s">
        <v>140</v>
      </c>
      <c r="E24" s="566">
        <v>1.1166212333333334</v>
      </c>
      <c r="F24" s="567" t="s">
        <v>141</v>
      </c>
      <c r="G24" s="568">
        <v>7</v>
      </c>
    </row>
    <row r="25" spans="1:7" ht="14.25" customHeight="1">
      <c r="A25" s="562" t="s">
        <v>152</v>
      </c>
      <c r="B25" s="563">
        <v>17</v>
      </c>
      <c r="C25" s="564">
        <v>44364</v>
      </c>
      <c r="D25" s="565" t="s">
        <v>140</v>
      </c>
      <c r="E25" s="566">
        <v>1.0483366333333333</v>
      </c>
      <c r="F25" s="567" t="s">
        <v>141</v>
      </c>
      <c r="G25" s="568">
        <v>7</v>
      </c>
    </row>
    <row r="26" spans="1:7" ht="14.25" customHeight="1">
      <c r="A26" s="562" t="s">
        <v>144</v>
      </c>
      <c r="B26" s="563">
        <v>18</v>
      </c>
      <c r="C26" s="564">
        <v>44375</v>
      </c>
      <c r="D26" s="565" t="s">
        <v>145</v>
      </c>
      <c r="E26" s="566">
        <v>0.79716555</v>
      </c>
      <c r="F26" s="567" t="s">
        <v>153</v>
      </c>
      <c r="G26" s="568">
        <v>11</v>
      </c>
    </row>
    <row r="27" spans="1:7" ht="14.25" customHeight="1">
      <c r="A27" s="562" t="s">
        <v>147</v>
      </c>
      <c r="B27" s="563">
        <v>19</v>
      </c>
      <c r="C27" s="564">
        <v>44375</v>
      </c>
      <c r="D27" s="565" t="s">
        <v>145</v>
      </c>
      <c r="E27" s="566">
        <v>0.27668389999999998</v>
      </c>
      <c r="F27" s="567" t="s">
        <v>154</v>
      </c>
      <c r="G27" s="568">
        <v>11</v>
      </c>
    </row>
    <row r="28" spans="1:7" ht="14.25" customHeight="1">
      <c r="A28" s="562" t="s">
        <v>148</v>
      </c>
      <c r="B28" s="563">
        <v>20</v>
      </c>
      <c r="C28" s="564">
        <v>44375</v>
      </c>
      <c r="D28" s="565" t="s">
        <v>149</v>
      </c>
      <c r="E28" s="566">
        <v>2.7157193333333329</v>
      </c>
      <c r="F28" s="567" t="s">
        <v>141</v>
      </c>
      <c r="G28" s="568">
        <v>10</v>
      </c>
    </row>
    <row r="29" spans="1:7" ht="14.25" customHeight="1">
      <c r="A29" s="562" t="s">
        <v>144</v>
      </c>
      <c r="B29" s="563">
        <v>21</v>
      </c>
      <c r="C29" s="564">
        <v>44376</v>
      </c>
      <c r="D29" s="565" t="s">
        <v>145</v>
      </c>
      <c r="E29" s="566">
        <v>0.2094193</v>
      </c>
      <c r="F29" s="567" t="s">
        <v>153</v>
      </c>
      <c r="G29" s="568">
        <v>15</v>
      </c>
    </row>
    <row r="30" spans="1:7" ht="14.25" customHeight="1">
      <c r="A30" s="562" t="s">
        <v>147</v>
      </c>
      <c r="B30" s="563">
        <v>22</v>
      </c>
      <c r="C30" s="564">
        <v>44376</v>
      </c>
      <c r="D30" s="565" t="s">
        <v>145</v>
      </c>
      <c r="E30" s="566">
        <v>0.36333464999999998</v>
      </c>
      <c r="F30" s="567" t="s">
        <v>154</v>
      </c>
      <c r="G30" s="568">
        <v>15</v>
      </c>
    </row>
    <row r="31" spans="1:7" ht="14.25" customHeight="1">
      <c r="A31" s="562" t="s">
        <v>148</v>
      </c>
      <c r="B31" s="563">
        <v>23</v>
      </c>
      <c r="C31" s="564">
        <v>44376</v>
      </c>
      <c r="D31" s="565" t="s">
        <v>149</v>
      </c>
      <c r="E31" s="566">
        <v>2.6900766666666667</v>
      </c>
      <c r="F31" s="567" t="s">
        <v>141</v>
      </c>
      <c r="G31" s="568">
        <v>13</v>
      </c>
    </row>
    <row r="32" spans="1:7" ht="14.25" customHeight="1">
      <c r="A32" s="562" t="s">
        <v>147</v>
      </c>
      <c r="B32" s="563">
        <v>24</v>
      </c>
      <c r="C32" s="564">
        <v>44377</v>
      </c>
      <c r="D32" s="565" t="s">
        <v>145</v>
      </c>
      <c r="E32" s="566">
        <v>0.42822079999999996</v>
      </c>
      <c r="F32" s="567" t="s">
        <v>155</v>
      </c>
      <c r="G32" s="568">
        <v>17</v>
      </c>
    </row>
    <row r="33" spans="1:7" ht="14.25" customHeight="1">
      <c r="A33" s="562" t="s">
        <v>144</v>
      </c>
      <c r="B33" s="563">
        <v>25</v>
      </c>
      <c r="C33" s="564">
        <v>44386</v>
      </c>
      <c r="D33" s="565" t="s">
        <v>145</v>
      </c>
      <c r="E33" s="566">
        <v>0.68832539999999998</v>
      </c>
      <c r="F33" s="567" t="s">
        <v>150</v>
      </c>
      <c r="G33" s="568">
        <v>17</v>
      </c>
    </row>
    <row r="34" spans="1:7" ht="14.25" customHeight="1">
      <c r="A34" s="562" t="s">
        <v>148</v>
      </c>
      <c r="B34" s="563">
        <v>26</v>
      </c>
      <c r="C34" s="564">
        <v>44386</v>
      </c>
      <c r="D34" s="565" t="s">
        <v>149</v>
      </c>
      <c r="E34" s="566">
        <v>2.5531534999999996</v>
      </c>
      <c r="F34" s="567" t="s">
        <v>143</v>
      </c>
      <c r="G34" s="568">
        <v>15</v>
      </c>
    </row>
    <row r="35" spans="1:7" ht="14.25" customHeight="1">
      <c r="A35" s="562" t="s">
        <v>144</v>
      </c>
      <c r="B35" s="563">
        <v>27</v>
      </c>
      <c r="C35" s="564">
        <v>44389</v>
      </c>
      <c r="D35" s="565" t="s">
        <v>145</v>
      </c>
      <c r="E35" s="566">
        <v>0.72287075000000001</v>
      </c>
      <c r="F35" s="567" t="s">
        <v>150</v>
      </c>
      <c r="G35" s="568">
        <v>19</v>
      </c>
    </row>
    <row r="36" spans="1:7" ht="14.25" customHeight="1">
      <c r="A36" s="562" t="s">
        <v>148</v>
      </c>
      <c r="B36" s="563">
        <v>28</v>
      </c>
      <c r="C36" s="564">
        <v>44389</v>
      </c>
      <c r="D36" s="565" t="s">
        <v>149</v>
      </c>
      <c r="E36" s="566">
        <v>2.5085666666666668</v>
      </c>
      <c r="F36" s="567" t="s">
        <v>141</v>
      </c>
      <c r="G36" s="568">
        <v>18</v>
      </c>
    </row>
    <row r="37" spans="1:7" ht="14.25" customHeight="1">
      <c r="A37" s="562" t="s">
        <v>139</v>
      </c>
      <c r="B37" s="563">
        <v>29</v>
      </c>
      <c r="C37" s="564">
        <v>44389</v>
      </c>
      <c r="D37" s="565" t="s">
        <v>140</v>
      </c>
      <c r="E37" s="566">
        <v>2.3349113999999993</v>
      </c>
      <c r="F37" s="567" t="s">
        <v>143</v>
      </c>
      <c r="G37" s="568">
        <v>5</v>
      </c>
    </row>
    <row r="38" spans="1:7" ht="14.25" customHeight="1">
      <c r="A38" s="562" t="s">
        <v>151</v>
      </c>
      <c r="B38" s="563">
        <v>30</v>
      </c>
      <c r="C38" s="564">
        <v>44389</v>
      </c>
      <c r="D38" s="565" t="s">
        <v>140</v>
      </c>
      <c r="E38" s="566">
        <v>0.65402595000000008</v>
      </c>
      <c r="F38" s="567" t="s">
        <v>143</v>
      </c>
      <c r="G38" s="568">
        <v>9</v>
      </c>
    </row>
    <row r="39" spans="1:7" ht="14.25" customHeight="1">
      <c r="A39" s="562" t="s">
        <v>152</v>
      </c>
      <c r="B39" s="563">
        <v>31</v>
      </c>
      <c r="C39" s="564">
        <v>44389</v>
      </c>
      <c r="D39" s="565" t="s">
        <v>140</v>
      </c>
      <c r="E39" s="566">
        <v>0.70323639999999998</v>
      </c>
      <c r="F39" s="567" t="s">
        <v>143</v>
      </c>
      <c r="G39" s="568">
        <v>9</v>
      </c>
    </row>
    <row r="40" spans="1:7" ht="14.25" customHeight="1">
      <c r="A40" s="562" t="s">
        <v>144</v>
      </c>
      <c r="B40" s="563">
        <v>32</v>
      </c>
      <c r="C40" s="564">
        <v>44396</v>
      </c>
      <c r="D40" s="565" t="s">
        <v>145</v>
      </c>
      <c r="E40" s="566">
        <v>0.73354839999999999</v>
      </c>
      <c r="F40" s="567" t="s">
        <v>150</v>
      </c>
      <c r="G40" s="568">
        <v>21</v>
      </c>
    </row>
    <row r="41" spans="1:7" ht="14.25" customHeight="1">
      <c r="A41" s="562" t="s">
        <v>148</v>
      </c>
      <c r="B41" s="563">
        <v>33</v>
      </c>
      <c r="C41" s="564">
        <v>44396</v>
      </c>
      <c r="D41" s="565" t="s">
        <v>149</v>
      </c>
      <c r="E41" s="566">
        <v>3.2947680000000004</v>
      </c>
      <c r="F41" s="567" t="s">
        <v>143</v>
      </c>
      <c r="G41" s="568">
        <v>20</v>
      </c>
    </row>
    <row r="42" spans="1:7" ht="14.25" customHeight="1">
      <c r="A42" s="562" t="s">
        <v>144</v>
      </c>
      <c r="B42" s="563">
        <v>34</v>
      </c>
      <c r="C42" s="564">
        <v>44405</v>
      </c>
      <c r="D42" s="565" t="s">
        <v>145</v>
      </c>
      <c r="E42" s="566">
        <v>0.84053200000000006</v>
      </c>
      <c r="F42" s="567" t="s">
        <v>150</v>
      </c>
      <c r="G42" s="568">
        <v>23</v>
      </c>
    </row>
    <row r="43" spans="1:7" ht="14.25" customHeight="1">
      <c r="A43" s="562" t="s">
        <v>148</v>
      </c>
      <c r="B43" s="563">
        <v>35</v>
      </c>
      <c r="C43" s="564">
        <v>44405</v>
      </c>
      <c r="D43" s="565" t="s">
        <v>149</v>
      </c>
      <c r="E43" s="566">
        <v>2.5504420000000003</v>
      </c>
      <c r="F43" s="567" t="s">
        <v>143</v>
      </c>
      <c r="G43" s="568">
        <v>22</v>
      </c>
    </row>
    <row r="44" spans="1:7" ht="14.25" customHeight="1">
      <c r="A44" s="562" t="s">
        <v>144</v>
      </c>
      <c r="B44" s="563">
        <v>36</v>
      </c>
      <c r="C44" s="564">
        <v>44406</v>
      </c>
      <c r="D44" s="565" t="s">
        <v>145</v>
      </c>
      <c r="E44" s="566">
        <v>0.77588670000000004</v>
      </c>
      <c r="F44" s="567" t="s">
        <v>150</v>
      </c>
      <c r="G44" s="568">
        <v>25</v>
      </c>
    </row>
    <row r="45" spans="1:7" ht="14.25" customHeight="1">
      <c r="A45" s="562" t="s">
        <v>148</v>
      </c>
      <c r="B45" s="563">
        <v>37</v>
      </c>
      <c r="C45" s="564">
        <v>44406</v>
      </c>
      <c r="D45" s="565" t="s">
        <v>149</v>
      </c>
      <c r="E45" s="566">
        <v>2.6163205</v>
      </c>
      <c r="F45" s="567" t="s">
        <v>143</v>
      </c>
      <c r="G45" s="568">
        <v>24</v>
      </c>
    </row>
    <row r="46" spans="1:7" ht="14.25" customHeight="1">
      <c r="A46" s="562" t="s">
        <v>151</v>
      </c>
      <c r="B46" s="563">
        <v>38</v>
      </c>
      <c r="C46" s="564">
        <v>44406</v>
      </c>
      <c r="D46" s="565" t="s">
        <v>140</v>
      </c>
      <c r="E46" s="566">
        <v>-0.24348183333333331</v>
      </c>
      <c r="F46" s="567" t="s">
        <v>141</v>
      </c>
      <c r="G46" s="568">
        <v>12</v>
      </c>
    </row>
    <row r="47" spans="1:7" ht="14.25" customHeight="1">
      <c r="A47" s="562" t="s">
        <v>152</v>
      </c>
      <c r="B47" s="563">
        <v>39</v>
      </c>
      <c r="C47" s="564">
        <v>44406</v>
      </c>
      <c r="D47" s="565" t="s">
        <v>140</v>
      </c>
      <c r="E47" s="566">
        <v>0.29244086666666669</v>
      </c>
      <c r="F47" s="567" t="s">
        <v>141</v>
      </c>
      <c r="G47" s="568">
        <v>12</v>
      </c>
    </row>
    <row r="48" spans="1:7" ht="14.25" customHeight="1">
      <c r="A48" s="562" t="s">
        <v>144</v>
      </c>
      <c r="B48" s="563">
        <v>40</v>
      </c>
      <c r="C48" s="564">
        <v>44407</v>
      </c>
      <c r="D48" s="565" t="s">
        <v>145</v>
      </c>
      <c r="E48" s="566">
        <v>0.76378650000000003</v>
      </c>
      <c r="F48" s="567" t="s">
        <v>153</v>
      </c>
      <c r="G48" s="568">
        <v>29</v>
      </c>
    </row>
    <row r="49" spans="1:7" ht="14.25" customHeight="1">
      <c r="A49" s="562" t="s">
        <v>148</v>
      </c>
      <c r="B49" s="563">
        <v>41</v>
      </c>
      <c r="C49" s="564">
        <v>44407</v>
      </c>
      <c r="D49" s="565" t="s">
        <v>149</v>
      </c>
      <c r="E49" s="566">
        <v>3.6944135</v>
      </c>
      <c r="F49" s="567" t="s">
        <v>154</v>
      </c>
      <c r="G49" s="568">
        <v>28</v>
      </c>
    </row>
    <row r="50" spans="1:7" ht="14.25" customHeight="1">
      <c r="A50" s="562" t="s">
        <v>139</v>
      </c>
      <c r="B50" s="563">
        <v>42</v>
      </c>
      <c r="C50" s="564">
        <v>44406</v>
      </c>
      <c r="D50" s="565" t="s">
        <v>140</v>
      </c>
      <c r="E50" s="566">
        <v>2.3803409999999992</v>
      </c>
      <c r="F50" s="567" t="s">
        <v>141</v>
      </c>
      <c r="G50" s="568">
        <v>8</v>
      </c>
    </row>
    <row r="51" spans="1:7" ht="14.25" customHeight="1">
      <c r="A51" s="562" t="s">
        <v>144</v>
      </c>
      <c r="B51" s="563">
        <v>43</v>
      </c>
      <c r="C51" s="564">
        <v>44434</v>
      </c>
      <c r="D51" s="565" t="s">
        <v>145</v>
      </c>
      <c r="E51" s="566">
        <v>0.53</v>
      </c>
      <c r="F51" s="567" t="s">
        <v>150</v>
      </c>
      <c r="G51" s="568">
        <v>31</v>
      </c>
    </row>
    <row r="52" spans="1:7" ht="14.25" customHeight="1">
      <c r="A52" s="562" t="s">
        <v>148</v>
      </c>
      <c r="B52" s="563">
        <v>44</v>
      </c>
      <c r="C52" s="564">
        <v>44434</v>
      </c>
      <c r="D52" s="565" t="s">
        <v>149</v>
      </c>
      <c r="E52" s="566">
        <v>2.5499999999999998</v>
      </c>
      <c r="F52" s="567" t="s">
        <v>143</v>
      </c>
      <c r="G52" s="568">
        <v>30</v>
      </c>
    </row>
    <row r="53" spans="1:7" ht="14.25" customHeight="1">
      <c r="A53" s="562" t="s">
        <v>156</v>
      </c>
      <c r="B53" s="563">
        <v>45</v>
      </c>
      <c r="C53" s="564">
        <v>44434</v>
      </c>
      <c r="D53" s="565" t="s">
        <v>149</v>
      </c>
      <c r="E53" s="566">
        <v>0.04</v>
      </c>
      <c r="F53" s="567" t="s">
        <v>150</v>
      </c>
      <c r="G53" s="568">
        <v>2</v>
      </c>
    </row>
    <row r="54" spans="1:7" ht="14.25" customHeight="1">
      <c r="A54" s="562" t="s">
        <v>144</v>
      </c>
      <c r="B54" s="563">
        <v>46</v>
      </c>
      <c r="C54" s="564">
        <v>44435</v>
      </c>
      <c r="D54" s="565" t="s">
        <v>145</v>
      </c>
      <c r="E54" s="566">
        <v>0.32</v>
      </c>
      <c r="F54" s="567" t="s">
        <v>153</v>
      </c>
      <c r="G54" s="568">
        <v>35</v>
      </c>
    </row>
    <row r="55" spans="1:7" ht="14.25" customHeight="1">
      <c r="A55" s="562" t="s">
        <v>148</v>
      </c>
      <c r="B55" s="563">
        <v>47</v>
      </c>
      <c r="C55" s="564">
        <v>44435</v>
      </c>
      <c r="D55" s="565" t="s">
        <v>149</v>
      </c>
      <c r="E55" s="566">
        <v>1.55</v>
      </c>
      <c r="F55" s="567" t="s">
        <v>157</v>
      </c>
      <c r="G55" s="568">
        <v>33</v>
      </c>
    </row>
    <row r="56" spans="1:7" ht="14.25" customHeight="1">
      <c r="A56" s="562" t="s">
        <v>156</v>
      </c>
      <c r="B56" s="563">
        <v>48</v>
      </c>
      <c r="C56" s="564">
        <v>44435</v>
      </c>
      <c r="D56" s="565" t="s">
        <v>149</v>
      </c>
      <c r="E56" s="566">
        <v>0.03</v>
      </c>
      <c r="F56" s="567" t="s">
        <v>150</v>
      </c>
      <c r="G56" s="568">
        <v>4</v>
      </c>
    </row>
    <row r="57" spans="1:7" ht="14.25" customHeight="1">
      <c r="A57" s="562" t="s">
        <v>144</v>
      </c>
      <c r="B57" s="563">
        <v>49</v>
      </c>
      <c r="C57" s="564">
        <v>44439</v>
      </c>
      <c r="D57" s="565" t="s">
        <v>145</v>
      </c>
      <c r="E57" s="566">
        <v>0.67</v>
      </c>
      <c r="F57" s="567" t="s">
        <v>150</v>
      </c>
      <c r="G57" s="568">
        <v>37</v>
      </c>
    </row>
    <row r="58" spans="1:7" ht="14.25" customHeight="1">
      <c r="A58" s="562" t="s">
        <v>144</v>
      </c>
      <c r="B58" s="563">
        <v>50</v>
      </c>
      <c r="C58" s="564">
        <v>44447</v>
      </c>
      <c r="D58" s="565" t="s">
        <v>145</v>
      </c>
      <c r="E58" s="566">
        <v>0.66</v>
      </c>
      <c r="F58" s="567" t="s">
        <v>150</v>
      </c>
      <c r="G58" s="568">
        <v>39</v>
      </c>
    </row>
    <row r="59" spans="1:7" ht="14.25" customHeight="1">
      <c r="A59" s="562" t="s">
        <v>148</v>
      </c>
      <c r="B59" s="563">
        <v>51</v>
      </c>
      <c r="C59" s="564">
        <v>44447</v>
      </c>
      <c r="D59" s="565" t="s">
        <v>149</v>
      </c>
      <c r="E59" s="566">
        <v>3.26</v>
      </c>
      <c r="F59" s="567" t="s">
        <v>143</v>
      </c>
      <c r="G59" s="568">
        <v>35</v>
      </c>
    </row>
    <row r="60" spans="1:7" ht="14.25" customHeight="1">
      <c r="A60" s="562" t="s">
        <v>156</v>
      </c>
      <c r="B60" s="563">
        <v>52</v>
      </c>
      <c r="C60" s="564">
        <v>44447</v>
      </c>
      <c r="D60" s="565" t="s">
        <v>149</v>
      </c>
      <c r="E60" s="566">
        <v>0.04</v>
      </c>
      <c r="F60" s="567" t="s">
        <v>150</v>
      </c>
      <c r="G60" s="568">
        <v>6</v>
      </c>
    </row>
    <row r="61" spans="1:7" ht="14.25" customHeight="1">
      <c r="A61" s="562" t="s">
        <v>144</v>
      </c>
      <c r="B61" s="563">
        <v>53</v>
      </c>
      <c r="C61" s="564">
        <v>44448</v>
      </c>
      <c r="D61" s="565" t="s">
        <v>145</v>
      </c>
      <c r="E61" s="566">
        <v>0.69</v>
      </c>
      <c r="F61" s="567" t="s">
        <v>150</v>
      </c>
      <c r="G61" s="568">
        <v>41</v>
      </c>
    </row>
    <row r="62" spans="1:7" ht="14.25" customHeight="1">
      <c r="A62" s="562" t="s">
        <v>148</v>
      </c>
      <c r="B62" s="563">
        <v>54</v>
      </c>
      <c r="C62" s="564">
        <v>44448</v>
      </c>
      <c r="D62" s="565" t="s">
        <v>149</v>
      </c>
      <c r="E62" s="566">
        <v>3.18</v>
      </c>
      <c r="F62" s="567" t="s">
        <v>154</v>
      </c>
      <c r="G62" s="568">
        <v>39</v>
      </c>
    </row>
    <row r="63" spans="1:7" ht="14.25" customHeight="1">
      <c r="A63" s="562" t="s">
        <v>156</v>
      </c>
      <c r="B63" s="563">
        <v>55</v>
      </c>
      <c r="C63" s="564">
        <v>44448</v>
      </c>
      <c r="D63" s="565" t="s">
        <v>149</v>
      </c>
      <c r="E63" s="566">
        <v>0.03</v>
      </c>
      <c r="F63" s="567" t="s">
        <v>150</v>
      </c>
      <c r="G63" s="568">
        <v>8</v>
      </c>
    </row>
    <row r="64" spans="1:7" ht="14.25" customHeight="1">
      <c r="A64" s="562" t="s">
        <v>144</v>
      </c>
      <c r="B64" s="563">
        <v>56</v>
      </c>
      <c r="C64" s="564">
        <v>44449</v>
      </c>
      <c r="D64" s="565" t="s">
        <v>145</v>
      </c>
      <c r="E64" s="566">
        <v>0.78</v>
      </c>
      <c r="F64" s="567" t="s">
        <v>146</v>
      </c>
      <c r="G64" s="568">
        <v>44</v>
      </c>
    </row>
    <row r="65" spans="1:7" ht="14.25" customHeight="1">
      <c r="A65" s="562" t="s">
        <v>147</v>
      </c>
      <c r="B65" s="563">
        <v>57</v>
      </c>
      <c r="C65" s="564">
        <v>44449</v>
      </c>
      <c r="D65" s="565" t="s">
        <v>145</v>
      </c>
      <c r="E65" s="566">
        <v>0.45</v>
      </c>
      <c r="F65" s="567" t="s">
        <v>157</v>
      </c>
      <c r="G65" s="568">
        <v>20</v>
      </c>
    </row>
    <row r="66" spans="1:7" ht="14.25" customHeight="1">
      <c r="A66" s="562" t="s">
        <v>148</v>
      </c>
      <c r="B66" s="563">
        <v>58</v>
      </c>
      <c r="C66" s="564">
        <v>44449</v>
      </c>
      <c r="D66" s="565" t="s">
        <v>149</v>
      </c>
      <c r="E66" s="566">
        <v>2.91</v>
      </c>
      <c r="F66" s="567" t="s">
        <v>157</v>
      </c>
      <c r="G66" s="568">
        <v>42</v>
      </c>
    </row>
    <row r="67" spans="1:7" ht="14.25" customHeight="1">
      <c r="A67" s="562" t="s">
        <v>156</v>
      </c>
      <c r="B67" s="563">
        <v>59</v>
      </c>
      <c r="C67" s="564">
        <v>44449</v>
      </c>
      <c r="D67" s="565" t="s">
        <v>149</v>
      </c>
      <c r="E67" s="566">
        <v>0.06</v>
      </c>
      <c r="F67" s="567" t="s">
        <v>146</v>
      </c>
      <c r="G67" s="568">
        <v>11</v>
      </c>
    </row>
    <row r="68" spans="1:7" ht="14.25" customHeight="1">
      <c r="A68" s="562" t="s">
        <v>139</v>
      </c>
      <c r="B68" s="563">
        <v>60</v>
      </c>
      <c r="C68" s="564">
        <v>44448</v>
      </c>
      <c r="D68" s="565" t="s">
        <v>140</v>
      </c>
      <c r="E68" s="566">
        <v>7.0213999999999981</v>
      </c>
      <c r="F68" s="567" t="s">
        <v>143</v>
      </c>
      <c r="G68" s="568">
        <v>10</v>
      </c>
    </row>
    <row r="69" spans="1:7" ht="14.25" customHeight="1">
      <c r="A69" s="562" t="s">
        <v>139</v>
      </c>
      <c r="B69" s="563">
        <v>61</v>
      </c>
      <c r="C69" s="564">
        <v>44449</v>
      </c>
      <c r="D69" s="565" t="s">
        <v>140</v>
      </c>
      <c r="E69" s="566">
        <v>6.2891193333333311</v>
      </c>
      <c r="F69" s="567" t="s">
        <v>157</v>
      </c>
      <c r="G69" s="568">
        <v>13</v>
      </c>
    </row>
    <row r="70" spans="1:7" ht="14.25" customHeight="1">
      <c r="A70" s="562" t="s">
        <v>151</v>
      </c>
      <c r="B70" s="563">
        <v>62</v>
      </c>
      <c r="C70" s="564">
        <v>44448</v>
      </c>
      <c r="D70" s="565" t="s">
        <v>140</v>
      </c>
      <c r="E70" s="566">
        <v>0.16592155</v>
      </c>
      <c r="F70" s="567" t="s">
        <v>143</v>
      </c>
      <c r="G70" s="568">
        <v>14</v>
      </c>
    </row>
    <row r="71" spans="1:7" ht="14.25" customHeight="1">
      <c r="A71" s="562" t="s">
        <v>151</v>
      </c>
      <c r="B71" s="563">
        <v>63</v>
      </c>
      <c r="C71" s="564">
        <v>44449</v>
      </c>
      <c r="D71" s="565" t="s">
        <v>140</v>
      </c>
      <c r="E71" s="566">
        <v>0.60796346666666667</v>
      </c>
      <c r="F71" s="567" t="s">
        <v>157</v>
      </c>
      <c r="G71" s="568">
        <v>17</v>
      </c>
    </row>
    <row r="72" spans="1:7" ht="14.25" customHeight="1">
      <c r="A72" s="562" t="s">
        <v>152</v>
      </c>
      <c r="B72" s="563">
        <v>64</v>
      </c>
      <c r="C72" s="564">
        <v>44448</v>
      </c>
      <c r="D72" s="565" t="s">
        <v>140</v>
      </c>
      <c r="E72" s="566">
        <v>2.0264479999999998</v>
      </c>
      <c r="F72" s="567" t="s">
        <v>143</v>
      </c>
      <c r="G72" s="568">
        <v>14</v>
      </c>
    </row>
    <row r="73" spans="1:7" ht="14.25" customHeight="1">
      <c r="A73" s="562" t="s">
        <v>152</v>
      </c>
      <c r="B73" s="563">
        <v>65</v>
      </c>
      <c r="C73" s="564">
        <v>44449</v>
      </c>
      <c r="D73" s="565" t="s">
        <v>140</v>
      </c>
      <c r="E73" s="566">
        <v>3.1045390000000004</v>
      </c>
      <c r="F73" s="567" t="s">
        <v>157</v>
      </c>
      <c r="G73" s="568">
        <v>17</v>
      </c>
    </row>
    <row r="74" spans="1:7" ht="14.25" customHeight="1">
      <c r="A74" s="562" t="s">
        <v>144</v>
      </c>
      <c r="B74" s="563">
        <v>66</v>
      </c>
      <c r="C74" s="564">
        <v>44460</v>
      </c>
      <c r="D74" s="565" t="s">
        <v>145</v>
      </c>
      <c r="E74" s="566">
        <v>0.89</v>
      </c>
      <c r="F74" s="567" t="s">
        <v>153</v>
      </c>
      <c r="G74" s="568">
        <v>48</v>
      </c>
    </row>
    <row r="75" spans="1:7" ht="14.25" customHeight="1">
      <c r="A75" s="562" t="s">
        <v>148</v>
      </c>
      <c r="B75" s="563">
        <v>67</v>
      </c>
      <c r="C75" s="564">
        <v>44460</v>
      </c>
      <c r="D75" s="565" t="s">
        <v>149</v>
      </c>
      <c r="E75" s="566">
        <v>3.5</v>
      </c>
      <c r="F75" s="567" t="s">
        <v>157</v>
      </c>
      <c r="G75" s="568">
        <v>45</v>
      </c>
    </row>
    <row r="76" spans="1:7" ht="14.25" customHeight="1">
      <c r="A76" s="562" t="s">
        <v>156</v>
      </c>
      <c r="B76" s="563">
        <v>68</v>
      </c>
      <c r="C76" s="564">
        <v>44460</v>
      </c>
      <c r="D76" s="565" t="s">
        <v>149</v>
      </c>
      <c r="E76" s="566">
        <v>0.03</v>
      </c>
      <c r="F76" s="567" t="s">
        <v>146</v>
      </c>
      <c r="G76" s="568">
        <v>14</v>
      </c>
    </row>
    <row r="77" spans="1:7" ht="14.25" customHeight="1">
      <c r="A77" s="562" t="s">
        <v>144</v>
      </c>
      <c r="B77" s="563">
        <v>69</v>
      </c>
      <c r="C77" s="564">
        <v>44461</v>
      </c>
      <c r="D77" s="565" t="s">
        <v>145</v>
      </c>
      <c r="E77" s="566">
        <v>0.83</v>
      </c>
      <c r="F77" s="567" t="s">
        <v>146</v>
      </c>
      <c r="G77" s="568">
        <v>51</v>
      </c>
    </row>
    <row r="78" spans="1:7" ht="14.25" customHeight="1">
      <c r="A78" s="562" t="s">
        <v>148</v>
      </c>
      <c r="B78" s="563">
        <v>70</v>
      </c>
      <c r="C78" s="564">
        <v>44461</v>
      </c>
      <c r="D78" s="565" t="s">
        <v>149</v>
      </c>
      <c r="E78" s="566">
        <v>3.31</v>
      </c>
      <c r="F78" s="567" t="s">
        <v>150</v>
      </c>
      <c r="G78" s="568">
        <v>47</v>
      </c>
    </row>
    <row r="79" spans="1:7" ht="14.25" customHeight="1">
      <c r="A79" s="562" t="s">
        <v>156</v>
      </c>
      <c r="B79" s="563">
        <v>71</v>
      </c>
      <c r="C79" s="564">
        <v>44461</v>
      </c>
      <c r="D79" s="565" t="s">
        <v>149</v>
      </c>
      <c r="E79" s="566">
        <v>0.02</v>
      </c>
      <c r="F79" s="567" t="s">
        <v>150</v>
      </c>
      <c r="G79" s="568">
        <v>16</v>
      </c>
    </row>
    <row r="80" spans="1:7" ht="14.25" customHeight="1">
      <c r="A80" s="562" t="s">
        <v>144</v>
      </c>
      <c r="B80" s="563">
        <v>72</v>
      </c>
      <c r="C80" s="564">
        <v>44462</v>
      </c>
      <c r="D80" s="565" t="s">
        <v>145</v>
      </c>
      <c r="E80" s="566">
        <v>0.93</v>
      </c>
      <c r="F80" s="567" t="s">
        <v>150</v>
      </c>
      <c r="G80" s="568">
        <v>53</v>
      </c>
    </row>
    <row r="81" spans="1:7" ht="14.25" customHeight="1">
      <c r="A81" s="562" t="s">
        <v>156</v>
      </c>
      <c r="B81" s="563">
        <v>73</v>
      </c>
      <c r="C81" s="564">
        <v>44462</v>
      </c>
      <c r="D81" s="565" t="s">
        <v>149</v>
      </c>
      <c r="E81" s="566">
        <v>0.02</v>
      </c>
      <c r="F81" s="567" t="s">
        <v>150</v>
      </c>
      <c r="G81" s="568">
        <v>18</v>
      </c>
    </row>
    <row r="82" spans="1:7" ht="14.25" customHeight="1">
      <c r="A82" s="562" t="s">
        <v>144</v>
      </c>
      <c r="B82" s="563">
        <v>74</v>
      </c>
      <c r="C82" s="564">
        <v>44484</v>
      </c>
      <c r="D82" s="565" t="s">
        <v>145</v>
      </c>
      <c r="E82" s="566">
        <v>0.5</v>
      </c>
      <c r="F82" s="567" t="s">
        <v>150</v>
      </c>
      <c r="G82" s="568">
        <v>55</v>
      </c>
    </row>
    <row r="83" spans="1:7" ht="14.25" customHeight="1">
      <c r="A83" s="562" t="s">
        <v>147</v>
      </c>
      <c r="B83" s="563">
        <v>75</v>
      </c>
      <c r="C83" s="564">
        <v>44123</v>
      </c>
      <c r="D83" s="565" t="s">
        <v>145</v>
      </c>
      <c r="E83" s="566">
        <v>-8.3551600000000004E-2</v>
      </c>
      <c r="F83" s="567" t="s">
        <v>150</v>
      </c>
      <c r="G83" s="568">
        <v>22</v>
      </c>
    </row>
    <row r="84" spans="1:7" ht="14.25" customHeight="1">
      <c r="A84" s="562" t="s">
        <v>148</v>
      </c>
      <c r="B84" s="563">
        <v>76</v>
      </c>
      <c r="C84" s="564">
        <v>44488</v>
      </c>
      <c r="D84" s="565" t="s">
        <v>149</v>
      </c>
      <c r="E84" s="566">
        <v>0.71776485000000001</v>
      </c>
      <c r="F84" s="567" t="s">
        <v>150</v>
      </c>
      <c r="G84" s="568">
        <v>49</v>
      </c>
    </row>
    <row r="85" spans="1:7" ht="14.25" customHeight="1">
      <c r="A85" s="562" t="s">
        <v>144</v>
      </c>
      <c r="B85" s="563">
        <v>77</v>
      </c>
      <c r="C85" s="564">
        <v>44490</v>
      </c>
      <c r="D85" s="565" t="s">
        <v>145</v>
      </c>
      <c r="E85" s="566">
        <v>0.39055895000000002</v>
      </c>
      <c r="F85" s="567" t="s">
        <v>143</v>
      </c>
      <c r="G85" s="568">
        <v>57</v>
      </c>
    </row>
    <row r="86" spans="1:7" ht="14.25" customHeight="1">
      <c r="A86" s="562" t="s">
        <v>156</v>
      </c>
      <c r="B86" s="563">
        <v>78</v>
      </c>
      <c r="C86" s="564">
        <v>44490</v>
      </c>
      <c r="D86" s="565" t="s">
        <v>149</v>
      </c>
      <c r="E86" s="566">
        <v>-2.44516E-2</v>
      </c>
      <c r="F86" s="567" t="s">
        <v>143</v>
      </c>
      <c r="G86" s="568">
        <v>20</v>
      </c>
    </row>
    <row r="87" spans="1:7" ht="14.25" customHeight="1">
      <c r="A87" s="562" t="s">
        <v>144</v>
      </c>
      <c r="B87" s="563">
        <v>79</v>
      </c>
      <c r="C87" s="564">
        <v>44495</v>
      </c>
      <c r="D87" s="565" t="s">
        <v>145</v>
      </c>
      <c r="E87" s="566">
        <v>0.5</v>
      </c>
      <c r="F87" s="567" t="s">
        <v>150</v>
      </c>
      <c r="G87" s="568">
        <v>59</v>
      </c>
    </row>
    <row r="88" spans="1:7" ht="14.25" customHeight="1">
      <c r="A88" s="562" t="s">
        <v>147</v>
      </c>
      <c r="B88" s="563">
        <v>80</v>
      </c>
      <c r="C88" s="564">
        <v>44495</v>
      </c>
      <c r="D88" s="565" t="s">
        <v>145</v>
      </c>
      <c r="E88" s="566">
        <v>0.45</v>
      </c>
      <c r="F88" s="567" t="s">
        <v>154</v>
      </c>
      <c r="G88" s="568">
        <v>26</v>
      </c>
    </row>
    <row r="89" spans="1:7" ht="14.25" customHeight="1">
      <c r="A89" s="562" t="s">
        <v>144</v>
      </c>
      <c r="B89" s="563">
        <v>81</v>
      </c>
      <c r="C89" s="564">
        <v>44496</v>
      </c>
      <c r="D89" s="565" t="s">
        <v>145</v>
      </c>
      <c r="E89" s="566">
        <v>0.5</v>
      </c>
      <c r="F89" s="567" t="s">
        <v>150</v>
      </c>
      <c r="G89" s="568">
        <v>61</v>
      </c>
    </row>
    <row r="90" spans="1:7" ht="14.25" customHeight="1">
      <c r="A90" s="562" t="s">
        <v>147</v>
      </c>
      <c r="B90" s="563">
        <v>82</v>
      </c>
      <c r="C90" s="564">
        <v>44496</v>
      </c>
      <c r="D90" s="565" t="s">
        <v>145</v>
      </c>
      <c r="E90" s="566">
        <v>0.45</v>
      </c>
      <c r="F90" s="567" t="s">
        <v>154</v>
      </c>
      <c r="G90" s="568">
        <v>30</v>
      </c>
    </row>
    <row r="91" spans="1:7" ht="14.25" customHeight="1">
      <c r="A91" s="562" t="s">
        <v>156</v>
      </c>
      <c r="B91" s="563">
        <v>83</v>
      </c>
      <c r="C91" s="564">
        <v>44496</v>
      </c>
      <c r="D91" s="565" t="s">
        <v>149</v>
      </c>
      <c r="E91" s="566">
        <v>0.02</v>
      </c>
      <c r="F91" s="567" t="s">
        <v>150</v>
      </c>
      <c r="G91" s="568">
        <v>22</v>
      </c>
    </row>
    <row r="92" spans="1:7" ht="14.25" customHeight="1">
      <c r="A92" s="562" t="s">
        <v>144</v>
      </c>
      <c r="B92" s="563">
        <v>84</v>
      </c>
      <c r="C92" s="564">
        <v>44497</v>
      </c>
      <c r="D92" s="565" t="s">
        <v>145</v>
      </c>
      <c r="E92" s="566">
        <v>0.5</v>
      </c>
      <c r="F92" s="567" t="s">
        <v>150</v>
      </c>
      <c r="G92" s="568">
        <v>63</v>
      </c>
    </row>
    <row r="93" spans="1:7" ht="14.25" customHeight="1">
      <c r="A93" s="562" t="s">
        <v>147</v>
      </c>
      <c r="B93" s="563">
        <v>85</v>
      </c>
      <c r="C93" s="564">
        <v>44497</v>
      </c>
      <c r="D93" s="565" t="s">
        <v>145</v>
      </c>
      <c r="E93" s="566">
        <v>0.45</v>
      </c>
      <c r="F93" s="567" t="s">
        <v>154</v>
      </c>
      <c r="G93" s="568">
        <v>34</v>
      </c>
    </row>
    <row r="94" spans="1:7" ht="14.25" customHeight="1">
      <c r="A94" s="562" t="s">
        <v>156</v>
      </c>
      <c r="B94" s="563">
        <v>86</v>
      </c>
      <c r="C94" s="564">
        <v>44497</v>
      </c>
      <c r="D94" s="565" t="s">
        <v>149</v>
      </c>
      <c r="E94" s="566">
        <v>0.02</v>
      </c>
      <c r="F94" s="567" t="s">
        <v>150</v>
      </c>
      <c r="G94" s="568">
        <v>24</v>
      </c>
    </row>
    <row r="95" spans="1:7" ht="14.25" customHeight="1">
      <c r="A95" s="562" t="s">
        <v>148</v>
      </c>
      <c r="B95" s="563">
        <v>87</v>
      </c>
      <c r="C95" s="564">
        <v>44497</v>
      </c>
      <c r="D95" s="565" t="s">
        <v>149</v>
      </c>
      <c r="E95" s="566">
        <v>3.31</v>
      </c>
      <c r="F95" s="567" t="s">
        <v>143</v>
      </c>
      <c r="G95" s="568">
        <v>51</v>
      </c>
    </row>
    <row r="96" spans="1:7" ht="14.25" customHeight="1">
      <c r="A96" s="562" t="s">
        <v>156</v>
      </c>
      <c r="B96" s="563">
        <v>88</v>
      </c>
      <c r="C96" s="564">
        <v>44498</v>
      </c>
      <c r="D96" s="565" t="s">
        <v>149</v>
      </c>
      <c r="E96" s="566">
        <v>0.02</v>
      </c>
      <c r="F96" s="567" t="s">
        <v>150</v>
      </c>
      <c r="G96" s="568">
        <v>26</v>
      </c>
    </row>
    <row r="97" spans="1:7" ht="14.25" customHeight="1">
      <c r="A97" s="562" t="s">
        <v>148</v>
      </c>
      <c r="B97" s="563">
        <v>89</v>
      </c>
      <c r="C97" s="564">
        <v>44498</v>
      </c>
      <c r="D97" s="565" t="s">
        <v>149</v>
      </c>
      <c r="E97" s="566">
        <v>3.31</v>
      </c>
      <c r="F97" s="567" t="s">
        <v>150</v>
      </c>
      <c r="G97" s="568">
        <v>53</v>
      </c>
    </row>
    <row r="98" spans="1:7" ht="14.25" customHeight="1">
      <c r="A98" s="37"/>
      <c r="B98" s="448"/>
      <c r="C98" s="449"/>
      <c r="E98" s="569"/>
      <c r="F98" s="450"/>
      <c r="G98" s="451"/>
    </row>
    <row r="99" spans="1:7" ht="14.25" customHeight="1">
      <c r="A99" s="343" t="s">
        <v>67</v>
      </c>
    </row>
    <row r="100" spans="1:7" ht="14.25" customHeight="1">
      <c r="A100" s="409" t="s">
        <v>158</v>
      </c>
    </row>
    <row r="101" spans="1:7" ht="14.25" customHeight="1">
      <c r="A101" s="444" t="s">
        <v>159</v>
      </c>
    </row>
    <row r="102" spans="1:7" ht="14.25" customHeight="1">
      <c r="A102" s="570" t="s">
        <v>345</v>
      </c>
    </row>
    <row r="103" spans="1:7" ht="14.25" customHeight="1">
      <c r="A103" s="314" t="s">
        <v>79</v>
      </c>
    </row>
    <row r="104" spans="1:7" ht="14.25" customHeight="1">
      <c r="A104" s="571"/>
    </row>
  </sheetData>
  <mergeCells count="1">
    <mergeCell ref="A7:G7"/>
  </mergeCells>
  <phoneticPr fontId="0" type="noConversion"/>
  <printOptions horizontalCentered="1"/>
  <pageMargins left="0" right="0" top="0.55000000000000004" bottom="0.17" header="0.3" footer="0.15"/>
  <pageSetup paperSize="5" scale="38"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N48"/>
  <sheetViews>
    <sheetView showRuler="0" showWhiteSpace="0" topLeftCell="A7" zoomScale="80" zoomScaleNormal="80" workbookViewId="0">
      <selection activeCell="M44" sqref="M44"/>
    </sheetView>
  </sheetViews>
  <sheetFormatPr defaultColWidth="9.28515625" defaultRowHeight="12.75"/>
  <cols>
    <col min="1" max="1" width="48" style="40" customWidth="1"/>
    <col min="2" max="3" width="13" style="40" customWidth="1"/>
    <col min="4" max="13" width="13.28515625" style="40" customWidth="1"/>
    <col min="14" max="14" width="23.28515625" style="40" bestFit="1" customWidth="1"/>
    <col min="15" max="16384" width="9.28515625" style="40"/>
  </cols>
  <sheetData>
    <row r="2" spans="1:13" ht="20.25">
      <c r="B2" s="242" t="s">
        <v>39</v>
      </c>
      <c r="C2" s="39"/>
      <c r="D2" s="39"/>
      <c r="E2" s="243"/>
      <c r="F2" s="243"/>
      <c r="G2" s="243"/>
      <c r="H2" s="243"/>
      <c r="I2" s="243"/>
      <c r="J2" s="243"/>
      <c r="K2" s="243"/>
      <c r="L2" s="243"/>
      <c r="M2" s="243"/>
    </row>
    <row r="3" spans="1:13" ht="18">
      <c r="B3" s="699" t="s">
        <v>160</v>
      </c>
      <c r="C3" s="699"/>
      <c r="D3" s="699"/>
      <c r="E3" s="699"/>
      <c r="F3" s="699"/>
      <c r="G3" s="699"/>
      <c r="H3" s="699"/>
      <c r="I3" s="699"/>
      <c r="J3" s="699"/>
      <c r="K3" s="699"/>
      <c r="L3" s="699"/>
      <c r="M3" s="699"/>
    </row>
    <row r="4" spans="1:13" ht="18">
      <c r="A4" s="126"/>
      <c r="B4" s="39"/>
      <c r="C4" s="39"/>
      <c r="D4" s="39"/>
      <c r="E4" s="39"/>
      <c r="F4" s="244"/>
      <c r="G4" s="700" t="str">
        <f>'Program MW '!H3</f>
        <v>December  2021</v>
      </c>
      <c r="H4" s="700"/>
      <c r="I4" s="244"/>
      <c r="J4" s="39"/>
      <c r="K4" s="39"/>
      <c r="L4" s="39"/>
      <c r="M4" s="39"/>
    </row>
    <row r="5" spans="1:13">
      <c r="B5" s="145"/>
      <c r="C5" s="145"/>
      <c r="D5" s="145"/>
    </row>
    <row r="7" spans="1:13" ht="21.75" customHeight="1">
      <c r="A7" s="76"/>
      <c r="B7" s="514" t="s">
        <v>10</v>
      </c>
      <c r="C7" s="514" t="s">
        <v>28</v>
      </c>
      <c r="D7" s="514" t="s">
        <v>43</v>
      </c>
      <c r="E7" s="514" t="s">
        <v>44</v>
      </c>
      <c r="F7" s="514" t="s">
        <v>161</v>
      </c>
      <c r="G7" s="514" t="s">
        <v>45</v>
      </c>
      <c r="H7" s="514" t="s">
        <v>59</v>
      </c>
      <c r="I7" s="514" t="s">
        <v>60</v>
      </c>
      <c r="J7" s="514" t="s">
        <v>61</v>
      </c>
      <c r="K7" s="514" t="s">
        <v>62</v>
      </c>
      <c r="L7" s="514" t="s">
        <v>63</v>
      </c>
      <c r="M7" s="127" t="s">
        <v>64</v>
      </c>
    </row>
    <row r="8" spans="1:13" ht="38.25">
      <c r="A8" s="201" t="s">
        <v>162</v>
      </c>
      <c r="B8" s="515" t="s">
        <v>106</v>
      </c>
      <c r="C8" s="95" t="s">
        <v>106</v>
      </c>
      <c r="D8" s="95" t="s">
        <v>106</v>
      </c>
      <c r="E8" s="95" t="s">
        <v>106</v>
      </c>
      <c r="F8" s="95" t="s">
        <v>106</v>
      </c>
      <c r="G8" s="95" t="s">
        <v>106</v>
      </c>
      <c r="H8" s="95" t="s">
        <v>106</v>
      </c>
      <c r="I8" s="95" t="s">
        <v>106</v>
      </c>
      <c r="J8" s="95" t="s">
        <v>106</v>
      </c>
      <c r="K8" s="95" t="s">
        <v>106</v>
      </c>
      <c r="L8" s="95" t="s">
        <v>163</v>
      </c>
      <c r="M8" s="95" t="s">
        <v>163</v>
      </c>
    </row>
    <row r="9" spans="1:13">
      <c r="A9" s="516" t="s">
        <v>109</v>
      </c>
      <c r="B9" s="215">
        <v>1.23E-2</v>
      </c>
      <c r="C9" s="215">
        <v>1.23E-2</v>
      </c>
      <c r="D9" s="215">
        <v>9.0899999999999995E-2</v>
      </c>
      <c r="E9" s="215">
        <v>9.0899999999999995E-2</v>
      </c>
      <c r="F9" s="215">
        <v>9.0899999999999995E-2</v>
      </c>
      <c r="G9" s="215">
        <v>9.0899999999999995E-2</v>
      </c>
      <c r="H9" s="215">
        <v>9.0899999999999995E-2</v>
      </c>
      <c r="I9" s="215">
        <v>9.0899999999999995E-2</v>
      </c>
      <c r="J9" s="215">
        <v>1.2500000000000001E-2</v>
      </c>
      <c r="K9" s="215">
        <v>1.2500000000000001E-2</v>
      </c>
      <c r="L9" s="215">
        <v>1.2500000000000001E-2</v>
      </c>
      <c r="M9" s="215">
        <v>1.2500000000000001E-2</v>
      </c>
    </row>
    <row r="10" spans="1:13">
      <c r="A10" s="516" t="s">
        <v>110</v>
      </c>
      <c r="B10" s="215">
        <v>0</v>
      </c>
      <c r="C10" s="215">
        <v>0</v>
      </c>
      <c r="D10" s="215">
        <v>0</v>
      </c>
      <c r="E10" s="215">
        <v>0</v>
      </c>
      <c r="F10" s="215">
        <v>0</v>
      </c>
      <c r="G10" s="215">
        <v>0</v>
      </c>
      <c r="H10" s="215">
        <v>0</v>
      </c>
      <c r="I10" s="215">
        <v>0</v>
      </c>
      <c r="J10" s="215">
        <v>0</v>
      </c>
      <c r="K10" s="215">
        <v>0</v>
      </c>
      <c r="L10" s="215">
        <v>0</v>
      </c>
      <c r="M10" s="215">
        <v>0</v>
      </c>
    </row>
    <row r="11" spans="1:13">
      <c r="A11" s="128" t="s">
        <v>164</v>
      </c>
      <c r="B11" s="215">
        <v>0</v>
      </c>
      <c r="C11" s="215">
        <v>0</v>
      </c>
      <c r="D11" s="215">
        <v>0</v>
      </c>
      <c r="E11" s="215">
        <v>0</v>
      </c>
      <c r="F11" s="215">
        <v>0</v>
      </c>
      <c r="G11" s="215">
        <v>0</v>
      </c>
      <c r="H11" s="215">
        <v>0</v>
      </c>
      <c r="I11" s="215">
        <v>0</v>
      </c>
      <c r="J11" s="215">
        <v>0</v>
      </c>
      <c r="K11" s="215">
        <v>0</v>
      </c>
      <c r="L11" s="215">
        <v>0</v>
      </c>
      <c r="M11" s="215">
        <v>0</v>
      </c>
    </row>
    <row r="12" spans="1:13">
      <c r="A12" s="128" t="s">
        <v>165</v>
      </c>
      <c r="B12" s="215">
        <v>0</v>
      </c>
      <c r="C12" s="215">
        <v>0</v>
      </c>
      <c r="D12" s="215">
        <v>0</v>
      </c>
      <c r="E12" s="215">
        <v>0</v>
      </c>
      <c r="F12" s="215">
        <v>0</v>
      </c>
      <c r="G12" s="215">
        <v>0</v>
      </c>
      <c r="H12" s="215">
        <v>0</v>
      </c>
      <c r="I12" s="215">
        <v>0</v>
      </c>
      <c r="J12" s="215">
        <v>0</v>
      </c>
      <c r="K12" s="215">
        <v>0</v>
      </c>
      <c r="L12" s="215">
        <v>0</v>
      </c>
      <c r="M12" s="215">
        <v>0</v>
      </c>
    </row>
    <row r="13" spans="1:13" s="39" customFormat="1">
      <c r="A13" s="517" t="s">
        <v>111</v>
      </c>
      <c r="B13" s="489">
        <f t="shared" ref="B13:G13" si="0">SUM(B9:B12)</f>
        <v>1.23E-2</v>
      </c>
      <c r="C13" s="489">
        <f t="shared" si="0"/>
        <v>1.23E-2</v>
      </c>
      <c r="D13" s="489">
        <f t="shared" si="0"/>
        <v>9.0899999999999995E-2</v>
      </c>
      <c r="E13" s="489">
        <f t="shared" si="0"/>
        <v>9.0899999999999995E-2</v>
      </c>
      <c r="F13" s="489">
        <f t="shared" ref="F13" si="1">SUM(F9:F12)</f>
        <v>9.0899999999999995E-2</v>
      </c>
      <c r="G13" s="489">
        <f t="shared" si="0"/>
        <v>9.0899999999999995E-2</v>
      </c>
      <c r="H13" s="56">
        <f t="shared" ref="H13" si="2">SUM(H9:H12)</f>
        <v>9.0899999999999995E-2</v>
      </c>
      <c r="I13" s="56">
        <f>SUM(I9:I12)</f>
        <v>9.0899999999999995E-2</v>
      </c>
      <c r="J13" s="56">
        <f>SUM(J9:J12)</f>
        <v>1.2500000000000001E-2</v>
      </c>
      <c r="K13" s="56">
        <f>SUM(K9:K12)</f>
        <v>1.2500000000000001E-2</v>
      </c>
      <c r="L13" s="56">
        <f>SUM(L9:L12)</f>
        <v>1.2500000000000001E-2</v>
      </c>
      <c r="M13" s="56">
        <f>SUM(M9:M12)</f>
        <v>1.2500000000000001E-2</v>
      </c>
    </row>
    <row r="14" spans="1:13" s="47" customFormat="1">
      <c r="A14" s="39"/>
      <c r="B14" s="43"/>
      <c r="C14" s="45"/>
      <c r="D14" s="45"/>
      <c r="E14" s="45"/>
      <c r="F14" s="45"/>
      <c r="G14" s="45"/>
    </row>
    <row r="15" spans="1:13" ht="15">
      <c r="A15" s="177" t="s">
        <v>67</v>
      </c>
      <c r="G15" s="41"/>
    </row>
    <row r="16" spans="1:13" ht="15">
      <c r="A16" s="271" t="s">
        <v>166</v>
      </c>
      <c r="B16" s="145"/>
      <c r="C16" s="145"/>
      <c r="D16" s="209"/>
      <c r="E16" s="209"/>
      <c r="F16" s="209"/>
      <c r="G16" s="145"/>
      <c r="H16" s="145"/>
      <c r="I16" s="145"/>
      <c r="J16" s="145"/>
      <c r="K16" s="145"/>
    </row>
    <row r="17" spans="1:14" ht="15">
      <c r="A17" s="270"/>
    </row>
    <row r="20" spans="1:14" ht="21.75" customHeight="1">
      <c r="A20" s="76"/>
      <c r="B20" s="514" t="s">
        <v>10</v>
      </c>
      <c r="C20" s="514" t="s">
        <v>28</v>
      </c>
      <c r="D20" s="514" t="s">
        <v>43</v>
      </c>
      <c r="E20" s="514" t="s">
        <v>44</v>
      </c>
      <c r="F20" s="514" t="s">
        <v>161</v>
      </c>
      <c r="G20" s="514" t="s">
        <v>45</v>
      </c>
      <c r="H20" s="514" t="s">
        <v>59</v>
      </c>
      <c r="I20" s="514" t="s">
        <v>60</v>
      </c>
      <c r="J20" s="514" t="s">
        <v>61</v>
      </c>
      <c r="K20" s="514" t="s">
        <v>62</v>
      </c>
      <c r="L20" s="514" t="s">
        <v>63</v>
      </c>
      <c r="M20" s="127" t="s">
        <v>64</v>
      </c>
      <c r="N20" s="246"/>
    </row>
    <row r="21" spans="1:14" ht="51">
      <c r="A21" s="200" t="s">
        <v>162</v>
      </c>
      <c r="B21" s="95" t="s">
        <v>167</v>
      </c>
      <c r="C21" s="95" t="str">
        <f>B21</f>
        <v>Technology Deployment- Residential MWs</v>
      </c>
      <c r="D21" s="95" t="str">
        <f>B21</f>
        <v>Technology Deployment- Residential MWs</v>
      </c>
      <c r="E21" s="95" t="str">
        <f t="shared" ref="E21:M21" si="3">C21</f>
        <v>Technology Deployment- Residential MWs</v>
      </c>
      <c r="F21" s="95" t="str">
        <f t="shared" si="3"/>
        <v>Technology Deployment- Residential MWs</v>
      </c>
      <c r="G21" s="95" t="str">
        <f t="shared" si="3"/>
        <v>Technology Deployment- Residential MWs</v>
      </c>
      <c r="H21" s="95" t="str">
        <f t="shared" si="3"/>
        <v>Technology Deployment- Residential MWs</v>
      </c>
      <c r="I21" s="95" t="str">
        <f t="shared" si="3"/>
        <v>Technology Deployment- Residential MWs</v>
      </c>
      <c r="J21" s="95" t="str">
        <f t="shared" si="3"/>
        <v>Technology Deployment- Residential MWs</v>
      </c>
      <c r="K21" s="95" t="str">
        <f t="shared" si="3"/>
        <v>Technology Deployment- Residential MWs</v>
      </c>
      <c r="L21" s="95" t="str">
        <f t="shared" si="3"/>
        <v>Technology Deployment- Residential MWs</v>
      </c>
      <c r="M21" s="95" t="str">
        <f t="shared" si="3"/>
        <v>Technology Deployment- Residential MWs</v>
      </c>
      <c r="N21" s="246"/>
    </row>
    <row r="22" spans="1:14">
      <c r="A22" s="128" t="s">
        <v>17</v>
      </c>
      <c r="B22" s="53">
        <f>'Program MW '!D14</f>
        <v>5.5603200000000008</v>
      </c>
      <c r="C22" s="53">
        <f>'Program MW '!G14</f>
        <v>5.5289600000000005</v>
      </c>
      <c r="D22" s="53">
        <f>'Program MW '!J14</f>
        <v>5.1198614791035659</v>
      </c>
      <c r="E22" s="53">
        <f>'Program MW '!M14</f>
        <v>5.1898279145658019</v>
      </c>
      <c r="F22" s="53">
        <f>'Program MW '!P14</f>
        <v>5.1438842895627026</v>
      </c>
      <c r="G22" s="53">
        <f>'Program MW '!S14</f>
        <v>4.3910694667994976</v>
      </c>
      <c r="H22" s="53">
        <f>'Program MW '!D37</f>
        <v>4.4907641302049166</v>
      </c>
      <c r="I22" s="53">
        <f>'Program MW '!D37</f>
        <v>4.4907641302049166</v>
      </c>
      <c r="J22" s="53">
        <f>'Program MW '!I37</f>
        <v>4.4301948508620264</v>
      </c>
      <c r="K22" s="53">
        <f>'Program MW '!M37</f>
        <v>4.67243663430214</v>
      </c>
      <c r="L22" s="53">
        <f>'Program MW '!P37</f>
        <v>4.4343105256259445</v>
      </c>
      <c r="M22" s="53">
        <f>'Program MW '!S37</f>
        <v>4.604572194755078</v>
      </c>
      <c r="N22" s="246"/>
    </row>
    <row r="23" spans="1:14">
      <c r="A23" s="128" t="s">
        <v>27</v>
      </c>
      <c r="B23" s="53">
        <f>'Ex post LI &amp; Eligibility Stats'!B11*1203/1000</f>
        <v>0.38496000000000002</v>
      </c>
      <c r="C23" s="53">
        <f>'Ex post LI &amp; Eligibility Stats'!C11*1269/1000</f>
        <v>0.40608</v>
      </c>
      <c r="D23" s="53">
        <f>'Ex post LI &amp; Eligibility Stats'!D11*1142/1000</f>
        <v>0.34292561930418014</v>
      </c>
      <c r="E23" s="53">
        <f>'Ex post LI &amp; Eligibility Stats'!E11*1150/1000</f>
        <v>0.34532790035009386</v>
      </c>
      <c r="F23" s="53">
        <f>'Ex post LI &amp; Eligibility Stats'!F11*1131/1000</f>
        <v>0.33962248286604879</v>
      </c>
      <c r="G23" s="53">
        <f>'Ex post LI &amp; Eligibility Stats'!G11*1000/1000</f>
        <v>0.30028513073921204</v>
      </c>
      <c r="H23" s="53">
        <f>'Ex post LI &amp; Eligibility Stats'!H11*1012/1000</f>
        <v>0.30388855230808259</v>
      </c>
      <c r="I23" s="53">
        <f>'Ex post LI &amp; Eligibility Stats'!I11*836/1000</f>
        <v>0.25103836929798129</v>
      </c>
      <c r="J23" s="53">
        <f>'Ex post LI &amp; Eligibility Stats'!J11*844/1000</f>
        <v>0.25344065034389496</v>
      </c>
      <c r="K23" s="53">
        <f>'Ex post LI &amp; Eligibility Stats'!K11*850/1000</f>
        <v>0.25524236112833021</v>
      </c>
      <c r="L23" s="53">
        <f>'Ex post LI &amp; Eligibility Stats'!L11*998/1000</f>
        <v>0.29968456047773362</v>
      </c>
      <c r="M23" s="53">
        <f>'Ex post LI &amp; Eligibility Stats'!M11*1012/1000</f>
        <v>0.30388855230808259</v>
      </c>
    </row>
    <row r="24" spans="1:14">
      <c r="A24" s="128" t="s">
        <v>165</v>
      </c>
      <c r="B24" s="53">
        <f>'Ex post LI &amp; Eligibility Stats'!B11*1929/1000</f>
        <v>0.61727999999999994</v>
      </c>
      <c r="C24" s="53">
        <f>'Ex post LI &amp; Eligibility Stats'!C11*1911/1000</f>
        <v>0.61151999999999995</v>
      </c>
      <c r="D24" s="53">
        <f>'Ex post LI &amp; Eligibility Stats'!D11*1490/1000</f>
        <v>0.44742484480142591</v>
      </c>
      <c r="E24" s="53">
        <f>'Ex post LI &amp; Eligibility Stats'!E11*1490/1000</f>
        <v>0.44742484480142591</v>
      </c>
      <c r="F24" s="53">
        <f>'Ex post LI &amp; Eligibility Stats'!F11*1490/1000</f>
        <v>0.44742484480142591</v>
      </c>
      <c r="G24" s="53">
        <f>'Ex post LI &amp; Eligibility Stats'!G11*1490/1000</f>
        <v>0.44742484480142591</v>
      </c>
      <c r="H24" s="53">
        <f>'Ex post LI &amp; Eligibility Stats'!H11*1490/1000</f>
        <v>0.44742484480142591</v>
      </c>
      <c r="I24" s="53">
        <f>'Ex post LI &amp; Eligibility Stats'!I11*1490/1000</f>
        <v>0.44742484480142591</v>
      </c>
      <c r="J24" s="53">
        <f>'Ex post LI &amp; Eligibility Stats'!J11*1490/1000</f>
        <v>0.44742484480142591</v>
      </c>
      <c r="K24" s="53">
        <f>'Ex post LI &amp; Eligibility Stats'!K11*1490/1000</f>
        <v>0.44742484480142591</v>
      </c>
      <c r="L24" s="53">
        <f>'Ex post LI &amp; Eligibility Stats'!L11*1490/1000</f>
        <v>0.44742484480142591</v>
      </c>
      <c r="M24" s="53">
        <f>'Ex post LI &amp; Eligibility Stats'!M11*1490/1000</f>
        <v>0.44742484480142591</v>
      </c>
    </row>
    <row r="25" spans="1:14" s="39" customFormat="1">
      <c r="A25" s="517" t="s">
        <v>111</v>
      </c>
      <c r="B25" s="489">
        <f t="shared" ref="B25:H25" si="4">SUM(B22:B24)</f>
        <v>6.5625600000000013</v>
      </c>
      <c r="C25" s="56">
        <f t="shared" si="4"/>
        <v>6.5465600000000004</v>
      </c>
      <c r="D25" s="56">
        <f t="shared" si="4"/>
        <v>5.9102119432091724</v>
      </c>
      <c r="E25" s="56">
        <f t="shared" ref="E25" si="5">SUM(E22:E24)</f>
        <v>5.9825806597173221</v>
      </c>
      <c r="F25" s="56">
        <f t="shared" ref="F25" si="6">SUM(F22:F24)</f>
        <v>5.9309316172301774</v>
      </c>
      <c r="G25" s="56">
        <f t="shared" si="4"/>
        <v>5.1387794423401356</v>
      </c>
      <c r="H25" s="56">
        <f t="shared" si="4"/>
        <v>5.2420775273144251</v>
      </c>
      <c r="I25" s="56">
        <f t="shared" ref="I25:J25" si="7">SUM(I22:I24)</f>
        <v>5.1892273443043235</v>
      </c>
      <c r="J25" s="56">
        <f t="shared" si="7"/>
        <v>5.131060346007347</v>
      </c>
      <c r="K25" s="56">
        <f>SUM(K22:K24)</f>
        <v>5.3751038402318958</v>
      </c>
      <c r="L25" s="56">
        <f>SUM(L22:L24)</f>
        <v>5.1814199309051041</v>
      </c>
      <c r="M25" s="56">
        <f>SUM(M22:M24)</f>
        <v>5.3558855918645865</v>
      </c>
    </row>
    <row r="26" spans="1:14" s="47" customFormat="1">
      <c r="A26" s="39"/>
      <c r="B26" s="43"/>
      <c r="C26" s="45"/>
      <c r="D26" s="45"/>
      <c r="E26" s="45"/>
      <c r="F26" s="45"/>
      <c r="G26" s="45"/>
    </row>
    <row r="27" spans="1:14" ht="15">
      <c r="A27" s="177" t="s">
        <v>67</v>
      </c>
      <c r="G27" s="41"/>
    </row>
    <row r="28" spans="1:14" ht="15">
      <c r="A28" s="269" t="s">
        <v>168</v>
      </c>
      <c r="G28" s="41"/>
    </row>
    <row r="29" spans="1:14" ht="15">
      <c r="A29" s="270"/>
      <c r="C29" s="41"/>
      <c r="D29" s="41"/>
      <c r="E29" s="41"/>
      <c r="F29" s="41"/>
      <c r="G29" s="41"/>
    </row>
    <row r="30" spans="1:14">
      <c r="C30" s="41"/>
      <c r="D30" s="41"/>
      <c r="E30" s="41"/>
      <c r="F30" s="41"/>
      <c r="G30" s="41"/>
    </row>
    <row r="31" spans="1:14" ht="21.75" customHeight="1">
      <c r="A31" s="76"/>
      <c r="B31" s="514" t="s">
        <v>10</v>
      </c>
      <c r="C31" s="514" t="s">
        <v>28</v>
      </c>
      <c r="D31" s="514" t="s">
        <v>43</v>
      </c>
      <c r="E31" s="514" t="s">
        <v>44</v>
      </c>
      <c r="F31" s="514" t="s">
        <v>161</v>
      </c>
      <c r="G31" s="514" t="s">
        <v>45</v>
      </c>
      <c r="H31" s="514" t="s">
        <v>59</v>
      </c>
      <c r="I31" s="514" t="s">
        <v>60</v>
      </c>
      <c r="J31" s="514" t="s">
        <v>61</v>
      </c>
      <c r="K31" s="514" t="s">
        <v>62</v>
      </c>
      <c r="L31" s="514" t="s">
        <v>63</v>
      </c>
      <c r="M31" s="127" t="s">
        <v>64</v>
      </c>
    </row>
    <row r="32" spans="1:14" ht="51">
      <c r="A32" s="200" t="s">
        <v>162</v>
      </c>
      <c r="B32" s="95" t="s">
        <v>169</v>
      </c>
      <c r="C32" s="95" t="str">
        <f>B32</f>
        <v>Technology Deployment- Commercial MWs</v>
      </c>
      <c r="D32" s="95" t="str">
        <f>B32</f>
        <v>Technology Deployment- Commercial MWs</v>
      </c>
      <c r="E32" s="95" t="str">
        <f t="shared" ref="E32" si="8">C32</f>
        <v>Technology Deployment- Commercial MWs</v>
      </c>
      <c r="F32" s="95" t="str">
        <f t="shared" ref="F32" si="9">D32</f>
        <v>Technology Deployment- Commercial MWs</v>
      </c>
      <c r="G32" s="95" t="str">
        <f t="shared" ref="G32" si="10">E32</f>
        <v>Technology Deployment- Commercial MWs</v>
      </c>
      <c r="H32" s="95" t="str">
        <f t="shared" ref="H32" si="11">F32</f>
        <v>Technology Deployment- Commercial MWs</v>
      </c>
      <c r="I32" s="95" t="s">
        <v>170</v>
      </c>
      <c r="J32" s="95" t="str">
        <f t="shared" ref="J32" si="12">H32</f>
        <v>Technology Deployment- Commercial MWs</v>
      </c>
      <c r="K32" s="95" t="str">
        <f>B32</f>
        <v>Technology Deployment- Commercial MWs</v>
      </c>
      <c r="L32" s="95" t="s">
        <v>170</v>
      </c>
      <c r="M32" s="95" t="str">
        <f t="shared" ref="M32" si="13">K32</f>
        <v>Technology Deployment- Commercial MWs</v>
      </c>
    </row>
    <row r="33" spans="1:13">
      <c r="A33" s="128" t="s">
        <v>20</v>
      </c>
      <c r="B33" s="53">
        <f>'Program MW '!D15</f>
        <v>0.32384000000000002</v>
      </c>
      <c r="C33" s="53">
        <f>'Program MW '!G15</f>
        <v>0.32384000000000002</v>
      </c>
      <c r="D33" s="53">
        <f>'Program MW '!J15</f>
        <v>0.12431036806106567</v>
      </c>
      <c r="E33" s="53">
        <f>'Program MW '!M15</f>
        <v>0.12431036806106567</v>
      </c>
      <c r="F33" s="53">
        <f>'Program MW '!P15</f>
        <v>0.11874423217773437</v>
      </c>
      <c r="G33" s="53">
        <f>'Program MW '!S15</f>
        <v>0.10946733903884888</v>
      </c>
      <c r="H33" s="53">
        <f>'Program MW '!D38</f>
        <v>0.11549731957912444</v>
      </c>
      <c r="I33" s="53">
        <f>'Program MW '!G38</f>
        <v>0.12709343600273132</v>
      </c>
      <c r="J33" s="53">
        <f>'Program MW '!J38</f>
        <v>0.12755728065967559</v>
      </c>
      <c r="K33" s="53">
        <f>'Program MW '!M38</f>
        <v>0.12755728065967559</v>
      </c>
      <c r="L33" s="53">
        <f>'Program MW '!P38</f>
        <v>0.13637032914161681</v>
      </c>
      <c r="M33" s="53">
        <f>'Program MW '!S40</f>
        <v>0.126321408</v>
      </c>
    </row>
    <row r="34" spans="1:13">
      <c r="A34" s="128" t="s">
        <v>26</v>
      </c>
      <c r="B34" s="53">
        <f>'Ex post LI &amp; Eligibility Stats'!B12*741/1000</f>
        <v>0.34086</v>
      </c>
      <c r="C34" s="53">
        <f>'Ex post LI &amp; Eligibility Stats'!C12*738/1000</f>
        <v>0.33948</v>
      </c>
      <c r="D34" s="53">
        <f>'Ex post LI &amp; Eligibility Stats'!D12*483/1000</f>
        <v>0.22403696930408479</v>
      </c>
      <c r="E34" s="53">
        <f>'Ex post LI &amp; Eligibility Stats'!E12*483/1000</f>
        <v>0.22403696930408479</v>
      </c>
      <c r="F34" s="53">
        <f>'Ex post LI &amp; Eligibility Stats'!F12*472/1000</f>
        <v>0.21893467807769776</v>
      </c>
      <c r="G34" s="53">
        <f>'Ex post LI &amp; Eligibility Stats'!G12*396/1000</f>
        <v>0.18368248414993285</v>
      </c>
      <c r="H34" s="53">
        <v>0</v>
      </c>
      <c r="I34" s="53">
        <f>'Ex post LI &amp; Eligibility Stats'!I12*397/1000</f>
        <v>0.18414632880687715</v>
      </c>
      <c r="J34" s="53">
        <f>'Ex post LI &amp; Eligibility Stats'!J12*395/1000</f>
        <v>0.18321863949298858</v>
      </c>
      <c r="K34" s="53">
        <f>'Ex post LI &amp; Eligibility Stats'!K12*392/1000</f>
        <v>0.18182710552215575</v>
      </c>
      <c r="L34" s="53">
        <f>'Ex post LI &amp; Eligibility Stats'!L12*383/1000</f>
        <v>0.17765250360965729</v>
      </c>
      <c r="M34" s="53">
        <f>'Ex post LI &amp; Eligibility Stats'!M12*385/1000</f>
        <v>0.17858019292354585</v>
      </c>
    </row>
    <row r="35" spans="1:13">
      <c r="A35" s="310" t="s">
        <v>55</v>
      </c>
      <c r="B35" s="296">
        <v>0</v>
      </c>
      <c r="C35" s="296">
        <v>0</v>
      </c>
      <c r="D35" s="296">
        <v>0</v>
      </c>
      <c r="E35" s="296">
        <v>0</v>
      </c>
      <c r="F35" s="296">
        <v>0</v>
      </c>
      <c r="G35" s="296">
        <v>0</v>
      </c>
      <c r="H35" s="296">
        <v>0</v>
      </c>
      <c r="I35" s="296">
        <v>0</v>
      </c>
      <c r="J35" s="53">
        <v>0</v>
      </c>
      <c r="K35" s="53">
        <v>0</v>
      </c>
      <c r="L35" s="53">
        <v>0</v>
      </c>
      <c r="M35" s="53">
        <v>0</v>
      </c>
    </row>
    <row r="36" spans="1:13">
      <c r="A36" s="128" t="s">
        <v>109</v>
      </c>
      <c r="B36" s="53">
        <f>'Ex post LI &amp; Eligibility Stats'!B12*364/1000</f>
        <v>0.16744000000000001</v>
      </c>
      <c r="C36" s="53">
        <f>'Ex post LI &amp; Eligibility Stats'!C12*360/1000</f>
        <v>0.1656</v>
      </c>
      <c r="D36" s="53">
        <f>'Ex post LI &amp; Eligibility Stats'!D12*297/1000</f>
        <v>0.13776186311244965</v>
      </c>
      <c r="E36" s="53">
        <f>'Ex post LI &amp; Eligibility Stats'!E12*294/1000</f>
        <v>0.13637032914161681</v>
      </c>
      <c r="F36" s="53">
        <f>'Ex post LI &amp; Eligibility Stats'!F12*280/1000</f>
        <v>0.12987650394439698</v>
      </c>
      <c r="G36" s="53">
        <f>'Ex post LI &amp; Eligibility Stats'!G12*235/1000</f>
        <v>0.1090034943819046</v>
      </c>
      <c r="H36" s="53">
        <f>'Ex post LI &amp; Eligibility Stats'!H12*233/1000</f>
        <v>0.10807580506801605</v>
      </c>
      <c r="I36" s="53">
        <f>'Ex post LI &amp; Eligibility Stats'!I12*233/1000</f>
        <v>0.10807580506801605</v>
      </c>
      <c r="J36" s="53">
        <f>'Ex post LI &amp; Eligibility Stats'!J12*233/1000</f>
        <v>0.10807580506801605</v>
      </c>
      <c r="K36" s="53">
        <f>'Ex post LI &amp; Eligibility Stats'!K12*233/1000</f>
        <v>0.10807580506801605</v>
      </c>
      <c r="L36" s="53">
        <f>'Ex post LI &amp; Eligibility Stats'!L12*231/1000</f>
        <v>0.1071481157541275</v>
      </c>
      <c r="M36" s="53">
        <f>'Ex post LI &amp; Eligibility Stats'!M12*231/1000</f>
        <v>0.1071481157541275</v>
      </c>
    </row>
    <row r="37" spans="1:13">
      <c r="A37" s="128" t="s">
        <v>110</v>
      </c>
      <c r="B37" s="53">
        <v>0</v>
      </c>
      <c r="C37" s="53">
        <v>0</v>
      </c>
      <c r="D37" s="53">
        <f>'Program MW '!F18</f>
        <v>0</v>
      </c>
      <c r="E37" s="53">
        <f>'Program MW '!G18</f>
        <v>0</v>
      </c>
      <c r="F37" s="53">
        <v>0</v>
      </c>
      <c r="G37" s="53">
        <v>0</v>
      </c>
      <c r="H37" s="53">
        <v>0</v>
      </c>
      <c r="I37" s="53">
        <v>0</v>
      </c>
      <c r="J37" s="53">
        <v>0</v>
      </c>
      <c r="K37" s="53">
        <v>0</v>
      </c>
      <c r="L37" s="53">
        <v>0</v>
      </c>
      <c r="M37" s="53">
        <v>0</v>
      </c>
    </row>
    <row r="38" spans="1:13">
      <c r="A38" s="128" t="s">
        <v>164</v>
      </c>
      <c r="B38" s="53">
        <f>'Ex post LI &amp; Eligibility Stats'!B14*570/1000</f>
        <v>2.8500000000000001E-2</v>
      </c>
      <c r="C38" s="53">
        <f>'Ex post LI &amp; Eligibility Stats'!C14*570/1000</f>
        <v>2.8500000000000001E-2</v>
      </c>
      <c r="D38" s="53">
        <f>'Program MW '!F19</f>
        <v>0</v>
      </c>
      <c r="E38" s="53">
        <f>'Program MW '!G19</f>
        <v>0</v>
      </c>
      <c r="F38" s="53">
        <v>0</v>
      </c>
      <c r="G38" s="53">
        <v>0</v>
      </c>
      <c r="H38" s="53">
        <v>0</v>
      </c>
      <c r="I38" s="53">
        <v>0</v>
      </c>
      <c r="J38" s="53">
        <v>0</v>
      </c>
      <c r="K38" s="53">
        <v>0</v>
      </c>
      <c r="L38" s="53">
        <v>0</v>
      </c>
      <c r="M38" s="53">
        <v>0</v>
      </c>
    </row>
    <row r="39" spans="1:13">
      <c r="A39" s="128" t="s">
        <v>165</v>
      </c>
      <c r="B39" s="53">
        <f>'Ex post LI &amp; Eligibility Stats'!B15*2/1000</f>
        <v>3.5999999999999997E-2</v>
      </c>
      <c r="C39" s="53">
        <f>'Ex post LI &amp; Eligibility Stats'!C15*2/1000</f>
        <v>3.5999999999999997E-2</v>
      </c>
      <c r="D39" s="53">
        <f>'Ex post LI &amp; Eligibility Stats'!D15*1/1000</f>
        <v>1.7953320000000002E-2</v>
      </c>
      <c r="E39" s="53">
        <f>'Ex post LI &amp; Eligibility Stats'!E15*1/1000</f>
        <v>1.7953320000000002E-2</v>
      </c>
      <c r="F39" s="53">
        <v>0</v>
      </c>
      <c r="G39" s="53">
        <v>0</v>
      </c>
      <c r="H39" s="53">
        <v>0</v>
      </c>
      <c r="I39" s="53">
        <v>0</v>
      </c>
      <c r="J39" s="53">
        <v>0</v>
      </c>
      <c r="K39" s="53">
        <v>0</v>
      </c>
      <c r="L39" s="53">
        <v>0</v>
      </c>
      <c r="M39" s="53">
        <v>0</v>
      </c>
    </row>
    <row r="40" spans="1:13" s="39" customFormat="1">
      <c r="A40" s="517" t="s">
        <v>111</v>
      </c>
      <c r="B40" s="489">
        <f t="shared" ref="B40:C40" si="14">SUM(B33:B39)</f>
        <v>0.8966400000000001</v>
      </c>
      <c r="C40" s="489">
        <f t="shared" si="14"/>
        <v>0.89341999999999999</v>
      </c>
      <c r="D40" s="489">
        <f t="shared" ref="D40:I40" si="15">SUM(D33:D39)</f>
        <v>0.50406252047760014</v>
      </c>
      <c r="E40" s="489">
        <f t="shared" ref="E40" si="16">SUM(E33:E39)</f>
        <v>0.50267098650676734</v>
      </c>
      <c r="F40" s="489">
        <f t="shared" ref="F40" si="17">SUM(F33:F39)</f>
        <v>0.4675554141998291</v>
      </c>
      <c r="G40" s="489">
        <f t="shared" si="15"/>
        <v>0.40215331757068634</v>
      </c>
      <c r="H40" s="489">
        <f t="shared" si="15"/>
        <v>0.22357312464714049</v>
      </c>
      <c r="I40" s="489">
        <f t="shared" si="15"/>
        <v>0.41931556987762453</v>
      </c>
      <c r="J40" s="489">
        <f t="shared" ref="J40" si="18">SUM(J33:J39)</f>
        <v>0.41885172522068026</v>
      </c>
      <c r="K40" s="489">
        <f>SUM(K33:K39)</f>
        <v>0.4174601912498474</v>
      </c>
      <c r="L40" s="489">
        <f>SUM(L33:L39)</f>
        <v>0.4211709485054016</v>
      </c>
      <c r="M40" s="489">
        <f>SUM(M33:M39)</f>
        <v>0.41204971667767332</v>
      </c>
    </row>
    <row r="41" spans="1:13">
      <c r="C41" s="41"/>
      <c r="D41" s="41"/>
      <c r="E41" s="41"/>
      <c r="F41" s="41"/>
      <c r="G41" s="41"/>
    </row>
    <row r="42" spans="1:13" ht="15">
      <c r="A42" s="177" t="s">
        <v>67</v>
      </c>
      <c r="G42" s="41"/>
    </row>
    <row r="43" spans="1:13" ht="14.25">
      <c r="A43" s="316"/>
      <c r="B43" s="145"/>
      <c r="C43" s="145"/>
      <c r="D43" s="209"/>
      <c r="E43" s="209"/>
      <c r="F43" s="209"/>
      <c r="G43" s="145"/>
      <c r="H43" s="145"/>
      <c r="I43" s="145"/>
      <c r="J43" s="145"/>
      <c r="K43" s="145"/>
    </row>
    <row r="44" spans="1:13" ht="15">
      <c r="A44" s="178" t="s">
        <v>79</v>
      </c>
    </row>
    <row r="46" spans="1:13" ht="15">
      <c r="A46" s="112" t="s">
        <v>56</v>
      </c>
    </row>
    <row r="48" spans="1:13">
      <c r="A48" s="154"/>
    </row>
  </sheetData>
  <mergeCells count="2">
    <mergeCell ref="B3:M3"/>
    <mergeCell ref="G4:H4"/>
  </mergeCells>
  <printOptions horizontalCentered="1"/>
  <pageMargins left="0" right="0" top="0.55000000000000004" bottom="0.17" header="0.3" footer="0.15"/>
  <pageSetup paperSize="5" scale="67"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7"/>
  <sheetViews>
    <sheetView zoomScale="90" zoomScaleNormal="90" workbookViewId="0">
      <pane xSplit="1" ySplit="10" topLeftCell="B11" activePane="bottomRight" state="frozen"/>
      <selection pane="topRight" activeCell="O33" sqref="O33"/>
      <selection pane="bottomLeft" activeCell="O33" sqref="O33"/>
      <selection pane="bottomRight" activeCell="H44" sqref="H44"/>
    </sheetView>
  </sheetViews>
  <sheetFormatPr defaultRowHeight="12"/>
  <cols>
    <col min="1" max="1" width="84.28515625" style="190" customWidth="1"/>
    <col min="2" max="13" width="12.5703125" style="190" customWidth="1"/>
    <col min="14" max="15" width="15.5703125" style="190" customWidth="1"/>
    <col min="16" max="16" width="16.5703125" style="190" hidden="1" customWidth="1"/>
    <col min="17" max="17" width="15.5703125" style="190" customWidth="1"/>
    <col min="18" max="256" width="9.28515625" style="190"/>
    <col min="257" max="257" width="70" style="190" customWidth="1"/>
    <col min="258" max="269" width="12.7109375" style="190" customWidth="1"/>
    <col min="270" max="270" width="11" style="190" customWidth="1"/>
    <col min="271" max="271" width="0" style="190" hidden="1" customWidth="1"/>
    <col min="272" max="273" width="11.7109375" style="190" customWidth="1"/>
    <col min="274" max="512" width="9.28515625" style="190"/>
    <col min="513" max="513" width="70" style="190" customWidth="1"/>
    <col min="514" max="525" width="12.7109375" style="190" customWidth="1"/>
    <col min="526" max="526" width="11" style="190" customWidth="1"/>
    <col min="527" max="527" width="0" style="190" hidden="1" customWidth="1"/>
    <col min="528" max="529" width="11.7109375" style="190" customWidth="1"/>
    <col min="530" max="768" width="9.28515625" style="190"/>
    <col min="769" max="769" width="70" style="190" customWidth="1"/>
    <col min="770" max="781" width="12.7109375" style="190" customWidth="1"/>
    <col min="782" max="782" width="11" style="190" customWidth="1"/>
    <col min="783" max="783" width="0" style="190" hidden="1" customWidth="1"/>
    <col min="784" max="785" width="11.7109375" style="190" customWidth="1"/>
    <col min="786" max="1024" width="9.28515625" style="190"/>
    <col min="1025" max="1025" width="70" style="190" customWidth="1"/>
    <col min="1026" max="1037" width="12.7109375" style="190" customWidth="1"/>
    <col min="1038" max="1038" width="11" style="190" customWidth="1"/>
    <col min="1039" max="1039" width="0" style="190" hidden="1" customWidth="1"/>
    <col min="1040" max="1041" width="11.7109375" style="190" customWidth="1"/>
    <col min="1042" max="1280" width="9.28515625" style="190"/>
    <col min="1281" max="1281" width="70" style="190" customWidth="1"/>
    <col min="1282" max="1293" width="12.7109375" style="190" customWidth="1"/>
    <col min="1294" max="1294" width="11" style="190" customWidth="1"/>
    <col min="1295" max="1295" width="0" style="190" hidden="1" customWidth="1"/>
    <col min="1296" max="1297" width="11.7109375" style="190" customWidth="1"/>
    <col min="1298" max="1536" width="9.28515625" style="190"/>
    <col min="1537" max="1537" width="70" style="190" customWidth="1"/>
    <col min="1538" max="1549" width="12.7109375" style="190" customWidth="1"/>
    <col min="1550" max="1550" width="11" style="190" customWidth="1"/>
    <col min="1551" max="1551" width="0" style="190" hidden="1" customWidth="1"/>
    <col min="1552" max="1553" width="11.7109375" style="190" customWidth="1"/>
    <col min="1554" max="1792" width="9.28515625" style="190"/>
    <col min="1793" max="1793" width="70" style="190" customWidth="1"/>
    <col min="1794" max="1805" width="12.7109375" style="190" customWidth="1"/>
    <col min="1806" max="1806" width="11" style="190" customWidth="1"/>
    <col min="1807" max="1807" width="0" style="190" hidden="1" customWidth="1"/>
    <col min="1808" max="1809" width="11.7109375" style="190" customWidth="1"/>
    <col min="1810" max="2048" width="9.28515625" style="190"/>
    <col min="2049" max="2049" width="70" style="190" customWidth="1"/>
    <col min="2050" max="2061" width="12.7109375" style="190" customWidth="1"/>
    <col min="2062" max="2062" width="11" style="190" customWidth="1"/>
    <col min="2063" max="2063" width="0" style="190" hidden="1" customWidth="1"/>
    <col min="2064" max="2065" width="11.7109375" style="190" customWidth="1"/>
    <col min="2066" max="2304" width="9.28515625" style="190"/>
    <col min="2305" max="2305" width="70" style="190" customWidth="1"/>
    <col min="2306" max="2317" width="12.7109375" style="190" customWidth="1"/>
    <col min="2318" max="2318" width="11" style="190" customWidth="1"/>
    <col min="2319" max="2319" width="0" style="190" hidden="1" customWidth="1"/>
    <col min="2320" max="2321" width="11.7109375" style="190" customWidth="1"/>
    <col min="2322" max="2560" width="9.28515625" style="190"/>
    <col min="2561" max="2561" width="70" style="190" customWidth="1"/>
    <col min="2562" max="2573" width="12.7109375" style="190" customWidth="1"/>
    <col min="2574" max="2574" width="11" style="190" customWidth="1"/>
    <col min="2575" max="2575" width="0" style="190" hidden="1" customWidth="1"/>
    <col min="2576" max="2577" width="11.7109375" style="190" customWidth="1"/>
    <col min="2578" max="2816" width="9.28515625" style="190"/>
    <col min="2817" max="2817" width="70" style="190" customWidth="1"/>
    <col min="2818" max="2829" width="12.7109375" style="190" customWidth="1"/>
    <col min="2830" max="2830" width="11" style="190" customWidth="1"/>
    <col min="2831" max="2831" width="0" style="190" hidden="1" customWidth="1"/>
    <col min="2832" max="2833" width="11.7109375" style="190" customWidth="1"/>
    <col min="2834" max="3072" width="9.28515625" style="190"/>
    <col min="3073" max="3073" width="70" style="190" customWidth="1"/>
    <col min="3074" max="3085" width="12.7109375" style="190" customWidth="1"/>
    <col min="3086" max="3086" width="11" style="190" customWidth="1"/>
    <col min="3087" max="3087" width="0" style="190" hidden="1" customWidth="1"/>
    <col min="3088" max="3089" width="11.7109375" style="190" customWidth="1"/>
    <col min="3090" max="3328" width="9.28515625" style="190"/>
    <col min="3329" max="3329" width="70" style="190" customWidth="1"/>
    <col min="3330" max="3341" width="12.7109375" style="190" customWidth="1"/>
    <col min="3342" max="3342" width="11" style="190" customWidth="1"/>
    <col min="3343" max="3343" width="0" style="190" hidden="1" customWidth="1"/>
    <col min="3344" max="3345" width="11.7109375" style="190" customWidth="1"/>
    <col min="3346" max="3584" width="9.28515625" style="190"/>
    <col min="3585" max="3585" width="70" style="190" customWidth="1"/>
    <col min="3586" max="3597" width="12.7109375" style="190" customWidth="1"/>
    <col min="3598" max="3598" width="11" style="190" customWidth="1"/>
    <col min="3599" max="3599" width="0" style="190" hidden="1" customWidth="1"/>
    <col min="3600" max="3601" width="11.7109375" style="190" customWidth="1"/>
    <col min="3602" max="3840" width="9.28515625" style="190"/>
    <col min="3841" max="3841" width="70" style="190" customWidth="1"/>
    <col min="3842" max="3853" width="12.7109375" style="190" customWidth="1"/>
    <col min="3854" max="3854" width="11" style="190" customWidth="1"/>
    <col min="3855" max="3855" width="0" style="190" hidden="1" customWidth="1"/>
    <col min="3856" max="3857" width="11.7109375" style="190" customWidth="1"/>
    <col min="3858" max="4096" width="9.28515625" style="190"/>
    <col min="4097" max="4097" width="70" style="190" customWidth="1"/>
    <col min="4098" max="4109" width="12.7109375" style="190" customWidth="1"/>
    <col min="4110" max="4110" width="11" style="190" customWidth="1"/>
    <col min="4111" max="4111" width="0" style="190" hidden="1" customWidth="1"/>
    <col min="4112" max="4113" width="11.7109375" style="190" customWidth="1"/>
    <col min="4114" max="4352" width="9.28515625" style="190"/>
    <col min="4353" max="4353" width="70" style="190" customWidth="1"/>
    <col min="4354" max="4365" width="12.7109375" style="190" customWidth="1"/>
    <col min="4366" max="4366" width="11" style="190" customWidth="1"/>
    <col min="4367" max="4367" width="0" style="190" hidden="1" customWidth="1"/>
    <col min="4368" max="4369" width="11.7109375" style="190" customWidth="1"/>
    <col min="4370" max="4608" width="9.28515625" style="190"/>
    <col min="4609" max="4609" width="70" style="190" customWidth="1"/>
    <col min="4610" max="4621" width="12.7109375" style="190" customWidth="1"/>
    <col min="4622" max="4622" width="11" style="190" customWidth="1"/>
    <col min="4623" max="4623" width="0" style="190" hidden="1" customWidth="1"/>
    <col min="4624" max="4625" width="11.7109375" style="190" customWidth="1"/>
    <col min="4626" max="4864" width="9.28515625" style="190"/>
    <col min="4865" max="4865" width="70" style="190" customWidth="1"/>
    <col min="4866" max="4877" width="12.7109375" style="190" customWidth="1"/>
    <col min="4878" max="4878" width="11" style="190" customWidth="1"/>
    <col min="4879" max="4879" width="0" style="190" hidden="1" customWidth="1"/>
    <col min="4880" max="4881" width="11.7109375" style="190" customWidth="1"/>
    <col min="4882" max="5120" width="9.28515625" style="190"/>
    <col min="5121" max="5121" width="70" style="190" customWidth="1"/>
    <col min="5122" max="5133" width="12.7109375" style="190" customWidth="1"/>
    <col min="5134" max="5134" width="11" style="190" customWidth="1"/>
    <col min="5135" max="5135" width="0" style="190" hidden="1" customWidth="1"/>
    <col min="5136" max="5137" width="11.7109375" style="190" customWidth="1"/>
    <col min="5138" max="5376" width="9.28515625" style="190"/>
    <col min="5377" max="5377" width="70" style="190" customWidth="1"/>
    <col min="5378" max="5389" width="12.7109375" style="190" customWidth="1"/>
    <col min="5390" max="5390" width="11" style="190" customWidth="1"/>
    <col min="5391" max="5391" width="0" style="190" hidden="1" customWidth="1"/>
    <col min="5392" max="5393" width="11.7109375" style="190" customWidth="1"/>
    <col min="5394" max="5632" width="9.28515625" style="190"/>
    <col min="5633" max="5633" width="70" style="190" customWidth="1"/>
    <col min="5634" max="5645" width="12.7109375" style="190" customWidth="1"/>
    <col min="5646" max="5646" width="11" style="190" customWidth="1"/>
    <col min="5647" max="5647" width="0" style="190" hidden="1" customWidth="1"/>
    <col min="5648" max="5649" width="11.7109375" style="190" customWidth="1"/>
    <col min="5650" max="5888" width="9.28515625" style="190"/>
    <col min="5889" max="5889" width="70" style="190" customWidth="1"/>
    <col min="5890" max="5901" width="12.7109375" style="190" customWidth="1"/>
    <col min="5902" max="5902" width="11" style="190" customWidth="1"/>
    <col min="5903" max="5903" width="0" style="190" hidden="1" customWidth="1"/>
    <col min="5904" max="5905" width="11.7109375" style="190" customWidth="1"/>
    <col min="5906" max="6144" width="9.28515625" style="190"/>
    <col min="6145" max="6145" width="70" style="190" customWidth="1"/>
    <col min="6146" max="6157" width="12.7109375" style="190" customWidth="1"/>
    <col min="6158" max="6158" width="11" style="190" customWidth="1"/>
    <col min="6159" max="6159" width="0" style="190" hidden="1" customWidth="1"/>
    <col min="6160" max="6161" width="11.7109375" style="190" customWidth="1"/>
    <col min="6162" max="6400" width="9.28515625" style="190"/>
    <col min="6401" max="6401" width="70" style="190" customWidth="1"/>
    <col min="6402" max="6413" width="12.7109375" style="190" customWidth="1"/>
    <col min="6414" max="6414" width="11" style="190" customWidth="1"/>
    <col min="6415" max="6415" width="0" style="190" hidden="1" customWidth="1"/>
    <col min="6416" max="6417" width="11.7109375" style="190" customWidth="1"/>
    <col min="6418" max="6656" width="9.28515625" style="190"/>
    <col min="6657" max="6657" width="70" style="190" customWidth="1"/>
    <col min="6658" max="6669" width="12.7109375" style="190" customWidth="1"/>
    <col min="6670" max="6670" width="11" style="190" customWidth="1"/>
    <col min="6671" max="6671" width="0" style="190" hidden="1" customWidth="1"/>
    <col min="6672" max="6673" width="11.7109375" style="190" customWidth="1"/>
    <col min="6674" max="6912" width="9.28515625" style="190"/>
    <col min="6913" max="6913" width="70" style="190" customWidth="1"/>
    <col min="6914" max="6925" width="12.7109375" style="190" customWidth="1"/>
    <col min="6926" max="6926" width="11" style="190" customWidth="1"/>
    <col min="6927" max="6927" width="0" style="190" hidden="1" customWidth="1"/>
    <col min="6928" max="6929" width="11.7109375" style="190" customWidth="1"/>
    <col min="6930" max="7168" width="9.28515625" style="190"/>
    <col min="7169" max="7169" width="70" style="190" customWidth="1"/>
    <col min="7170" max="7181" width="12.7109375" style="190" customWidth="1"/>
    <col min="7182" max="7182" width="11" style="190" customWidth="1"/>
    <col min="7183" max="7183" width="0" style="190" hidden="1" customWidth="1"/>
    <col min="7184" max="7185" width="11.7109375" style="190" customWidth="1"/>
    <col min="7186" max="7424" width="9.28515625" style="190"/>
    <col min="7425" max="7425" width="70" style="190" customWidth="1"/>
    <col min="7426" max="7437" width="12.7109375" style="190" customWidth="1"/>
    <col min="7438" max="7438" width="11" style="190" customWidth="1"/>
    <col min="7439" max="7439" width="0" style="190" hidden="1" customWidth="1"/>
    <col min="7440" max="7441" width="11.7109375" style="190" customWidth="1"/>
    <col min="7442" max="7680" width="9.28515625" style="190"/>
    <col min="7681" max="7681" width="70" style="190" customWidth="1"/>
    <col min="7682" max="7693" width="12.7109375" style="190" customWidth="1"/>
    <col min="7694" max="7694" width="11" style="190" customWidth="1"/>
    <col min="7695" max="7695" width="0" style="190" hidden="1" customWidth="1"/>
    <col min="7696" max="7697" width="11.7109375" style="190" customWidth="1"/>
    <col min="7698" max="7936" width="9.28515625" style="190"/>
    <col min="7937" max="7937" width="70" style="190" customWidth="1"/>
    <col min="7938" max="7949" width="12.7109375" style="190" customWidth="1"/>
    <col min="7950" max="7950" width="11" style="190" customWidth="1"/>
    <col min="7951" max="7951" width="0" style="190" hidden="1" customWidth="1"/>
    <col min="7952" max="7953" width="11.7109375" style="190" customWidth="1"/>
    <col min="7954" max="8192" width="9.28515625" style="190"/>
    <col min="8193" max="8193" width="70" style="190" customWidth="1"/>
    <col min="8194" max="8205" width="12.7109375" style="190" customWidth="1"/>
    <col min="8206" max="8206" width="11" style="190" customWidth="1"/>
    <col min="8207" max="8207" width="0" style="190" hidden="1" customWidth="1"/>
    <col min="8208" max="8209" width="11.7109375" style="190" customWidth="1"/>
    <col min="8210" max="8448" width="9.28515625" style="190"/>
    <col min="8449" max="8449" width="70" style="190" customWidth="1"/>
    <col min="8450" max="8461" width="12.7109375" style="190" customWidth="1"/>
    <col min="8462" max="8462" width="11" style="190" customWidth="1"/>
    <col min="8463" max="8463" width="0" style="190" hidden="1" customWidth="1"/>
    <col min="8464" max="8465" width="11.7109375" style="190" customWidth="1"/>
    <col min="8466" max="8704" width="9.28515625" style="190"/>
    <col min="8705" max="8705" width="70" style="190" customWidth="1"/>
    <col min="8706" max="8717" width="12.7109375" style="190" customWidth="1"/>
    <col min="8718" max="8718" width="11" style="190" customWidth="1"/>
    <col min="8719" max="8719" width="0" style="190" hidden="1" customWidth="1"/>
    <col min="8720" max="8721" width="11.7109375" style="190" customWidth="1"/>
    <col min="8722" max="8960" width="9.28515625" style="190"/>
    <col min="8961" max="8961" width="70" style="190" customWidth="1"/>
    <col min="8962" max="8973" width="12.7109375" style="190" customWidth="1"/>
    <col min="8974" max="8974" width="11" style="190" customWidth="1"/>
    <col min="8975" max="8975" width="0" style="190" hidden="1" customWidth="1"/>
    <col min="8976" max="8977" width="11.7109375" style="190" customWidth="1"/>
    <col min="8978" max="9216" width="9.28515625" style="190"/>
    <col min="9217" max="9217" width="70" style="190" customWidth="1"/>
    <col min="9218" max="9229" width="12.7109375" style="190" customWidth="1"/>
    <col min="9230" max="9230" width="11" style="190" customWidth="1"/>
    <col min="9231" max="9231" width="0" style="190" hidden="1" customWidth="1"/>
    <col min="9232" max="9233" width="11.7109375" style="190" customWidth="1"/>
    <col min="9234" max="9472" width="9.28515625" style="190"/>
    <col min="9473" max="9473" width="70" style="190" customWidth="1"/>
    <col min="9474" max="9485" width="12.7109375" style="190" customWidth="1"/>
    <col min="9486" max="9486" width="11" style="190" customWidth="1"/>
    <col min="9487" max="9487" width="0" style="190" hidden="1" customWidth="1"/>
    <col min="9488" max="9489" width="11.7109375" style="190" customWidth="1"/>
    <col min="9490" max="9728" width="9.28515625" style="190"/>
    <col min="9729" max="9729" width="70" style="190" customWidth="1"/>
    <col min="9730" max="9741" width="12.7109375" style="190" customWidth="1"/>
    <col min="9742" max="9742" width="11" style="190" customWidth="1"/>
    <col min="9743" max="9743" width="0" style="190" hidden="1" customWidth="1"/>
    <col min="9744" max="9745" width="11.7109375" style="190" customWidth="1"/>
    <col min="9746" max="9984" width="9.28515625" style="190"/>
    <col min="9985" max="9985" width="70" style="190" customWidth="1"/>
    <col min="9986" max="9997" width="12.7109375" style="190" customWidth="1"/>
    <col min="9998" max="9998" width="11" style="190" customWidth="1"/>
    <col min="9999" max="9999" width="0" style="190" hidden="1" customWidth="1"/>
    <col min="10000" max="10001" width="11.7109375" style="190" customWidth="1"/>
    <col min="10002" max="10240" width="9.28515625" style="190"/>
    <col min="10241" max="10241" width="70" style="190" customWidth="1"/>
    <col min="10242" max="10253" width="12.7109375" style="190" customWidth="1"/>
    <col min="10254" max="10254" width="11" style="190" customWidth="1"/>
    <col min="10255" max="10255" width="0" style="190" hidden="1" customWidth="1"/>
    <col min="10256" max="10257" width="11.7109375" style="190" customWidth="1"/>
    <col min="10258" max="10496" width="9.28515625" style="190"/>
    <col min="10497" max="10497" width="70" style="190" customWidth="1"/>
    <col min="10498" max="10509" width="12.7109375" style="190" customWidth="1"/>
    <col min="10510" max="10510" width="11" style="190" customWidth="1"/>
    <col min="10511" max="10511" width="0" style="190" hidden="1" customWidth="1"/>
    <col min="10512" max="10513" width="11.7109375" style="190" customWidth="1"/>
    <col min="10514" max="10752" width="9.28515625" style="190"/>
    <col min="10753" max="10753" width="70" style="190" customWidth="1"/>
    <col min="10754" max="10765" width="12.7109375" style="190" customWidth="1"/>
    <col min="10766" max="10766" width="11" style="190" customWidth="1"/>
    <col min="10767" max="10767" width="0" style="190" hidden="1" customWidth="1"/>
    <col min="10768" max="10769" width="11.7109375" style="190" customWidth="1"/>
    <col min="10770" max="11008" width="9.28515625" style="190"/>
    <col min="11009" max="11009" width="70" style="190" customWidth="1"/>
    <col min="11010" max="11021" width="12.7109375" style="190" customWidth="1"/>
    <col min="11022" max="11022" width="11" style="190" customWidth="1"/>
    <col min="11023" max="11023" width="0" style="190" hidden="1" customWidth="1"/>
    <col min="11024" max="11025" width="11.7109375" style="190" customWidth="1"/>
    <col min="11026" max="11264" width="9.28515625" style="190"/>
    <col min="11265" max="11265" width="70" style="190" customWidth="1"/>
    <col min="11266" max="11277" width="12.7109375" style="190" customWidth="1"/>
    <col min="11278" max="11278" width="11" style="190" customWidth="1"/>
    <col min="11279" max="11279" width="0" style="190" hidden="1" customWidth="1"/>
    <col min="11280" max="11281" width="11.7109375" style="190" customWidth="1"/>
    <col min="11282" max="11520" width="9.28515625" style="190"/>
    <col min="11521" max="11521" width="70" style="190" customWidth="1"/>
    <col min="11522" max="11533" width="12.7109375" style="190" customWidth="1"/>
    <col min="11534" max="11534" width="11" style="190" customWidth="1"/>
    <col min="11535" max="11535" width="0" style="190" hidden="1" customWidth="1"/>
    <col min="11536" max="11537" width="11.7109375" style="190" customWidth="1"/>
    <col min="11538" max="11776" width="9.28515625" style="190"/>
    <col min="11777" max="11777" width="70" style="190" customWidth="1"/>
    <col min="11778" max="11789" width="12.7109375" style="190" customWidth="1"/>
    <col min="11790" max="11790" width="11" style="190" customWidth="1"/>
    <col min="11791" max="11791" width="0" style="190" hidden="1" customWidth="1"/>
    <col min="11792" max="11793" width="11.7109375" style="190" customWidth="1"/>
    <col min="11794" max="12032" width="9.28515625" style="190"/>
    <col min="12033" max="12033" width="70" style="190" customWidth="1"/>
    <col min="12034" max="12045" width="12.7109375" style="190" customWidth="1"/>
    <col min="12046" max="12046" width="11" style="190" customWidth="1"/>
    <col min="12047" max="12047" width="0" style="190" hidden="1" customWidth="1"/>
    <col min="12048" max="12049" width="11.7109375" style="190" customWidth="1"/>
    <col min="12050" max="12288" width="9.28515625" style="190"/>
    <col min="12289" max="12289" width="70" style="190" customWidth="1"/>
    <col min="12290" max="12301" width="12.7109375" style="190" customWidth="1"/>
    <col min="12302" max="12302" width="11" style="190" customWidth="1"/>
    <col min="12303" max="12303" width="0" style="190" hidden="1" customWidth="1"/>
    <col min="12304" max="12305" width="11.7109375" style="190" customWidth="1"/>
    <col min="12306" max="12544" width="9.28515625" style="190"/>
    <col min="12545" max="12545" width="70" style="190" customWidth="1"/>
    <col min="12546" max="12557" width="12.7109375" style="190" customWidth="1"/>
    <col min="12558" max="12558" width="11" style="190" customWidth="1"/>
    <col min="12559" max="12559" width="0" style="190" hidden="1" customWidth="1"/>
    <col min="12560" max="12561" width="11.7109375" style="190" customWidth="1"/>
    <col min="12562" max="12800" width="9.28515625" style="190"/>
    <col min="12801" max="12801" width="70" style="190" customWidth="1"/>
    <col min="12802" max="12813" width="12.7109375" style="190" customWidth="1"/>
    <col min="12814" max="12814" width="11" style="190" customWidth="1"/>
    <col min="12815" max="12815" width="0" style="190" hidden="1" customWidth="1"/>
    <col min="12816" max="12817" width="11.7109375" style="190" customWidth="1"/>
    <col min="12818" max="13056" width="9.28515625" style="190"/>
    <col min="13057" max="13057" width="70" style="190" customWidth="1"/>
    <col min="13058" max="13069" width="12.7109375" style="190" customWidth="1"/>
    <col min="13070" max="13070" width="11" style="190" customWidth="1"/>
    <col min="13071" max="13071" width="0" style="190" hidden="1" customWidth="1"/>
    <col min="13072" max="13073" width="11.7109375" style="190" customWidth="1"/>
    <col min="13074" max="13312" width="9.28515625" style="190"/>
    <col min="13313" max="13313" width="70" style="190" customWidth="1"/>
    <col min="13314" max="13325" width="12.7109375" style="190" customWidth="1"/>
    <col min="13326" max="13326" width="11" style="190" customWidth="1"/>
    <col min="13327" max="13327" width="0" style="190" hidden="1" customWidth="1"/>
    <col min="13328" max="13329" width="11.7109375" style="190" customWidth="1"/>
    <col min="13330" max="13568" width="9.28515625" style="190"/>
    <col min="13569" max="13569" width="70" style="190" customWidth="1"/>
    <col min="13570" max="13581" width="12.7109375" style="190" customWidth="1"/>
    <col min="13582" max="13582" width="11" style="190" customWidth="1"/>
    <col min="13583" max="13583" width="0" style="190" hidden="1" customWidth="1"/>
    <col min="13584" max="13585" width="11.7109375" style="190" customWidth="1"/>
    <col min="13586" max="13824" width="9.28515625" style="190"/>
    <col min="13825" max="13825" width="70" style="190" customWidth="1"/>
    <col min="13826" max="13837" width="12.7109375" style="190" customWidth="1"/>
    <col min="13838" max="13838" width="11" style="190" customWidth="1"/>
    <col min="13839" max="13839" width="0" style="190" hidden="1" customWidth="1"/>
    <col min="13840" max="13841" width="11.7109375" style="190" customWidth="1"/>
    <col min="13842" max="14080" width="9.28515625" style="190"/>
    <col min="14081" max="14081" width="70" style="190" customWidth="1"/>
    <col min="14082" max="14093" width="12.7109375" style="190" customWidth="1"/>
    <col min="14094" max="14094" width="11" style="190" customWidth="1"/>
    <col min="14095" max="14095" width="0" style="190" hidden="1" customWidth="1"/>
    <col min="14096" max="14097" width="11.7109375" style="190" customWidth="1"/>
    <col min="14098" max="14336" width="9.28515625" style="190"/>
    <col min="14337" max="14337" width="70" style="190" customWidth="1"/>
    <col min="14338" max="14349" width="12.7109375" style="190" customWidth="1"/>
    <col min="14350" max="14350" width="11" style="190" customWidth="1"/>
    <col min="14351" max="14351" width="0" style="190" hidden="1" customWidth="1"/>
    <col min="14352" max="14353" width="11.7109375" style="190" customWidth="1"/>
    <col min="14354" max="14592" width="9.28515625" style="190"/>
    <col min="14593" max="14593" width="70" style="190" customWidth="1"/>
    <col min="14594" max="14605" width="12.7109375" style="190" customWidth="1"/>
    <col min="14606" max="14606" width="11" style="190" customWidth="1"/>
    <col min="14607" max="14607" width="0" style="190" hidden="1" customWidth="1"/>
    <col min="14608" max="14609" width="11.7109375" style="190" customWidth="1"/>
    <col min="14610" max="14848" width="9.28515625" style="190"/>
    <col min="14849" max="14849" width="70" style="190" customWidth="1"/>
    <col min="14850" max="14861" width="12.7109375" style="190" customWidth="1"/>
    <col min="14862" max="14862" width="11" style="190" customWidth="1"/>
    <col min="14863" max="14863" width="0" style="190" hidden="1" customWidth="1"/>
    <col min="14864" max="14865" width="11.7109375" style="190" customWidth="1"/>
    <col min="14866" max="15104" width="9.28515625" style="190"/>
    <col min="15105" max="15105" width="70" style="190" customWidth="1"/>
    <col min="15106" max="15117" width="12.7109375" style="190" customWidth="1"/>
    <col min="15118" max="15118" width="11" style="190" customWidth="1"/>
    <col min="15119" max="15119" width="0" style="190" hidden="1" customWidth="1"/>
    <col min="15120" max="15121" width="11.7109375" style="190" customWidth="1"/>
    <col min="15122" max="15360" width="9.28515625" style="190"/>
    <col min="15361" max="15361" width="70" style="190" customWidth="1"/>
    <col min="15362" max="15373" width="12.7109375" style="190" customWidth="1"/>
    <col min="15374" max="15374" width="11" style="190" customWidth="1"/>
    <col min="15375" max="15375" width="0" style="190" hidden="1" customWidth="1"/>
    <col min="15376" max="15377" width="11.7109375" style="190" customWidth="1"/>
    <col min="15378" max="15616" width="9.28515625" style="190"/>
    <col min="15617" max="15617" width="70" style="190" customWidth="1"/>
    <col min="15618" max="15629" width="12.7109375" style="190" customWidth="1"/>
    <col min="15630" max="15630" width="11" style="190" customWidth="1"/>
    <col min="15631" max="15631" width="0" style="190" hidden="1" customWidth="1"/>
    <col min="15632" max="15633" width="11.7109375" style="190" customWidth="1"/>
    <col min="15634" max="15872" width="9.28515625" style="190"/>
    <col min="15873" max="15873" width="70" style="190" customWidth="1"/>
    <col min="15874" max="15885" width="12.7109375" style="190" customWidth="1"/>
    <col min="15886" max="15886" width="11" style="190" customWidth="1"/>
    <col min="15887" max="15887" width="0" style="190" hidden="1" customWidth="1"/>
    <col min="15888" max="15889" width="11.7109375" style="190" customWidth="1"/>
    <col min="15890" max="16128" width="9.28515625" style="190"/>
    <col min="16129" max="16129" width="70" style="190" customWidth="1"/>
    <col min="16130" max="16141" width="12.7109375" style="190" customWidth="1"/>
    <col min="16142" max="16142" width="11" style="190" customWidth="1"/>
    <col min="16143" max="16143" width="0" style="190" hidden="1" customWidth="1"/>
    <col min="16144" max="16145" width="11.7109375" style="190" customWidth="1"/>
    <col min="16146" max="16384" width="9.28515625" style="190"/>
  </cols>
  <sheetData>
    <row r="1" spans="1:17" ht="13.5" customHeight="1">
      <c r="L1" s="191"/>
      <c r="O1" s="191"/>
      <c r="P1" s="191"/>
      <c r="Q1" s="191"/>
    </row>
    <row r="2" spans="1:17" s="595" customFormat="1" ht="13.5" customHeight="1">
      <c r="C2" s="596" t="s">
        <v>39</v>
      </c>
      <c r="L2" s="597"/>
      <c r="O2" s="597"/>
      <c r="P2" s="597"/>
      <c r="Q2" s="597"/>
    </row>
    <row r="3" spans="1:17" s="595" customFormat="1" ht="13.5" customHeight="1">
      <c r="C3" s="596" t="s">
        <v>171</v>
      </c>
      <c r="L3" s="597"/>
      <c r="O3" s="597"/>
      <c r="P3" s="597"/>
      <c r="Q3" s="597"/>
    </row>
    <row r="4" spans="1:17" s="595" customFormat="1" ht="13.5" customHeight="1">
      <c r="C4" s="598" t="str">
        <f>'Program MW '!H3</f>
        <v>December  2021</v>
      </c>
      <c r="L4" s="597"/>
      <c r="O4" s="597"/>
      <c r="P4" s="597"/>
      <c r="Q4" s="597"/>
    </row>
    <row r="5" spans="1:17" s="595" customFormat="1" ht="13.5" customHeight="1">
      <c r="L5" s="597"/>
      <c r="O5" s="597"/>
      <c r="P5" s="597"/>
      <c r="Q5" s="597"/>
    </row>
    <row r="6" spans="1:17" s="599" customFormat="1" ht="13.5" customHeight="1"/>
    <row r="7" spans="1:17" s="202" customFormat="1" ht="18" customHeight="1">
      <c r="A7" s="518"/>
      <c r="B7" s="519" t="s">
        <v>172</v>
      </c>
      <c r="C7" s="518"/>
      <c r="D7" s="518"/>
      <c r="E7" s="518"/>
      <c r="F7" s="518"/>
      <c r="G7" s="518"/>
      <c r="H7" s="518"/>
      <c r="I7" s="518"/>
      <c r="J7" s="518"/>
      <c r="K7" s="518"/>
      <c r="L7" s="518"/>
      <c r="M7" s="518"/>
      <c r="N7" s="703" t="s">
        <v>173</v>
      </c>
      <c r="O7" s="701" t="s">
        <v>174</v>
      </c>
      <c r="P7" s="520"/>
      <c r="Q7" s="703" t="s">
        <v>175</v>
      </c>
    </row>
    <row r="8" spans="1:17" s="202" customFormat="1" ht="39" customHeight="1">
      <c r="A8" s="268"/>
      <c r="B8" s="521" t="s">
        <v>41</v>
      </c>
      <c r="C8" s="272" t="s">
        <v>42</v>
      </c>
      <c r="D8" s="272" t="s">
        <v>43</v>
      </c>
      <c r="E8" s="272" t="s">
        <v>44</v>
      </c>
      <c r="F8" s="272" t="s">
        <v>31</v>
      </c>
      <c r="G8" s="272" t="s">
        <v>45</v>
      </c>
      <c r="H8" s="272" t="s">
        <v>59</v>
      </c>
      <c r="I8" s="272" t="s">
        <v>60</v>
      </c>
      <c r="J8" s="272" t="s">
        <v>61</v>
      </c>
      <c r="K8" s="293" t="s">
        <v>62</v>
      </c>
      <c r="L8" s="272" t="s">
        <v>63</v>
      </c>
      <c r="M8" s="272" t="s">
        <v>64</v>
      </c>
      <c r="N8" s="704"/>
      <c r="O8" s="702"/>
      <c r="P8" s="203" t="s">
        <v>176</v>
      </c>
      <c r="Q8" s="704"/>
    </row>
    <row r="9" spans="1:17" s="202" customFormat="1" ht="15.75">
      <c r="A9" s="276" t="s">
        <v>177</v>
      </c>
      <c r="N9" s="224"/>
      <c r="Q9" s="210"/>
    </row>
    <row r="10" spans="1:17" s="202" customFormat="1" ht="12.75">
      <c r="A10" s="273" t="s">
        <v>178</v>
      </c>
      <c r="N10" s="224"/>
      <c r="O10" s="204"/>
      <c r="P10" s="205"/>
      <c r="Q10" s="211"/>
    </row>
    <row r="11" spans="1:17" s="202" customFormat="1" ht="12.75">
      <c r="A11" s="274" t="s">
        <v>179</v>
      </c>
      <c r="B11" s="326">
        <v>11850.159999999996</v>
      </c>
      <c r="C11" s="326">
        <v>31485.810000000005</v>
      </c>
      <c r="D11" s="326">
        <v>36584.06</v>
      </c>
      <c r="E11" s="326">
        <v>25762.189999999995</v>
      </c>
      <c r="F11" s="326">
        <v>10906.930000000004</v>
      </c>
      <c r="G11" s="326">
        <v>9892.6800000000057</v>
      </c>
      <c r="H11" s="326">
        <v>8822.5999999999967</v>
      </c>
      <c r="I11" s="326">
        <v>11628.380000000001</v>
      </c>
      <c r="J11" s="326">
        <v>10295.92</v>
      </c>
      <c r="K11" s="326">
        <v>11840.059999999998</v>
      </c>
      <c r="L11" s="326">
        <v>11113.79</v>
      </c>
      <c r="M11" s="326">
        <v>7181.4800000000014</v>
      </c>
      <c r="N11" s="522">
        <f t="shared" ref="N11:N23" si="0">SUM(B11:M11)</f>
        <v>187364.06000000006</v>
      </c>
      <c r="O11" s="523">
        <f>1579083.03+N11</f>
        <v>1766447.09</v>
      </c>
      <c r="P11" s="329"/>
      <c r="Q11" s="327">
        <f>848010+857842+857842+250000</f>
        <v>2813694</v>
      </c>
    </row>
    <row r="12" spans="1:17" s="202" customFormat="1" ht="14.25">
      <c r="A12" s="274" t="s">
        <v>180</v>
      </c>
      <c r="B12" s="326">
        <v>0</v>
      </c>
      <c r="C12" s="326">
        <v>0</v>
      </c>
      <c r="D12" s="326">
        <v>315.39999999999998</v>
      </c>
      <c r="E12" s="326">
        <v>67.830000000000041</v>
      </c>
      <c r="F12" s="326">
        <v>335.75</v>
      </c>
      <c r="G12" s="326">
        <v>1234.9299999999998</v>
      </c>
      <c r="H12" s="326">
        <v>256.71999999999991</v>
      </c>
      <c r="I12" s="326">
        <v>1056.4100000000001</v>
      </c>
      <c r="J12" s="326">
        <v>2145.0500000000002</v>
      </c>
      <c r="K12" s="326">
        <v>79.769999999999982</v>
      </c>
      <c r="L12" s="326">
        <v>0</v>
      </c>
      <c r="M12" s="326">
        <v>978.87</v>
      </c>
      <c r="N12" s="339">
        <f t="shared" si="0"/>
        <v>6470.7300000000005</v>
      </c>
      <c r="O12" s="327">
        <f>24110.84+N12</f>
        <v>30581.57</v>
      </c>
      <c r="P12" s="326"/>
      <c r="Q12" s="327">
        <v>35302</v>
      </c>
    </row>
    <row r="13" spans="1:17" s="202" customFormat="1" ht="12.75">
      <c r="A13" s="274" t="s">
        <v>181</v>
      </c>
      <c r="B13" s="326">
        <v>0</v>
      </c>
      <c r="C13" s="326">
        <v>0</v>
      </c>
      <c r="D13" s="326">
        <v>0</v>
      </c>
      <c r="E13" s="326">
        <v>0</v>
      </c>
      <c r="F13" s="326">
        <v>0</v>
      </c>
      <c r="G13" s="326">
        <v>0</v>
      </c>
      <c r="H13" s="326">
        <v>0</v>
      </c>
      <c r="I13" s="326">
        <v>0</v>
      </c>
      <c r="J13" s="326">
        <v>0</v>
      </c>
      <c r="K13" s="326">
        <v>0</v>
      </c>
      <c r="L13" s="326">
        <v>0</v>
      </c>
      <c r="M13" s="326">
        <v>0</v>
      </c>
      <c r="N13" s="339">
        <f t="shared" si="0"/>
        <v>0</v>
      </c>
      <c r="O13" s="327">
        <f>0+N13</f>
        <v>0</v>
      </c>
      <c r="P13" s="326"/>
      <c r="Q13" s="327">
        <v>1000</v>
      </c>
    </row>
    <row r="14" spans="1:17" s="202" customFormat="1" ht="12.75">
      <c r="A14" s="274" t="s">
        <v>182</v>
      </c>
      <c r="B14" s="326">
        <v>0</v>
      </c>
      <c r="C14" s="326">
        <v>0</v>
      </c>
      <c r="D14" s="326">
        <v>627</v>
      </c>
      <c r="E14" s="326">
        <v>139.45000000000005</v>
      </c>
      <c r="F14" s="326">
        <v>671.5</v>
      </c>
      <c r="G14" s="326">
        <v>2469.87</v>
      </c>
      <c r="H14" s="326">
        <v>513.43999999999994</v>
      </c>
      <c r="I14" s="326">
        <v>2112.8200000000002</v>
      </c>
      <c r="J14" s="326">
        <v>4290.1000000000004</v>
      </c>
      <c r="K14" s="326">
        <v>159.53999999999996</v>
      </c>
      <c r="L14" s="326">
        <v>0</v>
      </c>
      <c r="M14" s="326">
        <v>0</v>
      </c>
      <c r="N14" s="339">
        <f t="shared" si="0"/>
        <v>10983.720000000001</v>
      </c>
      <c r="O14" s="327">
        <f>35502.63+N14</f>
        <v>46486.35</v>
      </c>
      <c r="P14" s="326"/>
      <c r="Q14" s="327">
        <v>78149</v>
      </c>
    </row>
    <row r="15" spans="1:17" s="202" customFormat="1" ht="14.25">
      <c r="A15" s="274" t="s">
        <v>183</v>
      </c>
      <c r="B15" s="326">
        <v>0</v>
      </c>
      <c r="C15" s="326">
        <v>0</v>
      </c>
      <c r="D15" s="326">
        <v>1620.44</v>
      </c>
      <c r="E15" s="326">
        <v>1297.28</v>
      </c>
      <c r="F15" s="326">
        <v>1343</v>
      </c>
      <c r="G15" s="326">
        <v>4939.72</v>
      </c>
      <c r="H15" s="326">
        <v>1026.8899999999999</v>
      </c>
      <c r="I15" s="326">
        <v>4247.63</v>
      </c>
      <c r="J15" s="326">
        <v>8580.19</v>
      </c>
      <c r="K15" s="326">
        <v>319.06999999999982</v>
      </c>
      <c r="L15" s="326">
        <v>0</v>
      </c>
      <c r="M15" s="326">
        <v>3915.49</v>
      </c>
      <c r="N15" s="339">
        <f t="shared" si="0"/>
        <v>27289.71</v>
      </c>
      <c r="O15" s="327">
        <f>134520.16+N15</f>
        <v>161809.87</v>
      </c>
      <c r="P15" s="326"/>
      <c r="Q15" s="327">
        <f>606299/2</f>
        <v>303149.5</v>
      </c>
    </row>
    <row r="16" spans="1:17" s="202" customFormat="1" ht="12.75">
      <c r="A16" s="274" t="s">
        <v>184</v>
      </c>
      <c r="B16" s="326">
        <v>0</v>
      </c>
      <c r="C16" s="326">
        <v>0</v>
      </c>
      <c r="D16" s="326">
        <v>3629</v>
      </c>
      <c r="E16" s="326">
        <v>203.19999999999982</v>
      </c>
      <c r="F16" s="326">
        <v>11464.3</v>
      </c>
      <c r="G16" s="326">
        <v>12349.3</v>
      </c>
      <c r="H16" s="326">
        <v>2567.2100000000009</v>
      </c>
      <c r="I16" s="326">
        <v>10564.09</v>
      </c>
      <c r="J16" s="326">
        <v>21450.489999999998</v>
      </c>
      <c r="K16" s="326">
        <v>797.68000000000029</v>
      </c>
      <c r="L16" s="326">
        <v>0</v>
      </c>
      <c r="M16" s="326">
        <v>9788.7199999999993</v>
      </c>
      <c r="N16" s="339">
        <f t="shared" si="0"/>
        <v>72813.990000000005</v>
      </c>
      <c r="O16" s="327">
        <f>237192.49+N16</f>
        <v>310006.48</v>
      </c>
      <c r="P16" s="326"/>
      <c r="Q16" s="327">
        <v>303150</v>
      </c>
    </row>
    <row r="17" spans="1:122" s="202" customFormat="1" ht="12.75">
      <c r="A17" s="274" t="s">
        <v>185</v>
      </c>
      <c r="B17" s="326">
        <v>0</v>
      </c>
      <c r="C17" s="326">
        <v>0</v>
      </c>
      <c r="D17" s="326">
        <v>5494.8</v>
      </c>
      <c r="E17" s="326">
        <v>253.57999999999993</v>
      </c>
      <c r="F17" s="326">
        <v>6036.25</v>
      </c>
      <c r="G17" s="326">
        <v>18523.940000000002</v>
      </c>
      <c r="H17" s="326">
        <v>3850.8099999999977</v>
      </c>
      <c r="I17" s="326">
        <v>15927.14</v>
      </c>
      <c r="J17" s="326">
        <v>32175.73</v>
      </c>
      <c r="K17" s="326">
        <v>1196.5200000000004</v>
      </c>
      <c r="L17" s="326">
        <v>0</v>
      </c>
      <c r="M17" s="326">
        <v>18640.810000000001</v>
      </c>
      <c r="N17" s="339">
        <f t="shared" si="0"/>
        <v>102099.58</v>
      </c>
      <c r="O17" s="327">
        <f>341711.04+N17</f>
        <v>443810.62</v>
      </c>
      <c r="P17" s="326"/>
      <c r="Q17" s="327">
        <v>643043</v>
      </c>
    </row>
    <row r="18" spans="1:122" s="202" customFormat="1" ht="14.25">
      <c r="A18" s="600" t="s">
        <v>186</v>
      </c>
      <c r="B18" s="326">
        <v>0</v>
      </c>
      <c r="C18" s="326">
        <v>0</v>
      </c>
      <c r="D18" s="326">
        <v>2827.2</v>
      </c>
      <c r="E18" s="326">
        <v>-144.61999999999989</v>
      </c>
      <c r="F18" s="326">
        <v>2350.25</v>
      </c>
      <c r="G18" s="326">
        <v>8644.51</v>
      </c>
      <c r="H18" s="326">
        <v>2797.0399999999991</v>
      </c>
      <c r="I18" s="326">
        <v>7394.8700000000008</v>
      </c>
      <c r="J18" s="326">
        <v>15015.34</v>
      </c>
      <c r="K18" s="326">
        <v>558.38000000000011</v>
      </c>
      <c r="L18" s="326">
        <v>0</v>
      </c>
      <c r="M18" s="326">
        <v>6852.1</v>
      </c>
      <c r="N18" s="339">
        <f t="shared" si="0"/>
        <v>46295.069999999992</v>
      </c>
      <c r="O18" s="327">
        <f>176225.21+N18</f>
        <v>222520.27999999997</v>
      </c>
      <c r="P18" s="326"/>
      <c r="Q18" s="327">
        <v>383701</v>
      </c>
    </row>
    <row r="19" spans="1:122" s="202" customFormat="1" ht="12.75">
      <c r="A19" s="600" t="s">
        <v>121</v>
      </c>
      <c r="B19" s="326">
        <v>1375</v>
      </c>
      <c r="C19" s="326">
        <v>0</v>
      </c>
      <c r="D19" s="326">
        <v>9270.880000000001</v>
      </c>
      <c r="E19" s="326">
        <v>543.64999999999964</v>
      </c>
      <c r="F19" s="326">
        <v>8729.5</v>
      </c>
      <c r="G19" s="326">
        <v>32108.180000000004</v>
      </c>
      <c r="H19" s="326">
        <v>7154.8099999999986</v>
      </c>
      <c r="I19" s="326">
        <v>27727.26</v>
      </c>
      <c r="J19" s="326">
        <v>56283.299999999996</v>
      </c>
      <c r="K19" s="326">
        <v>2799.5700000000029</v>
      </c>
      <c r="L19" s="326">
        <v>0</v>
      </c>
      <c r="M19" s="326">
        <v>26598.84</v>
      </c>
      <c r="N19" s="339">
        <f t="shared" si="0"/>
        <v>172590.99</v>
      </c>
      <c r="O19" s="327">
        <f>704540.21+N19</f>
        <v>877131.2</v>
      </c>
      <c r="P19" s="326"/>
      <c r="Q19" s="327">
        <v>1102357</v>
      </c>
    </row>
    <row r="20" spans="1:122" s="202" customFormat="1" ht="14.25">
      <c r="A20" s="600" t="s">
        <v>187</v>
      </c>
      <c r="B20" s="326">
        <v>1375</v>
      </c>
      <c r="C20" s="326"/>
      <c r="D20" s="326">
        <v>16627.39</v>
      </c>
      <c r="E20" s="326">
        <v>-719.32000000000153</v>
      </c>
      <c r="F20" s="326">
        <v>12518.75</v>
      </c>
      <c r="G20" s="326">
        <v>50522.549999999996</v>
      </c>
      <c r="H20" s="326">
        <v>9465.27</v>
      </c>
      <c r="I20" s="326">
        <v>37948.35</v>
      </c>
      <c r="J20" s="326">
        <v>75588.72</v>
      </c>
      <c r="K20" s="326">
        <v>3517.4700000000012</v>
      </c>
      <c r="L20" s="326">
        <v>0</v>
      </c>
      <c r="M20" s="326">
        <v>35408.68</v>
      </c>
      <c r="N20" s="339">
        <f t="shared" si="0"/>
        <v>242252.86</v>
      </c>
      <c r="O20" s="327">
        <f>210840.63+454256.16+423018.78+N20</f>
        <v>1330368.4300000002</v>
      </c>
      <c r="P20" s="326"/>
      <c r="Q20" s="327">
        <v>1653537</v>
      </c>
    </row>
    <row r="21" spans="1:122" s="202" customFormat="1" ht="14.25">
      <c r="A21" s="600" t="s">
        <v>385</v>
      </c>
      <c r="B21" s="326">
        <v>0</v>
      </c>
      <c r="C21" s="326">
        <v>0</v>
      </c>
      <c r="D21" s="326">
        <v>0</v>
      </c>
      <c r="E21" s="326">
        <v>0</v>
      </c>
      <c r="F21" s="326">
        <v>0</v>
      </c>
      <c r="G21" s="326">
        <v>0</v>
      </c>
      <c r="H21" s="326">
        <v>0</v>
      </c>
      <c r="I21" s="326">
        <v>0</v>
      </c>
      <c r="J21" s="326">
        <v>0</v>
      </c>
      <c r="K21" s="326">
        <v>177131.07</v>
      </c>
      <c r="L21" s="326">
        <v>0</v>
      </c>
      <c r="M21" s="326">
        <v>455715.02</v>
      </c>
      <c r="N21" s="339">
        <f t="shared" si="0"/>
        <v>632846.09000000008</v>
      </c>
      <c r="O21" s="327">
        <f>N21</f>
        <v>632846.09000000008</v>
      </c>
      <c r="P21" s="326"/>
      <c r="Q21" s="327"/>
    </row>
    <row r="22" spans="1:122" s="202" customFormat="1" ht="12.75">
      <c r="A22" s="600" t="s">
        <v>188</v>
      </c>
      <c r="B22" s="326">
        <v>0</v>
      </c>
      <c r="C22" s="326">
        <v>0</v>
      </c>
      <c r="D22" s="326">
        <v>0</v>
      </c>
      <c r="E22" s="326">
        <v>0</v>
      </c>
      <c r="F22" s="326">
        <v>0</v>
      </c>
      <c r="G22" s="326">
        <v>0</v>
      </c>
      <c r="H22" s="326">
        <v>0</v>
      </c>
      <c r="I22" s="326">
        <v>0</v>
      </c>
      <c r="J22" s="326">
        <v>0</v>
      </c>
      <c r="K22" s="326">
        <v>0</v>
      </c>
      <c r="L22" s="326">
        <v>0</v>
      </c>
      <c r="M22" s="326">
        <v>0</v>
      </c>
      <c r="N22" s="339">
        <f t="shared" si="0"/>
        <v>0</v>
      </c>
      <c r="O22" s="327">
        <f>2328.72+N22</f>
        <v>2328.7199999999998</v>
      </c>
      <c r="P22" s="326"/>
      <c r="Q22" s="327">
        <v>0</v>
      </c>
    </row>
    <row r="23" spans="1:122" s="202" customFormat="1" ht="12.75">
      <c r="A23" s="600" t="s">
        <v>189</v>
      </c>
      <c r="B23" s="326">
        <v>0</v>
      </c>
      <c r="C23" s="326">
        <v>0</v>
      </c>
      <c r="D23" s="326">
        <v>0</v>
      </c>
      <c r="E23" s="326">
        <v>0</v>
      </c>
      <c r="F23" s="326">
        <v>0</v>
      </c>
      <c r="G23" s="326">
        <v>0</v>
      </c>
      <c r="H23" s="326">
        <v>0</v>
      </c>
      <c r="I23" s="326">
        <v>0</v>
      </c>
      <c r="J23" s="326">
        <v>0</v>
      </c>
      <c r="K23" s="326">
        <v>0</v>
      </c>
      <c r="L23" s="326">
        <v>0</v>
      </c>
      <c r="M23" s="326">
        <v>0</v>
      </c>
      <c r="N23" s="339">
        <f t="shared" si="0"/>
        <v>0</v>
      </c>
      <c r="O23" s="327">
        <f>530.37+N23</f>
        <v>530.37</v>
      </c>
      <c r="P23" s="326"/>
      <c r="Q23" s="327">
        <v>50000</v>
      </c>
    </row>
    <row r="24" spans="1:122" s="206" customFormat="1" ht="15.75">
      <c r="A24" s="524" t="s">
        <v>190</v>
      </c>
      <c r="B24" s="525">
        <f t="shared" ref="B24:O24" si="1">SUM(B11:B23)</f>
        <v>14600.159999999996</v>
      </c>
      <c r="C24" s="525">
        <f t="shared" si="1"/>
        <v>31485.810000000005</v>
      </c>
      <c r="D24" s="525">
        <f t="shared" si="1"/>
        <v>76996.17</v>
      </c>
      <c r="E24" s="525">
        <f t="shared" si="1"/>
        <v>27403.239999999998</v>
      </c>
      <c r="F24" s="525">
        <f t="shared" si="1"/>
        <v>54356.23</v>
      </c>
      <c r="G24" s="525">
        <f t="shared" si="1"/>
        <v>140685.68000000002</v>
      </c>
      <c r="H24" s="525">
        <f t="shared" si="1"/>
        <v>36454.789999999994</v>
      </c>
      <c r="I24" s="525">
        <f t="shared" si="1"/>
        <v>118606.95000000001</v>
      </c>
      <c r="J24" s="525">
        <f t="shared" si="1"/>
        <v>225824.84</v>
      </c>
      <c r="K24" s="525">
        <f t="shared" si="1"/>
        <v>198399.13</v>
      </c>
      <c r="L24" s="525">
        <f t="shared" si="1"/>
        <v>11113.79</v>
      </c>
      <c r="M24" s="525">
        <f t="shared" si="1"/>
        <v>565080.01</v>
      </c>
      <c r="N24" s="375">
        <f t="shared" si="1"/>
        <v>1501006.8000000003</v>
      </c>
      <c r="O24" s="526">
        <f t="shared" si="1"/>
        <v>5824867.0700000003</v>
      </c>
      <c r="P24" s="527"/>
      <c r="Q24" s="526">
        <f>SUM(Q11:Q23)</f>
        <v>7367082.5</v>
      </c>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row>
    <row r="25" spans="1:122" s="202" customFormat="1" ht="12.75">
      <c r="A25" s="212"/>
      <c r="B25" s="328"/>
      <c r="C25" s="329"/>
      <c r="D25" s="329"/>
      <c r="E25" s="329"/>
      <c r="F25" s="329"/>
      <c r="G25" s="329"/>
      <c r="H25" s="329"/>
      <c r="I25" s="329"/>
      <c r="J25" s="329"/>
      <c r="K25" s="329"/>
      <c r="L25" s="329"/>
      <c r="M25" s="329"/>
      <c r="N25" s="329"/>
      <c r="O25" s="329"/>
      <c r="P25" s="329"/>
      <c r="Q25" s="330"/>
    </row>
    <row r="26" spans="1:122" s="202" customFormat="1" ht="15.75">
      <c r="A26" s="277" t="s">
        <v>191</v>
      </c>
      <c r="B26" s="328"/>
      <c r="C26" s="329"/>
      <c r="D26" s="329"/>
      <c r="E26" s="329"/>
      <c r="F26" s="329"/>
      <c r="G26" s="329"/>
      <c r="H26" s="329"/>
      <c r="I26" s="329"/>
      <c r="J26" s="329"/>
      <c r="K26" s="329"/>
      <c r="L26" s="329"/>
      <c r="M26" s="329"/>
      <c r="N26" s="331"/>
      <c r="O26" s="329"/>
      <c r="P26" s="329"/>
      <c r="Q26" s="332"/>
    </row>
    <row r="27" spans="1:122" s="202" customFormat="1" ht="12.75">
      <c r="A27" s="275" t="s">
        <v>192</v>
      </c>
      <c r="B27" s="528">
        <v>0</v>
      </c>
      <c r="C27" s="528">
        <v>0</v>
      </c>
      <c r="D27" s="528">
        <v>0</v>
      </c>
      <c r="E27" s="528">
        <v>0</v>
      </c>
      <c r="F27" s="528">
        <v>0</v>
      </c>
      <c r="G27" s="528">
        <v>0</v>
      </c>
      <c r="H27" s="528">
        <v>0</v>
      </c>
      <c r="I27" s="528">
        <v>0</v>
      </c>
      <c r="J27" s="528">
        <v>0</v>
      </c>
      <c r="K27" s="528">
        <v>0</v>
      </c>
      <c r="L27" s="528">
        <v>0</v>
      </c>
      <c r="M27" s="528">
        <v>0</v>
      </c>
      <c r="N27" s="522">
        <f t="shared" ref="N27:N31" si="2">SUM(B27:M27)</f>
        <v>0</v>
      </c>
      <c r="O27" s="523">
        <f>0+N27</f>
        <v>0</v>
      </c>
      <c r="P27" s="329"/>
      <c r="Q27" s="330"/>
    </row>
    <row r="28" spans="1:122" s="202" customFormat="1" ht="12.75">
      <c r="A28" s="274" t="s">
        <v>193</v>
      </c>
      <c r="B28" s="333">
        <v>0.49</v>
      </c>
      <c r="C28" s="333">
        <v>0</v>
      </c>
      <c r="D28" s="333">
        <v>66.239999999999995</v>
      </c>
      <c r="E28" s="333">
        <v>0</v>
      </c>
      <c r="F28" s="333">
        <v>2957</v>
      </c>
      <c r="G28" s="333">
        <v>0</v>
      </c>
      <c r="H28" s="333">
        <v>0</v>
      </c>
      <c r="I28" s="333">
        <v>0</v>
      </c>
      <c r="J28" s="333">
        <v>0</v>
      </c>
      <c r="K28" s="333">
        <v>0</v>
      </c>
      <c r="L28" s="333">
        <v>0</v>
      </c>
      <c r="M28" s="333">
        <v>0</v>
      </c>
      <c r="N28" s="339">
        <f t="shared" si="2"/>
        <v>3023.73</v>
      </c>
      <c r="O28" s="327">
        <f>79347.67+33669.84+134508.73+N28</f>
        <v>250549.97</v>
      </c>
      <c r="P28" s="329"/>
      <c r="Q28" s="330"/>
      <c r="S28" s="329"/>
    </row>
    <row r="29" spans="1:122" s="202" customFormat="1" ht="14.25">
      <c r="A29" s="274" t="s">
        <v>194</v>
      </c>
      <c r="B29" s="333">
        <v>18233.669999999998</v>
      </c>
      <c r="C29" s="333">
        <v>17764.310000000005</v>
      </c>
      <c r="D29" s="333">
        <v>17228.580000000005</v>
      </c>
      <c r="E29" s="333">
        <v>11049.689999999997</v>
      </c>
      <c r="F29" s="333">
        <v>-154.66999999999999</v>
      </c>
      <c r="G29" s="333">
        <v>7055.180000000003</v>
      </c>
      <c r="H29" s="333">
        <v>6822.5999999999976</v>
      </c>
      <c r="I29" s="333">
        <v>10878.380000000001</v>
      </c>
      <c r="J29" s="333">
        <v>9295.92</v>
      </c>
      <c r="K29" s="333">
        <v>11840.059999999998</v>
      </c>
      <c r="L29" s="333">
        <v>9613.7900000000009</v>
      </c>
      <c r="M29" s="333">
        <v>5681.4800000000023</v>
      </c>
      <c r="N29" s="339">
        <f t="shared" si="2"/>
        <v>125308.99</v>
      </c>
      <c r="O29" s="327">
        <f>426330+346126+260890+N29</f>
        <v>1158654.99</v>
      </c>
      <c r="P29" s="329"/>
      <c r="Q29" s="330"/>
    </row>
    <row r="30" spans="1:122" s="202" customFormat="1" ht="14.25">
      <c r="A30" s="274" t="s">
        <v>195</v>
      </c>
      <c r="B30" s="333">
        <v>2750</v>
      </c>
      <c r="C30" s="333">
        <v>0</v>
      </c>
      <c r="D30" s="333">
        <v>40201.350000000006</v>
      </c>
      <c r="E30" s="333">
        <v>1641.0499999999979</v>
      </c>
      <c r="F30" s="333">
        <v>40492.300000000003</v>
      </c>
      <c r="G30" s="333">
        <v>130793</v>
      </c>
      <c r="H30" s="333">
        <v>26672.05</v>
      </c>
      <c r="I30" s="333">
        <v>106454.54</v>
      </c>
      <c r="J30" s="333">
        <v>214504.87</v>
      </c>
      <c r="K30" s="333">
        <v>185107.90000000002</v>
      </c>
      <c r="L30" s="333">
        <v>0</v>
      </c>
      <c r="M30" s="333">
        <v>555898.54</v>
      </c>
      <c r="N30" s="339">
        <f t="shared" si="2"/>
        <v>1304515.6000000001</v>
      </c>
      <c r="O30" s="327">
        <f>377868+1193884+886571.03+N30</f>
        <v>3762838.6300000004</v>
      </c>
      <c r="P30" s="329"/>
      <c r="Q30" s="330"/>
    </row>
    <row r="31" spans="1:122" s="202" customFormat="1" ht="14.25">
      <c r="A31" s="274" t="s">
        <v>196</v>
      </c>
      <c r="B31" s="408">
        <v>-6384</v>
      </c>
      <c r="C31" s="334">
        <v>13721.5</v>
      </c>
      <c r="D31" s="334">
        <v>19500</v>
      </c>
      <c r="E31" s="334">
        <v>14712.5</v>
      </c>
      <c r="F31" s="334">
        <v>11061.6</v>
      </c>
      <c r="G31" s="334">
        <v>2837.5</v>
      </c>
      <c r="H31" s="334">
        <v>2960.14</v>
      </c>
      <c r="I31" s="334">
        <v>1274.03</v>
      </c>
      <c r="J31" s="334">
        <v>2024.05</v>
      </c>
      <c r="K31" s="334">
        <v>1451.17</v>
      </c>
      <c r="L31" s="334">
        <v>1500</v>
      </c>
      <c r="M31" s="334">
        <v>3499.99</v>
      </c>
      <c r="N31" s="339">
        <f t="shared" si="2"/>
        <v>68158.48</v>
      </c>
      <c r="O31" s="335">
        <f>331980+92124+160561+N31</f>
        <v>652823.48</v>
      </c>
      <c r="P31" s="329"/>
      <c r="Q31" s="330"/>
    </row>
    <row r="32" spans="1:122" s="202" customFormat="1" ht="15.75">
      <c r="A32" s="524" t="s">
        <v>197</v>
      </c>
      <c r="B32" s="336">
        <f>SUM(B27:B31)</f>
        <v>14600.16</v>
      </c>
      <c r="C32" s="337">
        <f t="shared" ref="C32:M32" si="3">SUM(C27:C31)</f>
        <v>31485.810000000005</v>
      </c>
      <c r="D32" s="337">
        <f t="shared" si="3"/>
        <v>76996.170000000013</v>
      </c>
      <c r="E32" s="337">
        <f t="shared" si="3"/>
        <v>27403.239999999994</v>
      </c>
      <c r="F32" s="337">
        <f t="shared" si="3"/>
        <v>54356.23</v>
      </c>
      <c r="G32" s="337">
        <f t="shared" si="3"/>
        <v>140685.68</v>
      </c>
      <c r="H32" s="337">
        <f t="shared" si="3"/>
        <v>36454.789999999994</v>
      </c>
      <c r="I32" s="337">
        <f t="shared" si="3"/>
        <v>118606.95</v>
      </c>
      <c r="J32" s="337">
        <f t="shared" si="3"/>
        <v>225824.84</v>
      </c>
      <c r="K32" s="337">
        <f t="shared" si="3"/>
        <v>198399.13000000003</v>
      </c>
      <c r="L32" s="337">
        <f t="shared" si="3"/>
        <v>11113.79</v>
      </c>
      <c r="M32" s="337">
        <f t="shared" si="3"/>
        <v>565080.01</v>
      </c>
      <c r="N32" s="375">
        <f>SUM(N27:N31)</f>
        <v>1501006.8</v>
      </c>
      <c r="O32" s="337">
        <f>SUM(O27:O31)</f>
        <v>5824867.0700000003</v>
      </c>
      <c r="P32" s="527"/>
      <c r="Q32" s="529"/>
    </row>
    <row r="33" spans="1:17" s="202" customFormat="1" ht="12.75">
      <c r="A33" s="530"/>
      <c r="B33" s="531"/>
      <c r="C33" s="532"/>
      <c r="D33" s="532"/>
      <c r="E33" s="532"/>
      <c r="F33" s="532"/>
      <c r="G33" s="532"/>
      <c r="H33" s="532"/>
      <c r="I33" s="532"/>
      <c r="J33" s="532"/>
      <c r="K33" s="532"/>
      <c r="L33" s="532"/>
      <c r="M33" s="532"/>
      <c r="N33" s="532"/>
      <c r="O33" s="532"/>
      <c r="P33" s="338"/>
      <c r="Q33" s="533"/>
    </row>
    <row r="34" spans="1:17" s="202" customFormat="1" ht="15.75">
      <c r="A34" s="277" t="s">
        <v>198</v>
      </c>
      <c r="B34" s="328"/>
      <c r="C34" s="329"/>
      <c r="D34" s="329"/>
      <c r="E34" s="329"/>
      <c r="F34" s="329"/>
      <c r="G34" s="329"/>
      <c r="H34" s="329"/>
      <c r="I34" s="329"/>
      <c r="J34" s="329"/>
      <c r="K34" s="329"/>
      <c r="L34" s="329"/>
      <c r="M34" s="329"/>
      <c r="N34" s="331"/>
      <c r="O34" s="331"/>
      <c r="P34" s="329"/>
      <c r="Q34" s="332"/>
    </row>
    <row r="35" spans="1:17" s="202" customFormat="1" ht="14.25">
      <c r="A35" s="274" t="s">
        <v>199</v>
      </c>
      <c r="B35" s="528">
        <v>0</v>
      </c>
      <c r="C35" s="528">
        <v>0</v>
      </c>
      <c r="D35" s="528">
        <v>0</v>
      </c>
      <c r="E35" s="528">
        <v>0</v>
      </c>
      <c r="F35" s="528">
        <v>0</v>
      </c>
      <c r="G35" s="528">
        <v>0</v>
      </c>
      <c r="H35" s="528">
        <v>0</v>
      </c>
      <c r="I35" s="528">
        <v>0</v>
      </c>
      <c r="J35" s="528">
        <v>0</v>
      </c>
      <c r="K35" s="528">
        <v>44282.767500000002</v>
      </c>
      <c r="L35" s="528">
        <v>0</v>
      </c>
      <c r="M35" s="528">
        <v>113928.755</v>
      </c>
      <c r="N35" s="522">
        <f>SUM(B35:M35)</f>
        <v>158211.52250000002</v>
      </c>
      <c r="O35" s="523">
        <f>0+N35</f>
        <v>158211.52250000002</v>
      </c>
      <c r="P35" s="329"/>
      <c r="Q35" s="330"/>
    </row>
    <row r="36" spans="1:17" s="202" customFormat="1" ht="12.75">
      <c r="A36" s="275" t="s">
        <v>200</v>
      </c>
      <c r="B36" s="333">
        <v>1375</v>
      </c>
      <c r="C36" s="333">
        <v>0</v>
      </c>
      <c r="D36" s="333">
        <v>13223.71</v>
      </c>
      <c r="E36" s="333">
        <v>1115.5099999999998</v>
      </c>
      <c r="F36" s="333">
        <v>12087</v>
      </c>
      <c r="G36" s="333">
        <v>44457.43</v>
      </c>
      <c r="H36" s="333">
        <v>10722.029999999997</v>
      </c>
      <c r="I36" s="333">
        <v>38302.32</v>
      </c>
      <c r="J36" s="333">
        <v>77733.679999999993</v>
      </c>
      <c r="K36" s="333">
        <v>47880.017500000002</v>
      </c>
      <c r="L36" s="333">
        <v>0</v>
      </c>
      <c r="M36" s="333">
        <v>150316.30499999999</v>
      </c>
      <c r="N36" s="339">
        <f t="shared" ref="N36:N38" si="4">SUM(B36:M36)</f>
        <v>397213.0025</v>
      </c>
      <c r="O36" s="327">
        <f>344661+585375+472451+N36</f>
        <v>1799700.0024999999</v>
      </c>
      <c r="P36" s="329"/>
      <c r="Q36" s="330"/>
    </row>
    <row r="37" spans="1:17" s="202" customFormat="1" ht="14.25" customHeight="1">
      <c r="A37" s="274" t="s">
        <v>201</v>
      </c>
      <c r="B37" s="333">
        <v>3942.05</v>
      </c>
      <c r="C37" s="333">
        <v>9833.75</v>
      </c>
      <c r="D37" s="333">
        <v>23203.510000000002</v>
      </c>
      <c r="E37" s="333">
        <v>12722.3</v>
      </c>
      <c r="F37" s="333">
        <v>21936.23</v>
      </c>
      <c r="G37" s="333">
        <v>32695.199999999997</v>
      </c>
      <c r="H37" s="333">
        <v>10561.76</v>
      </c>
      <c r="I37" s="333">
        <v>26912.2</v>
      </c>
      <c r="J37" s="333">
        <v>47232.459999999992</v>
      </c>
      <c r="K37" s="333">
        <v>52121.087500000001</v>
      </c>
      <c r="L37" s="333">
        <v>5556.89</v>
      </c>
      <c r="M37" s="333">
        <v>137181.57500000001</v>
      </c>
      <c r="N37" s="339">
        <f t="shared" si="4"/>
        <v>383899.01250000001</v>
      </c>
      <c r="O37" s="327">
        <f>314336+384698+349337.27+N37</f>
        <v>1432270.2825</v>
      </c>
      <c r="P37" s="329"/>
      <c r="Q37" s="330"/>
    </row>
    <row r="38" spans="1:17" s="202" customFormat="1" ht="12.75">
      <c r="A38" s="274" t="s">
        <v>202</v>
      </c>
      <c r="B38" s="334">
        <v>9283.11</v>
      </c>
      <c r="C38" s="334">
        <v>21652.060000000005</v>
      </c>
      <c r="D38" s="334">
        <v>40568.949999999997</v>
      </c>
      <c r="E38" s="334">
        <v>13565.43</v>
      </c>
      <c r="F38" s="334">
        <v>20333</v>
      </c>
      <c r="G38" s="334">
        <v>63533.05</v>
      </c>
      <c r="H38" s="334">
        <v>15170.999999999998</v>
      </c>
      <c r="I38" s="334">
        <v>53392.43</v>
      </c>
      <c r="J38" s="334">
        <v>100858.69999999998</v>
      </c>
      <c r="K38" s="334">
        <v>54115.257500000007</v>
      </c>
      <c r="L38" s="334">
        <v>5556.9000000000005</v>
      </c>
      <c r="M38" s="334">
        <v>163653.375</v>
      </c>
      <c r="N38" s="339">
        <f t="shared" si="4"/>
        <v>561683.26249999995</v>
      </c>
      <c r="O38" s="335">
        <f>556529+695730+620743+N38</f>
        <v>2434685.2625000002</v>
      </c>
      <c r="P38" s="329"/>
      <c r="Q38" s="330"/>
    </row>
    <row r="39" spans="1:17" s="202" customFormat="1" ht="15.75">
      <c r="A39" s="601" t="s">
        <v>203</v>
      </c>
      <c r="B39" s="336">
        <f t="shared" ref="B39:M39" si="5">SUM(B35:B38)</f>
        <v>14600.16</v>
      </c>
      <c r="C39" s="337">
        <f t="shared" si="5"/>
        <v>31485.810000000005</v>
      </c>
      <c r="D39" s="337">
        <f>SUM(D35:D38)</f>
        <v>76996.17</v>
      </c>
      <c r="E39" s="337">
        <f t="shared" si="5"/>
        <v>27403.239999999998</v>
      </c>
      <c r="F39" s="337">
        <f t="shared" si="5"/>
        <v>54356.229999999996</v>
      </c>
      <c r="G39" s="337">
        <f>SUM(G35:G38)</f>
        <v>140685.68</v>
      </c>
      <c r="H39" s="337">
        <f t="shared" si="5"/>
        <v>36454.789999999994</v>
      </c>
      <c r="I39" s="337">
        <f t="shared" si="5"/>
        <v>118606.95000000001</v>
      </c>
      <c r="J39" s="337">
        <f t="shared" si="5"/>
        <v>225824.83999999997</v>
      </c>
      <c r="K39" s="337">
        <f t="shared" si="5"/>
        <v>198399.13</v>
      </c>
      <c r="L39" s="337">
        <f t="shared" si="5"/>
        <v>11113.79</v>
      </c>
      <c r="M39" s="337">
        <f t="shared" si="5"/>
        <v>565080.01</v>
      </c>
      <c r="N39" s="375">
        <f>SUM(N35:N38)</f>
        <v>1501006.8</v>
      </c>
      <c r="O39" s="525">
        <f>SUM(O35:O38)</f>
        <v>5824867.0700000003</v>
      </c>
      <c r="P39" s="527">
        <f>SUM(P35:P38)</f>
        <v>0</v>
      </c>
      <c r="Q39" s="529"/>
    </row>
    <row r="40" spans="1:17" s="202" customFormat="1" ht="12.75">
      <c r="B40" s="204"/>
      <c r="C40" s="204"/>
      <c r="D40" s="204"/>
      <c r="E40" s="204"/>
      <c r="F40" s="204"/>
      <c r="G40" s="204"/>
      <c r="H40" s="204"/>
      <c r="I40" s="204"/>
      <c r="J40" s="204"/>
      <c r="K40" s="204"/>
      <c r="L40" s="204"/>
      <c r="M40" s="204"/>
      <c r="O40" s="204"/>
      <c r="P40" s="204"/>
      <c r="Q40" s="204"/>
    </row>
    <row r="41" spans="1:17" s="202" customFormat="1" ht="15">
      <c r="A41" s="317" t="s">
        <v>67</v>
      </c>
      <c r="B41" s="208"/>
      <c r="C41" s="208"/>
      <c r="D41" s="208"/>
      <c r="E41" s="208"/>
      <c r="F41" s="208"/>
      <c r="G41" s="208"/>
      <c r="H41" s="208"/>
      <c r="I41" s="208"/>
      <c r="J41" s="208"/>
      <c r="K41" s="208"/>
      <c r="L41" s="208"/>
      <c r="M41" s="208"/>
      <c r="N41" s="207"/>
      <c r="O41" s="602"/>
      <c r="P41" s="208"/>
      <c r="Q41" s="208"/>
    </row>
    <row r="42" spans="1:17" s="360" customFormat="1" ht="14.25">
      <c r="A42" s="581" t="s">
        <v>389</v>
      </c>
      <c r="D42" s="361"/>
      <c r="E42" s="362"/>
      <c r="F42" s="361"/>
      <c r="N42" s="359"/>
    </row>
    <row r="43" spans="1:17" ht="14.25">
      <c r="A43" s="581" t="s">
        <v>401</v>
      </c>
      <c r="D43" s="188"/>
      <c r="E43" s="155"/>
      <c r="F43" s="188"/>
      <c r="N43" s="225"/>
    </row>
    <row r="44" spans="1:17" ht="14.25">
      <c r="A44" s="581" t="s">
        <v>402</v>
      </c>
      <c r="D44" s="188"/>
      <c r="E44" s="155"/>
      <c r="F44" s="188"/>
      <c r="N44" s="225"/>
    </row>
    <row r="45" spans="1:17" ht="16.5">
      <c r="A45" s="581" t="s">
        <v>390</v>
      </c>
      <c r="C45" s="315"/>
      <c r="D45" s="188"/>
      <c r="E45" s="155"/>
      <c r="F45" s="188"/>
      <c r="N45" s="235"/>
    </row>
    <row r="46" spans="1:17" ht="14.25">
      <c r="A46" s="603" t="s">
        <v>391</v>
      </c>
      <c r="E46" s="192"/>
      <c r="F46" s="188"/>
    </row>
    <row r="47" spans="1:17" ht="15">
      <c r="A47" s="165" t="s">
        <v>79</v>
      </c>
    </row>
  </sheetData>
  <mergeCells count="3">
    <mergeCell ref="O7:O8"/>
    <mergeCell ref="Q7:Q8"/>
    <mergeCell ref="N7:N8"/>
  </mergeCells>
  <printOptions horizontalCentered="1"/>
  <pageMargins left="0" right="0" top="0.55000000000000004" bottom="0.17" header="0.3" footer="0.15"/>
  <pageSetup paperSize="5" scale="49"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3186f035-0cdb-442a-b3b5-e1bf8686ba54" xsi:nil="true"/>
    <_dlc_DocId xmlns="9bf079a2-8838-46e4-a25e-754293e27338">7RCVYNPDDY4V-1526832976-147</_dlc_DocId>
    <_dlc_DocIdUrl xmlns="9bf079a2-8838-46e4-a25e-754293e27338">
      <Url>https://sempra.sharepoint.com/teams/sdgecp/po/drps/_layouts/15/DocIdRedir.aspx?ID=7RCVYNPDDY4V-1526832976-147</Url>
      <Description>7RCVYNPDDY4V-1526832976-147</Description>
    </_dlc_DocIdUrl>
    <SharedWithUsers xmlns="9bf079a2-8838-46e4-a25e-754293e27338">
      <UserInfo>
        <DisplayName>Valdivieso, Guillermo</DisplayName>
        <AccountId>212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6273" ma:contentTypeDescription="Create a new document." ma:contentTypeScope="" ma:versionID="f03f3fb50594f1ca4be9b67cacc566f6">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b63f42fbf8a6295edfde7bedbafa4ccd"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9CE5A5-034A-44C5-96B1-1FD952A1C468}">
  <ds:schemaRef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3186f035-0cdb-442a-b3b5-e1bf8686ba54"/>
    <ds:schemaRef ds:uri="9bf079a2-8838-46e4-a25e-754293e27338"/>
    <ds:schemaRef ds:uri="http://purl.org/dc/dcmitype/"/>
    <ds:schemaRef ds:uri="http://purl.org/dc/elements/1.1/"/>
  </ds:schemaRefs>
</ds:datastoreItem>
</file>

<file path=customXml/itemProps2.xml><?xml version="1.0" encoding="utf-8"?>
<ds:datastoreItem xmlns:ds="http://schemas.openxmlformats.org/officeDocument/2006/customXml" ds:itemID="{1C683213-6B7F-473C-B1B3-E9B878AA6A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0486D6-920A-4B96-82F8-54628C0563E2}">
  <ds:schemaRefs>
    <ds:schemaRef ds:uri="http://schemas.microsoft.com/sharepoint/events"/>
  </ds:schemaRefs>
</ds:datastoreItem>
</file>

<file path=customXml/itemProps4.xml><?xml version="1.0" encoding="utf-8"?>
<ds:datastoreItem xmlns:ds="http://schemas.openxmlformats.org/officeDocument/2006/customXml" ds:itemID="{B9BCF475-1DB9-4419-A429-5743143F8A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Business Unit Reporting</vt:lpstr>
      <vt:lpstr>Program MW </vt:lpstr>
      <vt:lpstr>Sheet1</vt:lpstr>
      <vt:lpstr>Ex ante LI &amp; Eligibility Stats</vt:lpstr>
      <vt:lpstr>Ex post LI &amp; Eligibility Stats</vt:lpstr>
      <vt:lpstr>TA-TI Distribution@</vt:lpstr>
      <vt:lpstr>Event Summary</vt:lpstr>
      <vt:lpstr>Auto DR (TI) &amp; Tech Deployment</vt:lpstr>
      <vt:lpstr>Marketing</vt:lpstr>
      <vt:lpstr>DRP Expenditures</vt:lpstr>
      <vt:lpstr>Fund Shift Log</vt:lpstr>
      <vt:lpstr>SDGE Costs - AMDRMA Balance</vt:lpstr>
      <vt:lpstr>SDGE Costs -GRC </vt:lpstr>
      <vt:lpstr>SDGE Costs -DPDRMA</vt:lpstr>
      <vt:lpstr>SDGE Costs -ELRP</vt:lpstr>
      <vt:lpstr>SDGE Costs -CSEP</vt:lpstr>
      <vt:lpstr>SDGE Costs -FABA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-CSEP'!Print_Area</vt:lpstr>
      <vt:lpstr>'SDGE Costs -DPDRMA'!Print_Area</vt:lpstr>
      <vt:lpstr>'SDGE Costs -ELRP'!Print_Area</vt:lpstr>
      <vt:lpstr>'SDGE Costs -FABA'!Print_Area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Schavrien, Todd J</cp:lastModifiedBy>
  <cp:revision/>
  <cp:lastPrinted>2022-08-19T22:21:45Z</cp:lastPrinted>
  <dcterms:created xsi:type="dcterms:W3CDTF">2013-01-03T17:03:43Z</dcterms:created>
  <dcterms:modified xsi:type="dcterms:W3CDTF">2022-08-19T22:21:47Z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1fb25035-215f-453c-8062-287ea57af977</vt:lpwstr>
  </property>
  <property fmtid="{D5CDD505-2E9C-101B-9397-08002B2CF9AE}" pid="8" name="SharedWithUsers">
    <vt:lpwstr>212;#Valdivieso, Guillermo</vt:lpwstr>
  </property>
  <property fmtid="{D5CDD505-2E9C-101B-9397-08002B2CF9AE}" pid="9" name="CofWorkbookId">
    <vt:lpwstr>e44e8098-1d08-4f03-ace1-4da09ba921a9</vt:lpwstr>
  </property>
</Properties>
</file>