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0" documentId="8_{CB335119-79E0-480D-B6BA-91F192396B87}" xr6:coauthVersionLast="47" xr6:coauthVersionMax="47" xr10:uidLastSave="{00000000-0000-0000-0000-000000000000}"/>
  <bookViews>
    <workbookView xWindow="-120" yWindow="-120" windowWidth="29040" windowHeight="15840" tabRatio="873" firstSheet="5" activeTab="13"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AMDRMA Balance" sheetId="119" r:id="rId11"/>
    <sheet name="SDGE Costs -GRC " sheetId="120" r:id="rId12"/>
    <sheet name="SDGE Costs -DPDRMA" sheetId="129" r:id="rId13"/>
    <sheet name="SDGE Costs -ELRP" sheetId="138" r:id="rId14"/>
  </sheets>
  <externalReferences>
    <externalReference r:id="rId15"/>
    <externalReference r:id="rId16"/>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2">#REF!</definedName>
    <definedName name="_DAT11" localSheetId="13">'SDGE Costs -ELRP'!#REF!</definedName>
    <definedName name="_DAT11">#REF!</definedName>
    <definedName name="_DAT12" localSheetId="8">#REF!</definedName>
    <definedName name="_DAT12" localSheetId="12">#REF!</definedName>
    <definedName name="_DAT12" localSheetId="13">'SDGE Costs -ELRP'!#REF!</definedName>
    <definedName name="_DAT12">#REF!</definedName>
    <definedName name="_DAT13" localSheetId="8">#REF!</definedName>
    <definedName name="_DAT13" localSheetId="12">#REF!</definedName>
    <definedName name="_DAT13" localSheetId="13">'SDGE Costs -ELRP'!#REF!</definedName>
    <definedName name="_DAT13">#REF!</definedName>
    <definedName name="_DAT14" localSheetId="8">#REF!</definedName>
    <definedName name="_DAT14" localSheetId="12">#REF!</definedName>
    <definedName name="_DAT14" localSheetId="13">'SDGE Costs -ELRP'!#REF!</definedName>
    <definedName name="_DAT14">#REF!</definedName>
    <definedName name="_DAT15" localSheetId="8">#REF!</definedName>
    <definedName name="_DAT15" localSheetId="12">#REF!</definedName>
    <definedName name="_DAT15" localSheetId="13">'SDGE Costs -ELRP'!#REF!</definedName>
    <definedName name="_DAT15">#REF!</definedName>
    <definedName name="_DAT16" localSheetId="8">#REF!</definedName>
    <definedName name="_DAT16" localSheetId="12">#REF!</definedName>
    <definedName name="_DAT16" localSheetId="13">'SDGE Costs -ELRP'!#REF!</definedName>
    <definedName name="_DAT16">#REF!</definedName>
    <definedName name="_DAT17" localSheetId="8">#REF!</definedName>
    <definedName name="_DAT17" localSheetId="12">#REF!</definedName>
    <definedName name="_DAT17" localSheetId="13">'SDGE Costs -ELRP'!#REF!</definedName>
    <definedName name="_DAT17">#REF!</definedName>
    <definedName name="_DAT2" localSheetId="8">#REF!</definedName>
    <definedName name="_DAT2" localSheetId="12">#REF!</definedName>
    <definedName name="_DAT2" localSheetId="13">'SDGE Costs -ELRP'!#REF!</definedName>
    <definedName name="_DAT2">#REF!</definedName>
    <definedName name="_DAT3" localSheetId="8">#REF!</definedName>
    <definedName name="_DAT3" localSheetId="12">#REF!</definedName>
    <definedName name="_DAT3" localSheetId="13">'SDGE Costs -ELRP'!#REF!</definedName>
    <definedName name="_DAT3">#REF!</definedName>
    <definedName name="_DAT4" localSheetId="8">#REF!</definedName>
    <definedName name="_DAT4" localSheetId="12">#REF!</definedName>
    <definedName name="_DAT4" localSheetId="13">'SDGE Costs -ELRP'!#REF!</definedName>
    <definedName name="_DAT4">#REF!</definedName>
    <definedName name="_DAT5" localSheetId="8">#REF!</definedName>
    <definedName name="_DAT5" localSheetId="12">#REF!</definedName>
    <definedName name="_DAT5" localSheetId="13">'SDGE Costs -ELRP'!#REF!</definedName>
    <definedName name="_DAT5">#REF!</definedName>
    <definedName name="_DAT6" localSheetId="8">#REF!</definedName>
    <definedName name="_DAT6" localSheetId="12">#REF!</definedName>
    <definedName name="_DAT6" localSheetId="13">'SDGE Costs -ELRP'!#REF!</definedName>
    <definedName name="_DAT6">#REF!</definedName>
    <definedName name="_DAT7" localSheetId="8">#REF!</definedName>
    <definedName name="_DAT7" localSheetId="12">#REF!</definedName>
    <definedName name="_DAT7" localSheetId="13">'SDGE Costs -ELRP'!#REF!</definedName>
    <definedName name="_DAT7">#REF!</definedName>
    <definedName name="_DAT8" localSheetId="8">#REF!</definedName>
    <definedName name="_DAT8" localSheetId="12">#REF!</definedName>
    <definedName name="_DAT8" localSheetId="13">'SDGE Costs -ELRP'!#REF!</definedName>
    <definedName name="_DAT8">#REF!</definedName>
    <definedName name="_DAT9" localSheetId="8">#REF!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2">#REF!</definedName>
    <definedName name="DATA1" localSheetId="13">'SDGE Costs -ELRP'!#REF!</definedName>
    <definedName name="DATA1">#REF!</definedName>
    <definedName name="DATA10" localSheetId="8">#REF!</definedName>
    <definedName name="DATA10" localSheetId="12">#REF!</definedName>
    <definedName name="DATA10" localSheetId="13">'SDGE Costs -ELRP'!#REF!</definedName>
    <definedName name="DATA10">#REF!</definedName>
    <definedName name="DATA11" localSheetId="8">#REF!</definedName>
    <definedName name="DATA11" localSheetId="12">#REF!</definedName>
    <definedName name="DATA11" localSheetId="13">'SDGE Costs -ELRP'!#REF!</definedName>
    <definedName name="DATA11">#REF!</definedName>
    <definedName name="DATA12" localSheetId="8">#REF!</definedName>
    <definedName name="DATA12" localSheetId="12">#REF!</definedName>
    <definedName name="DATA12" localSheetId="13">'SDGE Costs -ELRP'!#REF!</definedName>
    <definedName name="DATA12">#REF!</definedName>
    <definedName name="DATA13" localSheetId="8">#REF!</definedName>
    <definedName name="DATA13" localSheetId="12">#REF!</definedName>
    <definedName name="DATA13" localSheetId="13">'SDGE Costs -ELRP'!#REF!</definedName>
    <definedName name="DATA13">#REF!</definedName>
    <definedName name="DATA14" localSheetId="8">#REF!</definedName>
    <definedName name="DATA14" localSheetId="12">#REF!</definedName>
    <definedName name="DATA14" localSheetId="13">'SDGE Costs -ELRP'!#REF!</definedName>
    <definedName name="DATA14">#REF!</definedName>
    <definedName name="DATA15" localSheetId="8">#REF!</definedName>
    <definedName name="DATA15" localSheetId="12">#REF!</definedName>
    <definedName name="DATA15" localSheetId="13">'SDGE Costs -ELRP'!#REF!</definedName>
    <definedName name="DATA15">#REF!</definedName>
    <definedName name="DATA16" localSheetId="8">#REF!</definedName>
    <definedName name="DATA16" localSheetId="12">#REF!</definedName>
    <definedName name="DATA16" localSheetId="13">'SDGE Costs -ELRP'!#REF!</definedName>
    <definedName name="DATA16">#REF!</definedName>
    <definedName name="DATA17" localSheetId="8">#REF!</definedName>
    <definedName name="DATA17" localSheetId="12">#REF!</definedName>
    <definedName name="DATA17" localSheetId="13">'SDGE Costs -ELRP'!#REF!</definedName>
    <definedName name="DATA17">#REF!</definedName>
    <definedName name="DATA18" localSheetId="8">#REF!</definedName>
    <definedName name="DATA18" localSheetId="12">#REF!</definedName>
    <definedName name="DATA18" localSheetId="13">'SDGE Costs -ELRP'!#REF!</definedName>
    <definedName name="DATA18">#REF!</definedName>
    <definedName name="DATA19" localSheetId="8">#REF!</definedName>
    <definedName name="DATA19" localSheetId="12">#REF!</definedName>
    <definedName name="DATA19" localSheetId="13">'SDGE Costs -ELRP'!#REF!</definedName>
    <definedName name="DATA19">#REF!</definedName>
    <definedName name="DATA2" localSheetId="8">#REF!</definedName>
    <definedName name="DATA2" localSheetId="12">#REF!</definedName>
    <definedName name="DATA2" localSheetId="13">'SDGE Costs -ELRP'!#REF!</definedName>
    <definedName name="DATA2">#REF!</definedName>
    <definedName name="DATA20" localSheetId="8">#REF!</definedName>
    <definedName name="DATA20" localSheetId="12">#REF!</definedName>
    <definedName name="DATA20" localSheetId="13">'SDGE Costs -ELRP'!#REF!</definedName>
    <definedName name="DATA20">#REF!</definedName>
    <definedName name="DATA3" localSheetId="8">#REF!</definedName>
    <definedName name="DATA3" localSheetId="12">#REF!</definedName>
    <definedName name="DATA3" localSheetId="13">'SDGE Costs -ELRP'!#REF!</definedName>
    <definedName name="DATA3">#REF!</definedName>
    <definedName name="DATA4" localSheetId="8">#REF!</definedName>
    <definedName name="DATA4" localSheetId="12">#REF!</definedName>
    <definedName name="DATA4" localSheetId="13">'SDGE Costs -ELRP'!#REF!</definedName>
    <definedName name="DATA4">#REF!</definedName>
    <definedName name="DATA5" localSheetId="8">#REF!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2">#REF!</definedName>
    <definedName name="DATA8" localSheetId="13">'SDGE Costs -ELRP'!#REF!</definedName>
    <definedName name="DATA8">#REF!</definedName>
    <definedName name="DATA9" localSheetId="8">#REF!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Expenditures'!$A$1:$Z$60</definedName>
    <definedName name="_xlnm.Print_Area" localSheetId="2">'Ex ante LI &amp; Eligibility Stats'!$A$1:$O$19</definedName>
    <definedName name="_xlnm.Print_Area" localSheetId="3">'Ex post LI &amp; Eligibility Stats'!$A$1:$O$26</definedName>
    <definedName name="_xlnm.Print_Area" localSheetId="9">'Fund Shift Log'!$A$1:$E$23</definedName>
    <definedName name="_xlnm.Print_Area" localSheetId="7">Marketing!$A$1:$Q$40</definedName>
    <definedName name="_xlnm.Print_Area" localSheetId="1">'Program MW '!$A$1:$S$57</definedName>
    <definedName name="_xlnm.Print_Area" localSheetId="12">'SDGE Costs -DPDRMA'!$A$2:$N$44</definedName>
    <definedName name="_xlnm.Print_Area" localSheetId="13">'SDGE Costs -ELRP'!$A$2:$N$38</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2">#REF!</definedName>
    <definedName name="TEST0" localSheetId="13">'SDGE Costs -ELRP'!#REF!</definedName>
    <definedName name="TEST0">#REF!</definedName>
    <definedName name="TEST1" localSheetId="8">#REF!</definedName>
    <definedName name="TEST1" localSheetId="12">#REF!</definedName>
    <definedName name="TEST1" localSheetId="13">'SDGE Costs -ELRP'!#REF!</definedName>
    <definedName name="TEST1">#REF!</definedName>
    <definedName name="TEST10" localSheetId="8">#REF!</definedName>
    <definedName name="TEST10" localSheetId="12">#REF!</definedName>
    <definedName name="TEST10" localSheetId="13">'SDGE Costs -ELRP'!#REF!</definedName>
    <definedName name="TEST10">#REF!</definedName>
    <definedName name="TEST11" localSheetId="8">#REF!</definedName>
    <definedName name="TEST11" localSheetId="12">#REF!</definedName>
    <definedName name="TEST11" localSheetId="13">'SDGE Costs -ELRP'!#REF!</definedName>
    <definedName name="TEST11">#REF!</definedName>
    <definedName name="TEST12" localSheetId="8">#REF!</definedName>
    <definedName name="TEST12" localSheetId="12">#REF!</definedName>
    <definedName name="TEST12" localSheetId="13">'SDGE Costs -ELRP'!#REF!</definedName>
    <definedName name="TEST12">#REF!</definedName>
    <definedName name="TEST13" localSheetId="8">#REF!</definedName>
    <definedName name="TEST13" localSheetId="12">#REF!</definedName>
    <definedName name="TEST13" localSheetId="13">'SDGE Costs -ELRP'!#REF!</definedName>
    <definedName name="TEST13">#REF!</definedName>
    <definedName name="TEST14" localSheetId="8">#REF!</definedName>
    <definedName name="TEST14" localSheetId="12">#REF!</definedName>
    <definedName name="TEST14" localSheetId="13">'SDGE Costs -ELRP'!#REF!</definedName>
    <definedName name="TEST14">#REF!</definedName>
    <definedName name="TEST15" localSheetId="8">#REF!</definedName>
    <definedName name="TEST15" localSheetId="12">#REF!</definedName>
    <definedName name="TEST15" localSheetId="13">'SDGE Costs -ELRP'!#REF!</definedName>
    <definedName name="TEST15">#REF!</definedName>
    <definedName name="TEST16" localSheetId="8">#REF!</definedName>
    <definedName name="TEST16" localSheetId="12">#REF!</definedName>
    <definedName name="TEST16" localSheetId="13">'SDGE Costs -ELRP'!#REF!</definedName>
    <definedName name="TEST16">#REF!</definedName>
    <definedName name="TEST17" localSheetId="8">#REF!</definedName>
    <definedName name="TEST17" localSheetId="12">#REF!</definedName>
    <definedName name="TEST17" localSheetId="13">'SDGE Costs -ELRP'!#REF!</definedName>
    <definedName name="TEST17">#REF!</definedName>
    <definedName name="TEST18" localSheetId="8">#REF!</definedName>
    <definedName name="TEST18" localSheetId="12">#REF!</definedName>
    <definedName name="TEST18" localSheetId="13">'SDGE Costs -ELRP'!#REF!</definedName>
    <definedName name="TEST18">#REF!</definedName>
    <definedName name="TEST19" localSheetId="8">#REF!</definedName>
    <definedName name="TEST19" localSheetId="12">#REF!</definedName>
    <definedName name="TEST19" localSheetId="13">'SDGE Costs -ELRP'!#REF!</definedName>
    <definedName name="TEST19">#REF!</definedName>
    <definedName name="TEST2" localSheetId="8">#REF!</definedName>
    <definedName name="TEST2" localSheetId="12">#REF!</definedName>
    <definedName name="TEST2" localSheetId="13">'SDGE Costs -ELRP'!#REF!</definedName>
    <definedName name="TEST2">#REF!</definedName>
    <definedName name="TEST20" localSheetId="8">#REF!</definedName>
    <definedName name="TEST20" localSheetId="12">#REF!</definedName>
    <definedName name="TEST20" localSheetId="13">'SDGE Costs -ELRP'!#REF!</definedName>
    <definedName name="TEST20">#REF!</definedName>
    <definedName name="TEST21" localSheetId="8">#REF!</definedName>
    <definedName name="TEST21" localSheetId="12">#REF!</definedName>
    <definedName name="TEST21" localSheetId="13">'SDGE Costs -ELRP'!#REF!</definedName>
    <definedName name="TEST21">#REF!</definedName>
    <definedName name="TEST22" localSheetId="8">#REF!</definedName>
    <definedName name="TEST22" localSheetId="12">#REF!</definedName>
    <definedName name="TEST22" localSheetId="13">'SDGE Costs -ELRP'!#REF!</definedName>
    <definedName name="TEST22">#REF!</definedName>
    <definedName name="TEST23" localSheetId="8">#REF!</definedName>
    <definedName name="TEST23" localSheetId="12">#REF!</definedName>
    <definedName name="TEST23" localSheetId="13">'SDGE Costs -ELRP'!#REF!</definedName>
    <definedName name="TEST23">#REF!</definedName>
    <definedName name="TEST24" localSheetId="8">#REF!</definedName>
    <definedName name="TEST24" localSheetId="12">#REF!</definedName>
    <definedName name="TEST24" localSheetId="13">'SDGE Costs -ELRP'!#REF!</definedName>
    <definedName name="TEST24">#REF!</definedName>
    <definedName name="TEST25" localSheetId="8">#REF!</definedName>
    <definedName name="TEST25" localSheetId="12">#REF!</definedName>
    <definedName name="TEST25" localSheetId="13">'SDGE Costs -ELRP'!#REF!</definedName>
    <definedName name="TEST25">#REF!</definedName>
    <definedName name="TEST26" localSheetId="8">#REF!</definedName>
    <definedName name="TEST26" localSheetId="12">#REF!</definedName>
    <definedName name="TEST26" localSheetId="13">'SDGE Costs -ELRP'!#REF!</definedName>
    <definedName name="TEST26">#REF!</definedName>
    <definedName name="TEST27" localSheetId="8">#REF!</definedName>
    <definedName name="TEST27" localSheetId="12">#REF!</definedName>
    <definedName name="TEST27" localSheetId="13">'SDGE Costs -ELRP'!#REF!</definedName>
    <definedName name="TEST27">#REF!</definedName>
    <definedName name="TEST28" localSheetId="8">#REF!</definedName>
    <definedName name="TEST28" localSheetId="12">#REF!</definedName>
    <definedName name="TEST28" localSheetId="13">'SDGE Costs -ELRP'!#REF!</definedName>
    <definedName name="TEST28">#REF!</definedName>
    <definedName name="TEST3" localSheetId="8">#REF!</definedName>
    <definedName name="TEST3" localSheetId="12">#REF!</definedName>
    <definedName name="TEST3" localSheetId="13">'SDGE Costs -ELRP'!#REF!</definedName>
    <definedName name="TEST3">#REF!</definedName>
    <definedName name="TEST4" localSheetId="8">#REF!</definedName>
    <definedName name="TEST4" localSheetId="12">#REF!</definedName>
    <definedName name="TEST4" localSheetId="13">'SDGE Costs -ELRP'!#REF!</definedName>
    <definedName name="TEST4">#REF!</definedName>
    <definedName name="TEST5" localSheetId="8">#REF!</definedName>
    <definedName name="TEST5" localSheetId="12">#REF!</definedName>
    <definedName name="TEST5" localSheetId="13">'SDGE Costs -ELRP'!#REF!</definedName>
    <definedName name="TEST5">#REF!</definedName>
    <definedName name="TEST6" localSheetId="8">#REF!</definedName>
    <definedName name="TEST6" localSheetId="12">#REF!</definedName>
    <definedName name="TEST6" localSheetId="13">'SDGE Costs -ELRP'!#REF!</definedName>
    <definedName name="TEST6">#REF!</definedName>
    <definedName name="TEST7" localSheetId="8">#REF!</definedName>
    <definedName name="TEST7" localSheetId="12">#REF!</definedName>
    <definedName name="TEST7" localSheetId="13">'SDGE Costs -ELRP'!#REF!</definedName>
    <definedName name="TEST7">#REF!</definedName>
    <definedName name="TEST8" localSheetId="8">#REF!</definedName>
    <definedName name="TEST8" localSheetId="12">#REF!</definedName>
    <definedName name="TEST8" localSheetId="13">'SDGE Costs -ELRP'!#REF!</definedName>
    <definedName name="TEST8">#REF!</definedName>
    <definedName name="TEST9" localSheetId="8">#REF!</definedName>
    <definedName name="TEST9" localSheetId="12">#REF!</definedName>
    <definedName name="TEST9" localSheetId="13">'SDGE Costs -ELRP'!#REF!</definedName>
    <definedName name="TEST9">#REF!</definedName>
    <definedName name="TESTHKEY" localSheetId="8">#REF!</definedName>
    <definedName name="TESTHKEY" localSheetId="12">#REF!</definedName>
    <definedName name="TESTHKEY" localSheetId="13">'SDGE Costs -ELRP'!#REF!</definedName>
    <definedName name="TESTHKEY">#REF!</definedName>
    <definedName name="TESTKEYS" localSheetId="8">#REF!</definedName>
    <definedName name="TESTKEYS" localSheetId="12">#REF!</definedName>
    <definedName name="TESTKEYS" localSheetId="13">'SDGE Costs -ELRP'!#REF!</definedName>
    <definedName name="TESTKEYS">#REF!</definedName>
    <definedName name="TESTVKEY" localSheetId="8">#REF!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Stats'!$A$2:$O$24</definedName>
    <definedName name="Z_E5DF83AA_DC53_4EBF_A523_33DA0FE284E8_.wvu.PrintArea" localSheetId="1" hidden="1">'Program MW '!$A$1:$Z$49</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38" l="1"/>
  <c r="D14" i="138"/>
  <c r="E14" i="138"/>
  <c r="F14" i="138"/>
  <c r="G14" i="138"/>
  <c r="H14" i="138"/>
  <c r="I14" i="138"/>
  <c r="J14" i="138"/>
  <c r="K14" i="138"/>
  <c r="L14" i="138"/>
  <c r="M14" i="138"/>
  <c r="B14" i="138"/>
  <c r="M38" i="131"/>
  <c r="L38" i="131"/>
  <c r="K38" i="131"/>
  <c r="J38" i="131"/>
  <c r="I38" i="131"/>
  <c r="H38" i="131"/>
  <c r="G38" i="131"/>
  <c r="F38" i="131"/>
  <c r="E38" i="131"/>
  <c r="D38" i="131"/>
  <c r="C36" i="131"/>
  <c r="D36" i="131"/>
  <c r="E36" i="131"/>
  <c r="F36" i="131"/>
  <c r="G36" i="131"/>
  <c r="H36" i="131"/>
  <c r="I36" i="131"/>
  <c r="J36" i="131"/>
  <c r="K36" i="131"/>
  <c r="L36" i="131"/>
  <c r="M36" i="131"/>
  <c r="C37" i="131"/>
  <c r="D37" i="131"/>
  <c r="E37" i="131"/>
  <c r="F37" i="131"/>
  <c r="G37" i="131"/>
  <c r="H37" i="131"/>
  <c r="I37" i="131"/>
  <c r="J37" i="131"/>
  <c r="K37" i="131"/>
  <c r="L37" i="131"/>
  <c r="M37" i="131"/>
  <c r="C39" i="131"/>
  <c r="D39" i="131"/>
  <c r="E39" i="131"/>
  <c r="F39" i="131"/>
  <c r="G39" i="131"/>
  <c r="H39" i="131"/>
  <c r="I39" i="131"/>
  <c r="J39" i="131"/>
  <c r="K39" i="131"/>
  <c r="L39" i="131"/>
  <c r="M39" i="131"/>
  <c r="S28" i="33"/>
  <c r="P28" i="33"/>
  <c r="M28" i="33"/>
  <c r="J28" i="33"/>
  <c r="G28" i="33"/>
  <c r="D28" i="33"/>
  <c r="S6" i="33"/>
  <c r="P6" i="33"/>
  <c r="M6" i="33"/>
  <c r="J6" i="33"/>
  <c r="G6" i="33"/>
  <c r="D6" i="33"/>
  <c r="G20" i="33"/>
  <c r="C35" i="131" s="1"/>
  <c r="F20" i="33"/>
  <c r="B36" i="131"/>
  <c r="B37" i="131"/>
  <c r="B39" i="131"/>
  <c r="C38" i="131"/>
  <c r="B38" i="131"/>
  <c r="B35" i="131"/>
  <c r="N13" i="138"/>
  <c r="M13" i="131" l="1"/>
  <c r="L13" i="131" l="1"/>
  <c r="J13" i="131" l="1"/>
  <c r="C4" i="57"/>
  <c r="I13" i="131" l="1"/>
  <c r="N31" i="138"/>
  <c r="N28" i="138"/>
  <c r="B29" i="138"/>
  <c r="C29" i="138"/>
  <c r="D29" i="138"/>
  <c r="E29" i="138"/>
  <c r="F29" i="138"/>
  <c r="G29" i="138"/>
  <c r="H29" i="138"/>
  <c r="I29" i="138"/>
  <c r="J29" i="138"/>
  <c r="K29" i="138"/>
  <c r="L29" i="138"/>
  <c r="M29" i="138"/>
  <c r="N24" i="138"/>
  <c r="B25" i="138"/>
  <c r="C25" i="138"/>
  <c r="D25" i="138"/>
  <c r="E25" i="138"/>
  <c r="F25" i="138"/>
  <c r="G25" i="138"/>
  <c r="H25" i="138"/>
  <c r="I25" i="138"/>
  <c r="J25" i="138"/>
  <c r="K25" i="138"/>
  <c r="L25" i="138"/>
  <c r="M25" i="138"/>
  <c r="N12" i="138"/>
  <c r="N17" i="138"/>
  <c r="N18" i="138"/>
  <c r="N19" i="138"/>
  <c r="N20" i="138"/>
  <c r="B21" i="138"/>
  <c r="C21" i="138"/>
  <c r="D21" i="138"/>
  <c r="E21" i="138"/>
  <c r="F21" i="138"/>
  <c r="G21" i="138"/>
  <c r="G32" i="138" s="1"/>
  <c r="G33" i="138" s="1"/>
  <c r="H21" i="138"/>
  <c r="I21" i="138"/>
  <c r="J21" i="138"/>
  <c r="K21" i="138"/>
  <c r="L21" i="138"/>
  <c r="M21" i="138"/>
  <c r="E5" i="138"/>
  <c r="N21" i="119"/>
  <c r="N35" i="117"/>
  <c r="I23" i="134"/>
  <c r="H23" i="134"/>
  <c r="D32" i="138" l="1"/>
  <c r="D33" i="138" s="1"/>
  <c r="C32" i="138"/>
  <c r="C33" i="138" s="1"/>
  <c r="O35" i="117"/>
  <c r="R35" i="117" s="1"/>
  <c r="H32" i="138"/>
  <c r="H33" i="138" s="1"/>
  <c r="L32" i="138"/>
  <c r="L33" i="138" s="1"/>
  <c r="K32" i="138"/>
  <c r="K33" i="138" s="1"/>
  <c r="N14" i="138"/>
  <c r="J32" i="138"/>
  <c r="J33" i="138" s="1"/>
  <c r="F32" i="138"/>
  <c r="F33" i="138" s="1"/>
  <c r="B32" i="138"/>
  <c r="N25" i="138"/>
  <c r="M32" i="138"/>
  <c r="M33" i="138" s="1"/>
  <c r="I32" i="138"/>
  <c r="I33" i="138" s="1"/>
  <c r="E32" i="138"/>
  <c r="E33" i="138" s="1"/>
  <c r="N29" i="138"/>
  <c r="B33" i="138"/>
  <c r="N21" i="138"/>
  <c r="G31" i="134"/>
  <c r="N33" i="138" l="1"/>
  <c r="N32" i="138"/>
  <c r="F13" i="131"/>
  <c r="B17" i="29" l="1"/>
  <c r="F22" i="33" l="1"/>
  <c r="H32" i="129" l="1"/>
  <c r="Q11" i="134" l="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1" i="134" l="1"/>
  <c r="O37" i="33" l="1"/>
  <c r="K13" i="131" l="1"/>
  <c r="N12" i="134"/>
  <c r="O12" i="134" s="1"/>
  <c r="N13" i="134"/>
  <c r="N14" i="134"/>
  <c r="O14" i="134" s="1"/>
  <c r="N15" i="134"/>
  <c r="O15" i="134" s="1"/>
  <c r="N16" i="134"/>
  <c r="O16" i="134" s="1"/>
  <c r="N17" i="134"/>
  <c r="O17" i="134" s="1"/>
  <c r="N18" i="134"/>
  <c r="O18" i="134" s="1"/>
  <c r="N19" i="134"/>
  <c r="O19" i="134" s="1"/>
  <c r="N20" i="134"/>
  <c r="O20" i="134" s="1"/>
  <c r="N21" i="134"/>
  <c r="O21" i="134" s="1"/>
  <c r="N22" i="134"/>
  <c r="O22" i="134" s="1"/>
  <c r="N11" i="134"/>
  <c r="O11" i="134" s="1"/>
  <c r="N23" i="134" l="1"/>
  <c r="I41" i="33" l="1"/>
  <c r="J38"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N47" i="119"/>
  <c r="P47" i="117"/>
  <c r="P46" i="117"/>
  <c r="P45" i="117"/>
  <c r="L30" i="117"/>
  <c r="K30" i="117"/>
  <c r="J30" i="117"/>
  <c r="P49" i="117" l="1"/>
  <c r="N48" i="119"/>
  <c r="O13" i="134" l="1"/>
  <c r="O23" i="134" s="1"/>
  <c r="S45" i="33" l="1"/>
  <c r="M23" i="131" s="1"/>
  <c r="R45" i="33"/>
  <c r="S44" i="33"/>
  <c r="M34" i="131" s="1"/>
  <c r="R44" i="33"/>
  <c r="S43" i="33"/>
  <c r="M35" i="131" s="1"/>
  <c r="R43" i="33"/>
  <c r="S42" i="33"/>
  <c r="R42" i="33"/>
  <c r="S41" i="33"/>
  <c r="R41" i="33"/>
  <c r="S40" i="33"/>
  <c r="R40" i="33"/>
  <c r="S39" i="33"/>
  <c r="M24" i="131" s="1"/>
  <c r="R39" i="33"/>
  <c r="S38" i="33"/>
  <c r="R38" i="33"/>
  <c r="S37" i="33"/>
  <c r="R37" i="33"/>
  <c r="S34" i="33"/>
  <c r="R34" i="33"/>
  <c r="P45" i="33"/>
  <c r="L23" i="131" s="1"/>
  <c r="O45" i="33"/>
  <c r="P44" i="33"/>
  <c r="L34" i="131" s="1"/>
  <c r="O44" i="33"/>
  <c r="P43" i="33"/>
  <c r="L35" i="131" s="1"/>
  <c r="O43" i="33"/>
  <c r="P42" i="33"/>
  <c r="O42" i="33"/>
  <c r="P41" i="33"/>
  <c r="O41" i="33"/>
  <c r="P40" i="33"/>
  <c r="L33" i="131" s="1"/>
  <c r="O40" i="33"/>
  <c r="P39" i="33"/>
  <c r="L24" i="131" s="1"/>
  <c r="O39" i="33"/>
  <c r="P38" i="33"/>
  <c r="O38" i="33"/>
  <c r="P37" i="33"/>
  <c r="L22" i="131" s="1"/>
  <c r="P34" i="33"/>
  <c r="O34" i="33"/>
  <c r="M45" i="33"/>
  <c r="K23" i="131" s="1"/>
  <c r="L45" i="33"/>
  <c r="M44" i="33"/>
  <c r="K34" i="131" s="1"/>
  <c r="L44" i="33"/>
  <c r="M43" i="33"/>
  <c r="K35" i="131" s="1"/>
  <c r="L43" i="33"/>
  <c r="M42" i="33"/>
  <c r="L42" i="33"/>
  <c r="M41" i="33"/>
  <c r="L41" i="33"/>
  <c r="M40" i="33"/>
  <c r="K33" i="131" s="1"/>
  <c r="L40" i="33"/>
  <c r="M39" i="33"/>
  <c r="K24" i="131" s="1"/>
  <c r="L39" i="33"/>
  <c r="M38" i="33"/>
  <c r="L38" i="33"/>
  <c r="M37" i="33"/>
  <c r="K22" i="131" s="1"/>
  <c r="L37" i="33"/>
  <c r="M34" i="33"/>
  <c r="L34" i="33"/>
  <c r="J45" i="33"/>
  <c r="J23" i="131" s="1"/>
  <c r="I45" i="33"/>
  <c r="J44" i="33"/>
  <c r="J34" i="131" s="1"/>
  <c r="I44" i="33"/>
  <c r="J43" i="33"/>
  <c r="J35" i="131" s="1"/>
  <c r="I43" i="33"/>
  <c r="J42" i="33"/>
  <c r="I42" i="33"/>
  <c r="J41" i="33"/>
  <c r="J40" i="33"/>
  <c r="J33" i="131" s="1"/>
  <c r="I40" i="33"/>
  <c r="J39" i="33"/>
  <c r="J24" i="131" s="1"/>
  <c r="I39" i="33"/>
  <c r="J38" i="33"/>
  <c r="I38" i="33"/>
  <c r="J37" i="33"/>
  <c r="J22" i="131" s="1"/>
  <c r="I37" i="33"/>
  <c r="J34" i="33"/>
  <c r="I34" i="33"/>
  <c r="S31" i="33"/>
  <c r="R31" i="33"/>
  <c r="P31" i="33"/>
  <c r="O31" i="33"/>
  <c r="M31" i="33"/>
  <c r="L31" i="33"/>
  <c r="J31" i="33"/>
  <c r="I31" i="33"/>
  <c r="F31" i="33"/>
  <c r="C31" i="33"/>
  <c r="G31" i="33"/>
  <c r="M33" i="131" l="1"/>
  <c r="M40" i="131" s="1"/>
  <c r="M22" i="131"/>
  <c r="M25" i="131" s="1"/>
  <c r="L25" i="131"/>
  <c r="K25" i="131"/>
  <c r="J40" i="131"/>
  <c r="J25" i="131"/>
  <c r="L40" i="131"/>
  <c r="K40" i="131"/>
  <c r="G45" i="33"/>
  <c r="I23" i="131" s="1"/>
  <c r="F45" i="33"/>
  <c r="G44" i="33"/>
  <c r="I34" i="131" s="1"/>
  <c r="F44" i="33"/>
  <c r="G43" i="33"/>
  <c r="I35" i="131" s="1"/>
  <c r="F43" i="33"/>
  <c r="G42" i="33"/>
  <c r="F42" i="33"/>
  <c r="G41" i="33"/>
  <c r="F41" i="33"/>
  <c r="G40" i="33"/>
  <c r="I33" i="131" s="1"/>
  <c r="F40" i="33"/>
  <c r="G39" i="33"/>
  <c r="I24" i="131" s="1"/>
  <c r="F39" i="33"/>
  <c r="G38" i="33"/>
  <c r="F38" i="33"/>
  <c r="G37" i="33"/>
  <c r="I22" i="131" s="1"/>
  <c r="F37" i="33"/>
  <c r="G34" i="33"/>
  <c r="F34" i="33"/>
  <c r="D37" i="33"/>
  <c r="H22" i="131" s="1"/>
  <c r="D38" i="33"/>
  <c r="D39" i="33"/>
  <c r="H24" i="131" s="1"/>
  <c r="D40" i="33"/>
  <c r="H33" i="131" s="1"/>
  <c r="D41" i="33"/>
  <c r="D42" i="33"/>
  <c r="D43" i="33"/>
  <c r="H35" i="131" s="1"/>
  <c r="D44" i="33"/>
  <c r="H34" i="131" s="1"/>
  <c r="D45" i="33"/>
  <c r="H23" i="131" s="1"/>
  <c r="C37" i="33"/>
  <c r="C38" i="33"/>
  <c r="C39" i="33"/>
  <c r="C40" i="33"/>
  <c r="C41" i="33"/>
  <c r="C42" i="33"/>
  <c r="C43" i="33"/>
  <c r="C44" i="33"/>
  <c r="C45" i="33"/>
  <c r="D34" i="33"/>
  <c r="C34" i="33"/>
  <c r="D31" i="33"/>
  <c r="I25" i="131" l="1"/>
  <c r="S46" i="33"/>
  <c r="R46" i="33"/>
  <c r="S32" i="33"/>
  <c r="R32" i="33"/>
  <c r="P46" i="33"/>
  <c r="O46" i="33"/>
  <c r="P32" i="33"/>
  <c r="O32" i="33"/>
  <c r="L46" i="33"/>
  <c r="M32" i="33"/>
  <c r="L32" i="33"/>
  <c r="J46" i="33"/>
  <c r="J32" i="33"/>
  <c r="I32" i="33"/>
  <c r="F46" i="33"/>
  <c r="G32" i="33"/>
  <c r="F32" i="33"/>
  <c r="D46" i="33"/>
  <c r="D32" i="33"/>
  <c r="C32" i="33"/>
  <c r="R47" i="33" l="1"/>
  <c r="S47" i="33"/>
  <c r="O47" i="33"/>
  <c r="G46" i="33"/>
  <c r="G47" i="33" s="1"/>
  <c r="M46" i="33"/>
  <c r="M47" i="33" s="1"/>
  <c r="C46" i="33"/>
  <c r="C47" i="33" s="1"/>
  <c r="I46" i="33"/>
  <c r="I47" i="33" s="1"/>
  <c r="P47" i="33"/>
  <c r="L47" i="33"/>
  <c r="J47" i="33"/>
  <c r="F47" i="33"/>
  <c r="D47" i="33"/>
  <c r="N13" i="129" l="1"/>
  <c r="N14" i="129"/>
  <c r="N15" i="129"/>
  <c r="N16" i="129"/>
  <c r="S22" i="33" l="1"/>
  <c r="G23" i="131" s="1"/>
  <c r="R22" i="33"/>
  <c r="S21" i="33"/>
  <c r="G34" i="131" s="1"/>
  <c r="R21" i="33"/>
  <c r="S20" i="33"/>
  <c r="G35" i="131" s="1"/>
  <c r="R20" i="33"/>
  <c r="S19" i="33"/>
  <c r="R19" i="33"/>
  <c r="S18" i="33"/>
  <c r="R18" i="33"/>
  <c r="S17" i="33"/>
  <c r="R17" i="33"/>
  <c r="S16" i="33"/>
  <c r="G24" i="131" s="1"/>
  <c r="R16" i="33"/>
  <c r="S15" i="33"/>
  <c r="G33" i="131" s="1"/>
  <c r="R15" i="33"/>
  <c r="S14" i="33"/>
  <c r="G22" i="131" s="1"/>
  <c r="R14" i="33"/>
  <c r="S12" i="33"/>
  <c r="R12" i="33"/>
  <c r="S9" i="33"/>
  <c r="S10" i="33" s="1"/>
  <c r="R9" i="33"/>
  <c r="R10" i="33" s="1"/>
  <c r="G23" i="134" l="1"/>
  <c r="N15" i="117" l="1"/>
  <c r="O15" i="117" s="1"/>
  <c r="N14" i="117"/>
  <c r="O14" i="117" s="1"/>
  <c r="N13" i="117"/>
  <c r="O13" i="117" s="1"/>
  <c r="N12" i="117"/>
  <c r="O12" i="117" s="1"/>
  <c r="P9" i="33" l="1"/>
  <c r="O9" i="33"/>
  <c r="P22" i="33" l="1"/>
  <c r="F23" i="131" s="1"/>
  <c r="O22" i="33"/>
  <c r="P21" i="33"/>
  <c r="F34" i="131" s="1"/>
  <c r="O21" i="33"/>
  <c r="P20" i="33"/>
  <c r="F35" i="131" s="1"/>
  <c r="O20" i="33"/>
  <c r="P19" i="33"/>
  <c r="O19" i="33"/>
  <c r="P18" i="33"/>
  <c r="O18" i="33"/>
  <c r="P17" i="33"/>
  <c r="O17" i="33"/>
  <c r="P16" i="33"/>
  <c r="F24" i="131" s="1"/>
  <c r="O16" i="33"/>
  <c r="P15" i="33"/>
  <c r="F33" i="131" s="1"/>
  <c r="O15" i="33"/>
  <c r="P14" i="33"/>
  <c r="F22" i="131" s="1"/>
  <c r="O14" i="33"/>
  <c r="P12" i="33"/>
  <c r="O12" i="33"/>
  <c r="F40" i="131" l="1"/>
  <c r="F25" i="131"/>
  <c r="N23" i="33"/>
  <c r="F23" i="134" l="1"/>
  <c r="I40" i="131" l="1"/>
  <c r="H40" i="131"/>
  <c r="G40" i="131"/>
  <c r="P10" i="33"/>
  <c r="M22" i="33" l="1"/>
  <c r="E23" i="131" s="1"/>
  <c r="L22" i="33"/>
  <c r="M21" i="33"/>
  <c r="E34" i="131" s="1"/>
  <c r="L21" i="33"/>
  <c r="M20" i="33"/>
  <c r="E35" i="131" s="1"/>
  <c r="L20" i="33"/>
  <c r="M19" i="33"/>
  <c r="L19" i="33"/>
  <c r="M18" i="33"/>
  <c r="L18" i="33"/>
  <c r="M17" i="33"/>
  <c r="L17" i="33"/>
  <c r="M16" i="33"/>
  <c r="E24" i="131" s="1"/>
  <c r="L16" i="33"/>
  <c r="M15" i="33"/>
  <c r="E33" i="131" s="1"/>
  <c r="L15" i="33"/>
  <c r="M14" i="33"/>
  <c r="L14" i="33"/>
  <c r="M12" i="33"/>
  <c r="L12" i="33"/>
  <c r="M9" i="33"/>
  <c r="M10" i="33" s="1"/>
  <c r="L9" i="33"/>
  <c r="L10" i="33" s="1"/>
  <c r="E22" i="131" l="1"/>
  <c r="E25" i="131" s="1"/>
  <c r="M23" i="33"/>
  <c r="M24" i="33" s="1"/>
  <c r="L23" i="33"/>
  <c r="L24" i="33" s="1"/>
  <c r="J22" i="33" l="1"/>
  <c r="D23" i="131" s="1"/>
  <c r="J21" i="33"/>
  <c r="D34" i="131" s="1"/>
  <c r="J20" i="33"/>
  <c r="D35" i="131" s="1"/>
  <c r="J19" i="33"/>
  <c r="J18" i="33"/>
  <c r="J17" i="33"/>
  <c r="J16" i="33"/>
  <c r="D24" i="131" s="1"/>
  <c r="J15" i="33"/>
  <c r="D33" i="131" s="1"/>
  <c r="J14" i="33"/>
  <c r="J12" i="33"/>
  <c r="J9" i="33"/>
  <c r="I22" i="33"/>
  <c r="I21" i="33"/>
  <c r="I20" i="33"/>
  <c r="I19" i="33"/>
  <c r="I18" i="33"/>
  <c r="I17" i="33"/>
  <c r="I16" i="33"/>
  <c r="I15" i="33"/>
  <c r="I14" i="33"/>
  <c r="I12" i="33"/>
  <c r="I9" i="33"/>
  <c r="D22" i="131" l="1"/>
  <c r="D25" i="131" s="1"/>
  <c r="D23" i="134"/>
  <c r="D17" i="33" l="1"/>
  <c r="C14" i="33"/>
  <c r="D16" i="33"/>
  <c r="B24" i="131" l="1"/>
  <c r="M48" i="119"/>
  <c r="L48" i="119"/>
  <c r="K48" i="119"/>
  <c r="J48" i="119"/>
  <c r="I48" i="119"/>
  <c r="H48" i="119"/>
  <c r="G48" i="119"/>
  <c r="F48" i="119"/>
  <c r="E48" i="119"/>
  <c r="D48" i="119"/>
  <c r="C48" i="119"/>
  <c r="B48"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5" i="119"/>
  <c r="B49" i="119" s="1"/>
  <c r="B51" i="119" s="1"/>
  <c r="Q15" i="134"/>
  <c r="Q23" i="134" s="1"/>
  <c r="P30" i="117"/>
  <c r="P16" i="117"/>
  <c r="B20" i="117"/>
  <c r="C20" i="117"/>
  <c r="D20" i="117"/>
  <c r="E20" i="117"/>
  <c r="F20" i="117"/>
  <c r="G20" i="117"/>
  <c r="H20" i="117"/>
  <c r="I20" i="117"/>
  <c r="J20" i="117"/>
  <c r="K20" i="117"/>
  <c r="L20" i="117"/>
  <c r="M20" i="117"/>
  <c r="N48" i="117"/>
  <c r="O48" i="117" s="1"/>
  <c r="N34" i="117"/>
  <c r="O34" i="117" s="1"/>
  <c r="N33" i="117"/>
  <c r="N36" i="117"/>
  <c r="O36" i="117" s="1"/>
  <c r="N37" i="117"/>
  <c r="O37" i="117" s="1"/>
  <c r="P38" i="117"/>
  <c r="N19" i="117"/>
  <c r="N11" i="117"/>
  <c r="F15" i="33"/>
  <c r="G15" i="33"/>
  <c r="C33" i="131" s="1"/>
  <c r="F16" i="33"/>
  <c r="G16" i="33"/>
  <c r="C24" i="131" s="1"/>
  <c r="F17" i="33"/>
  <c r="G17" i="33"/>
  <c r="F18" i="33"/>
  <c r="F19" i="33"/>
  <c r="G18" i="33"/>
  <c r="G19" i="33"/>
  <c r="D14" i="33"/>
  <c r="B22" i="131" s="1"/>
  <c r="F14" i="33"/>
  <c r="H20" i="136" s="1"/>
  <c r="G14" i="33"/>
  <c r="C22" i="131" s="1"/>
  <c r="H33" i="136"/>
  <c r="H46" i="136"/>
  <c r="M17" i="129"/>
  <c r="M24" i="129"/>
  <c r="M28" i="129"/>
  <c r="M32" i="129"/>
  <c r="B32" i="129"/>
  <c r="C32" i="129"/>
  <c r="D32" i="129"/>
  <c r="E32" i="129"/>
  <c r="F32" i="129"/>
  <c r="G32" i="129"/>
  <c r="I32" i="129"/>
  <c r="J32" i="129"/>
  <c r="K32" i="129"/>
  <c r="L32" i="129"/>
  <c r="N47" i="117"/>
  <c r="O47" i="117" s="1"/>
  <c r="N46" i="117"/>
  <c r="O46" i="117" s="1"/>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42" i="117"/>
  <c r="G38" i="117"/>
  <c r="G30" i="117"/>
  <c r="G24" i="117"/>
  <c r="G16" i="117"/>
  <c r="D13" i="131"/>
  <c r="D38" i="134"/>
  <c r="C13" i="131"/>
  <c r="M16" i="117"/>
  <c r="L16" i="117"/>
  <c r="J16" i="117"/>
  <c r="I16" i="117"/>
  <c r="H16" i="117"/>
  <c r="F16" i="117"/>
  <c r="E16" i="117"/>
  <c r="D16" i="117"/>
  <c r="C16" i="117"/>
  <c r="P42" i="117"/>
  <c r="P24" i="117"/>
  <c r="P20" i="117"/>
  <c r="Q20" i="117"/>
  <c r="P38" i="134"/>
  <c r="M38" i="134"/>
  <c r="L38" i="134"/>
  <c r="K38" i="134"/>
  <c r="I38" i="134"/>
  <c r="H38" i="134"/>
  <c r="G38" i="134"/>
  <c r="F38" i="134"/>
  <c r="E38" i="134"/>
  <c r="C38" i="134"/>
  <c r="B38" i="134"/>
  <c r="L31" i="134"/>
  <c r="K31" i="134"/>
  <c r="J31" i="134"/>
  <c r="I31" i="134"/>
  <c r="H31" i="134"/>
  <c r="F31" i="134"/>
  <c r="E31" i="134"/>
  <c r="D31" i="134"/>
  <c r="B31" i="134"/>
  <c r="M23" i="134"/>
  <c r="L23" i="134"/>
  <c r="K23" i="134"/>
  <c r="J23" i="134"/>
  <c r="E23" i="134"/>
  <c r="C23"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Q38" i="117"/>
  <c r="N41" i="117"/>
  <c r="O41" i="117" s="1"/>
  <c r="K42" i="117"/>
  <c r="L42" i="117"/>
  <c r="Q42" i="117"/>
  <c r="D9" i="33"/>
  <c r="D10" i="33" s="1"/>
  <c r="D12" i="33"/>
  <c r="D19" i="33"/>
  <c r="D21" i="33"/>
  <c r="B34" i="131" s="1"/>
  <c r="D22" i="33"/>
  <c r="B23" i="131" s="1"/>
  <c r="H81" i="136"/>
  <c r="H13" i="131"/>
  <c r="N34"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9" i="119"/>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6" i="33"/>
  <c r="Q32" i="33"/>
  <c r="N46" i="33"/>
  <c r="K46" i="33"/>
  <c r="K32" i="33"/>
  <c r="H46" i="33"/>
  <c r="E46" i="33"/>
  <c r="B46" i="33"/>
  <c r="B32" i="33"/>
  <c r="H146" i="136"/>
  <c r="H25" i="131"/>
  <c r="H133" i="136"/>
  <c r="H94" i="136"/>
  <c r="N32" i="33"/>
  <c r="H32" i="33"/>
  <c r="C27" i="33"/>
  <c r="Q23" i="33"/>
  <c r="Q10" i="33"/>
  <c r="K23" i="33"/>
  <c r="H23" i="33"/>
  <c r="H66" i="136"/>
  <c r="H53" i="136"/>
  <c r="H40" i="136"/>
  <c r="G22" i="33"/>
  <c r="C23" i="131" s="1"/>
  <c r="H27" i="136"/>
  <c r="C22" i="33"/>
  <c r="H14" i="136" s="1"/>
  <c r="G21" i="33"/>
  <c r="C34" i="131" s="1"/>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B33" i="131"/>
  <c r="E40" i="131"/>
  <c r="R11" i="117"/>
  <c r="P15" i="36"/>
  <c r="Q51" i="117"/>
  <c r="O19" i="117"/>
  <c r="O20" i="117" s="1"/>
  <c r="N20" i="117"/>
  <c r="N49" i="117"/>
  <c r="O24" i="117"/>
  <c r="R24" i="117" s="1"/>
  <c r="N24" i="117"/>
  <c r="N49" i="119"/>
  <c r="P51" i="117"/>
  <c r="N24" i="33"/>
  <c r="D40" i="131"/>
  <c r="H147" i="136"/>
  <c r="H134" i="136"/>
  <c r="H82" i="136"/>
  <c r="H121" i="136"/>
  <c r="H108" i="136"/>
  <c r="H95" i="136"/>
  <c r="G147" i="136"/>
  <c r="G134" i="136"/>
  <c r="G121" i="136"/>
  <c r="G108" i="136"/>
  <c r="G95" i="136"/>
  <c r="G82" i="136"/>
  <c r="C25" i="131"/>
  <c r="C40" i="131"/>
  <c r="N47" i="33"/>
  <c r="H85" i="136"/>
  <c r="D42" i="36"/>
  <c r="B51" i="117"/>
  <c r="O33" i="117"/>
  <c r="R33" i="117" s="1"/>
  <c r="R28" i="117"/>
  <c r="R34" i="117"/>
  <c r="R27" i="117"/>
  <c r="R13" i="117"/>
  <c r="R37" i="117"/>
  <c r="R48" i="117"/>
  <c r="R46"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7" i="33"/>
  <c r="H132" i="136"/>
  <c r="C10" i="33"/>
  <c r="H2" i="136"/>
  <c r="H67" i="136"/>
  <c r="H80" i="136"/>
  <c r="F10" i="33"/>
  <c r="H15" i="136"/>
  <c r="H41" i="136"/>
  <c r="I10" i="33"/>
  <c r="H28" i="136"/>
  <c r="O10" i="33"/>
  <c r="H54" i="136"/>
  <c r="H119" i="136"/>
  <c r="H106" i="136"/>
  <c r="H93" i="136"/>
  <c r="H145" i="136"/>
  <c r="D35"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49" i="119"/>
  <c r="C51" i="119" s="1"/>
  <c r="Y13" i="36"/>
  <c r="E33" i="36"/>
  <c r="E42" i="36" s="1"/>
  <c r="F49" i="119"/>
  <c r="D15" i="36"/>
  <c r="O15" i="36"/>
  <c r="L31" i="120"/>
  <c r="E35" i="129"/>
  <c r="E7" i="36"/>
  <c r="E15" i="36" s="1"/>
  <c r="Q7" i="36"/>
  <c r="Q15" i="36" s="1"/>
  <c r="Y7" i="36"/>
  <c r="H42" i="36"/>
  <c r="B31" i="120"/>
  <c r="H35" i="129"/>
  <c r="L51" i="117"/>
  <c r="R14" i="117"/>
  <c r="N32" i="129"/>
  <c r="L49" i="119"/>
  <c r="I33" i="36"/>
  <c r="K31" i="120"/>
  <c r="F31" i="120"/>
  <c r="E31" i="120"/>
  <c r="B35" i="129"/>
  <c r="B36" i="129" s="1"/>
  <c r="M35" i="129"/>
  <c r="L35" i="129"/>
  <c r="N14" i="120"/>
  <c r="O38" i="134"/>
  <c r="I51" i="117"/>
  <c r="C23" i="33"/>
  <c r="M49" i="119"/>
  <c r="E49" i="119"/>
  <c r="G49" i="119"/>
  <c r="J49" i="119"/>
  <c r="D49" i="119"/>
  <c r="K49" i="119"/>
  <c r="Q24" i="33"/>
  <c r="C31" i="120"/>
  <c r="I35" i="129"/>
  <c r="D51" i="117"/>
  <c r="G51" i="117"/>
  <c r="G23" i="33"/>
  <c r="G24" i="33" s="1"/>
  <c r="B24" i="33"/>
  <c r="Q47" i="33"/>
  <c r="I7" i="36"/>
  <c r="I15" i="36" s="1"/>
  <c r="T15" i="36"/>
  <c r="Y33" i="36"/>
  <c r="Y42" i="36" s="1"/>
  <c r="M40" i="36"/>
  <c r="H49" i="119"/>
  <c r="M31" i="120"/>
  <c r="I31" i="120"/>
  <c r="N22" i="120"/>
  <c r="C35" i="129"/>
  <c r="C36" i="129" s="1"/>
  <c r="J35" i="129"/>
  <c r="G35" i="129"/>
  <c r="K35" i="129"/>
  <c r="H24" i="33"/>
  <c r="E51" i="117"/>
  <c r="N28" i="120"/>
  <c r="O23" i="33"/>
  <c r="K47"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5" i="129"/>
  <c r="R47" i="117"/>
  <c r="J23" i="33"/>
  <c r="J24" i="33" s="1"/>
  <c r="P23" i="33"/>
  <c r="P24" i="33" s="1"/>
  <c r="E47" i="33"/>
  <c r="B47" i="33"/>
  <c r="H31" i="120"/>
  <c r="O31" i="134"/>
  <c r="F23" i="33"/>
  <c r="I23" i="33"/>
  <c r="R41" i="117"/>
  <c r="O42" i="117"/>
  <c r="R42" i="117" s="1"/>
  <c r="R36" i="117"/>
  <c r="N38" i="117"/>
  <c r="N30" i="117"/>
  <c r="H51" i="117"/>
  <c r="R12" i="117"/>
  <c r="B25" i="131"/>
  <c r="G31" i="120"/>
  <c r="N24" i="129"/>
  <c r="R23" i="33"/>
  <c r="S23" i="33"/>
  <c r="S24" i="33" s="1"/>
  <c r="N35" i="129" l="1"/>
  <c r="N51" i="119"/>
  <c r="Y15" i="36"/>
  <c r="O49" i="117"/>
  <c r="R49" i="117" s="1"/>
  <c r="R45" i="117"/>
  <c r="R23" i="117"/>
  <c r="O16" i="117"/>
  <c r="I42" i="36"/>
  <c r="N51" i="117"/>
  <c r="O30" i="117"/>
  <c r="R30" i="117" s="1"/>
  <c r="B40" i="131"/>
  <c r="O38" i="117"/>
  <c r="R38" i="117" s="1"/>
  <c r="C24" i="33"/>
  <c r="O24" i="33"/>
  <c r="R24" i="33"/>
  <c r="I24" i="33"/>
  <c r="F24" i="33"/>
  <c r="N36" i="129"/>
  <c r="M42" i="36"/>
  <c r="N31" i="120"/>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<sst xmlns="http://schemas.openxmlformats.org/spreadsheetml/2006/main" count="1307" uniqueCount="338">
  <si>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</si>
  <si>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</si>
  <si>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</si>
  <si>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</si>
  <si>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</si>
  <si>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</si>
  <si>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</si>
  <si>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</si>
  <si>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</si>
  <si>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</si>
  <si>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</si>
  <si>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</si>
  <si>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</si>
  <si>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</si>
  <si>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</si>
  <si>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</si>
  <si>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</si>
  <si>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</si>
  <si>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</si>
  <si>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</si>
  <si>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</si>
  <si>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</si>
  <si>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</si>
  <si>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</si>
  <si>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</si>
  <si>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</si>
  <si>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</si>
  <si>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</si>
  <si>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</si>
  <si>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</si>
  <si>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</si>
  <si>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</si>
  <si>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</si>
  <si>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</si>
  <si>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</si>
  <si>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</si>
  <si>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</si>
  <si>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</si>
  <si>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</si>
  <si>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</si>
  <si>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</si>
  <si>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</si>
  <si>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</si>
  <si>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</si>
  <si>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</si>
  <si>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</si>
  <si>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</si>
  <si>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</si>
  <si>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</si>
  <si>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</si>
  <si>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</si>
  <si>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</si>
  <si>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</si>
  <si>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</si>
  <si>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</si>
  <si>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</si>
  <si>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</si>
  <si>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</si>
  <si>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</si>
  <si>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</si>
  <si>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August</t>
  </si>
  <si>
    <t>September</t>
  </si>
  <si>
    <t>October</t>
  </si>
  <si>
    <t>November</t>
  </si>
  <si>
    <t>December</t>
  </si>
  <si>
    <t xml:space="preserve">Ex Ante Estimated MW </t>
  </si>
  <si>
    <t xml:space="preserve">Ex Post Estimated MW </t>
  </si>
  <si>
    <t>Notes:</t>
  </si>
  <si>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</si>
  <si>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</si>
  <si>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</si>
  <si>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</si>
  <si>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</si>
  <si>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</si>
  <si>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</si>
  <si>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</si>
  <si>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 The "TOU-DR-P Voluntary Residential" and “TOU-A-P Small Commercial” service accounts numbers were inadvertently reported on the wrong row January through June.  This report has been corrected to reflect the service account numbers for both programs. </t>
  </si>
  <si>
    <t>(End of page)</t>
  </si>
  <si>
    <t>Average Ex Ante Load Impact kW / Customer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</si>
  <si>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</si>
  <si>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</si>
  <si>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</si>
  <si>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</si>
  <si>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</si>
  <si>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</si>
  <si>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</si>
  <si>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</si>
  <si>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</si>
  <si>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</si>
  <si>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ex-ante estimates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</si>
  <si>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</si>
  <si>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</si>
  <si>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</si>
  <si>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</si>
  <si>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</si>
  <si>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</si>
  <si>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</si>
  <si>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</si>
  <si>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</si>
  <si>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</si>
  <si>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</si>
  <si>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</si>
  <si>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</si>
  <si>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</si>
  <si>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</si>
  <si>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</si>
  <si>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</si>
  <si>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</si>
  <si>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</si>
  <si>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</si>
  <si>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</si>
  <si>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</si>
  <si>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</si>
  <si>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</si>
  <si>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</si>
  <si>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</si>
  <si>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</si>
  <si>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</si>
  <si>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</si>
  <si>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</si>
  <si>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</si>
  <si>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</si>
  <si>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</si>
  <si>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</si>
  <si>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</si>
  <si>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</si>
  <si>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</si>
  <si>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</si>
  <si>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</si>
  <si>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</si>
  <si>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t>Event Beginning to End</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</si>
  <si>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</si>
  <si>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</si>
  <si>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</si>
  <si>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</si>
  <si>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</si>
  <si>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</si>
  <si>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</si>
  <si>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</si>
  <si>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</si>
  <si>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</si>
  <si>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</si>
  <si>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</si>
  <si>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</si>
  <si>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</si>
  <si>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</si>
  <si>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</si>
  <si>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</si>
  <si>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</si>
  <si>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Base Interruptible Program</t>
    </r>
    <r>
      <rPr>
        <vertAlign val="superscript"/>
        <sz val="10"/>
        <color rgb="FFFF0000"/>
        <rFont val="Arial"/>
        <family val="2"/>
      </rPr>
      <t xml:space="preserve"> </t>
    </r>
  </si>
  <si>
    <t xml:space="preserve">Back Up Generators (BUGs) </t>
  </si>
  <si>
    <t xml:space="preserve">Capacity Bidding Program </t>
  </si>
  <si>
    <r>
      <t>AC Saver Day Ahead</t>
    </r>
    <r>
      <rPr>
        <vertAlign val="superscript"/>
        <sz val="10"/>
        <color rgb="FFFF0000"/>
        <rFont val="Arial"/>
        <family val="2"/>
      </rPr>
      <t xml:space="preserve"> </t>
    </r>
  </si>
  <si>
    <t>AC Saver Day Of</t>
  </si>
  <si>
    <t xml:space="preserve">Technology Deployment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</si>
  <si>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</si>
  <si>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</si>
  <si>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</si>
  <si>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</si>
  <si>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</si>
  <si>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Collateral- Development, Printing, Distribution etc. (all non-labor costs) </t>
  </si>
  <si>
    <r>
      <t>Paid Media</t>
    </r>
    <r>
      <rPr>
        <vertAlign val="superscript"/>
        <sz val="10"/>
        <color rgb="FFFF0000"/>
        <rFont val="Arial"/>
        <family val="2"/>
      </rPr>
      <t xml:space="preserve"> </t>
    </r>
  </si>
  <si>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</si>
  <si>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</si>
  <si>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</si>
  <si>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</si>
  <si>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</si>
  <si>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</si>
  <si>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t xml:space="preserve">SAN DIEGO GAS &amp; ELECTRIC REPORT COMPANY ON INTERRUPTIBLE LOAD AND DEMAND RESPONSE PROGRAMS </t>
  </si>
  <si>
    <t>YEAR TO DATE PROGRAM EXPENDITURES</t>
  </si>
  <si>
    <t>Cost Item</t>
  </si>
  <si>
    <t xml:space="preserve">August </t>
  </si>
  <si>
    <t>5-Year Funding (2018-2022)</t>
  </si>
  <si>
    <t xml:space="preserve">Fund shift Adjustments </t>
  </si>
  <si>
    <t>Percent Funding</t>
  </si>
  <si>
    <t>Category 1: Supply Side DR Programs</t>
  </si>
  <si>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</si>
  <si>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</si>
  <si>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</si>
  <si>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</si>
  <si>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</si>
  <si>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</si>
  <si>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</si>
  <si>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</si>
  <si>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</si>
  <si>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</si>
  <si>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</si>
  <si>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</si>
  <si>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</si>
  <si>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</si>
  <si>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</si>
  <si>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</si>
  <si>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</si>
  <si>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</si>
  <si>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</si>
  <si>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</si>
  <si>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r>
      <t>Regulatory Policy &amp; Program Support (Gen. Admin.)</t>
    </r>
    <r>
      <rPr>
        <vertAlign val="superscript"/>
        <sz val="10"/>
        <color rgb="FFFF0000"/>
        <rFont val="Arial"/>
        <family val="2"/>
      </rPr>
      <t xml:space="preserve"> </t>
    </r>
  </si>
  <si>
    <t xml:space="preserve">EM&amp;V </t>
  </si>
  <si>
    <t>DR Potential Study</t>
  </si>
  <si>
    <t xml:space="preserve"> Budget Category 7 Total</t>
  </si>
  <si>
    <t>Total Incremental Cost</t>
  </si>
  <si>
    <t>FUND SHIFT LOG</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</si>
  <si>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</si>
  <si>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</si>
  <si>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</si>
  <si>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</si>
  <si>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</si>
  <si>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</si>
  <si>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</si>
  <si>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</si>
  <si>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</si>
  <si>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</si>
  <si>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</si>
  <si>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</si>
  <si>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</si>
  <si>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</si>
  <si>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</si>
  <si>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</si>
  <si>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</si>
  <si>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</si>
  <si>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</si>
  <si>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</si>
  <si>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</si>
  <si>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</si>
  <si>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</si>
  <si>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</si>
  <si>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</si>
  <si>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</si>
  <si>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</si>
  <si>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</si>
  <si>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</si>
  <si>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t>Constrained Local Capacity Program (CLCP)</t>
  </si>
  <si>
    <r>
      <t>Local Marketing Education &amp; Outreach (LMEO)</t>
    </r>
    <r>
      <rPr>
        <vertAlign val="superscript"/>
        <sz val="10"/>
        <color rgb="FFFF0000"/>
        <rFont val="Arial"/>
        <family val="2"/>
      </rPr>
      <t xml:space="preserve"> </t>
    </r>
  </si>
  <si>
    <t>General Admin</t>
  </si>
  <si>
    <r>
      <t>SW-AG</t>
    </r>
    <r>
      <rPr>
        <vertAlign val="superscript"/>
        <sz val="9"/>
        <color rgb="FFFF0000"/>
        <rFont val="Arial"/>
        <family val="2"/>
      </rPr>
      <t xml:space="preserve"> </t>
    </r>
  </si>
  <si>
    <t xml:space="preserve">  Total Administrative (O&amp;M) </t>
  </si>
  <si>
    <t>Customer Incentives</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</si>
  <si>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</si>
  <si>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</si>
  <si>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</si>
  <si>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</si>
  <si>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</si>
  <si>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</si>
  <si>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</si>
  <si>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</si>
  <si>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</si>
  <si>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</si>
  <si>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</si>
  <si>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</si>
  <si>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</si>
  <si>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</si>
  <si>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</si>
  <si>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</si>
  <si>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</si>
  <si>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</si>
  <si>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</si>
  <si>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</si>
  <si>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</si>
  <si>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</si>
  <si>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</si>
  <si>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</si>
  <si>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</si>
  <si>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</si>
  <si>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</si>
  <si>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</si>
  <si>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</si>
  <si>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</si>
  <si>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</si>
  <si>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</si>
  <si>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</si>
  <si>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ELRP</t>
  </si>
  <si>
    <t>ELRP Tax</t>
  </si>
  <si>
    <t>ELRP Property Tax</t>
  </si>
  <si>
    <t>Total ELRP Program Costs</t>
  </si>
  <si>
    <t>Total ELRP Program Costs with Interest</t>
  </si>
  <si>
    <r>
      <t xml:space="preserve">Load Reduction     MW </t>
    </r>
    <r>
      <rPr>
        <vertAlign val="superscript"/>
        <sz val="10"/>
        <color rgb="FFFF0000"/>
        <rFont val="Arial"/>
        <family val="2"/>
      </rPr>
      <t>1</t>
    </r>
  </si>
  <si>
    <r>
      <t>Program Total Hours (Annual)</t>
    </r>
    <r>
      <rPr>
        <b/>
        <sz val="10"/>
        <color rgb="FFFF0000"/>
        <rFont val="Arial"/>
        <family val="2"/>
      </rPr>
      <t xml:space="preserve"> </t>
    </r>
    <r>
      <rPr>
        <vertAlign val="superscript"/>
        <sz val="10"/>
        <color rgb="FFFF0000"/>
        <rFont val="Arial"/>
        <family val="2"/>
      </rPr>
      <t>2</t>
    </r>
  </si>
  <si>
    <t>ELRP was approved in Decision 21.03.056.</t>
  </si>
  <si>
    <t>SAN DIEGO GAS &amp; ELECTRIC COMPANY REPORT ON INTERRUPTIBLE LOAD AND DEMAND RESPONSE</t>
  </si>
  <si>
    <t>EMERGENCY LOAD REDUCTION PROGRAM (ELRP) BALANCING ACCOUNT ($000)</t>
  </si>
  <si>
    <t>Program in Emergency Load Reduction (ELRP) Balancing Account</t>
  </si>
  <si>
    <t>Capacity Bidding Residential Pilot (CBP Pilot)</t>
  </si>
  <si>
    <t>2022 Expenditures for Marketing, Education and Outreach</t>
  </si>
  <si>
    <t>Year-to Date 2022 Expenditures</t>
  </si>
  <si>
    <t>Program Cycle-to Date 2018-2022 Expenditures</t>
  </si>
  <si>
    <t>Program Cycle-to-Date Total Expenditures (2018-2022)</t>
  </si>
  <si>
    <t>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</si>
  <si>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</si>
  <si>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</si>
  <si>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</si>
  <si>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 xml:space="preserve">-  The Ex-Post average per customer estimates are based on Program Year 2020 SDG&amp;E DR Load Impacts report filed April 1st, 2021 for the months of January thru December. </t>
  </si>
  <si>
    <t>- The Ex-Ante average per customer estimates are based on Program Year 2020 SDG&amp;E DR Load Impacts report filed April 1st, 2021 for the months of January thru December.</t>
  </si>
  <si>
    <r>
      <rPr>
        <vertAlign val="superscript"/>
        <sz val="11"/>
        <color rgb="FFFF0000"/>
        <rFont val="Arial"/>
        <family val="2"/>
      </rPr>
      <t>1</t>
    </r>
    <r>
      <rPr>
        <sz val="11"/>
        <rFont val="Arial"/>
        <family val="2"/>
      </rPr>
      <t xml:space="preserve">  The Ex-Ante average per customer estimates are based on Program Year 2020 SDG&amp;E DR Load Impacts report filed April 1st, 2021 for the months of January thru December. </t>
    </r>
  </si>
  <si>
    <r>
      <rPr>
        <vertAlign val="superscript"/>
        <sz val="11"/>
        <color rgb="FFFF0000"/>
        <rFont val="Arial"/>
        <family val="2"/>
      </rPr>
      <t>2</t>
    </r>
    <r>
      <rPr>
        <sz val="11"/>
        <rFont val="Arial"/>
        <family val="2"/>
      </rPr>
      <t xml:space="preserve">  The Ex-Post average per customer estimates are based on Program Year 2020 SDG&amp;E DR Load Impacts report filed April 1st, 2021 for the months of January thru December. </t>
    </r>
  </si>
  <si>
    <r>
      <t>PROGRAMS, RATES &amp; ACTIVITES WHICH DO NOT REQUIRE ITEMIZED ACCOUNTING</t>
    </r>
    <r>
      <rPr>
        <b/>
        <vertAlign val="superscript"/>
        <sz val="10"/>
        <rFont val="Arial"/>
        <family val="2"/>
      </rPr>
      <t xml:space="preserve"> 1,2</t>
    </r>
  </si>
  <si>
    <r>
      <rPr>
        <vertAlign val="superscript"/>
        <sz val="11"/>
        <color rgb="FFFF0000"/>
        <rFont val="Arial"/>
        <family val="2"/>
      </rPr>
      <t>2</t>
    </r>
    <r>
      <rPr>
        <sz val="11"/>
        <rFont val="Arial"/>
        <family val="2"/>
      </rPr>
      <t xml:space="preserve"> Programs, Rates &amp; Activities do not include "Critical Peak Pricing &gt; 200kW" (CPP-D) as program funding is not approved or directed in D. 17.12.003</t>
    </r>
  </si>
  <si>
    <t>Other Costs</t>
  </si>
  <si>
    <r>
      <t>Smart Pricing</t>
    </r>
    <r>
      <rPr>
        <vertAlign val="superscript"/>
        <sz val="10"/>
        <color rgb="FFFF0000"/>
        <rFont val="Arial"/>
        <family val="2"/>
      </rPr>
      <t xml:space="preserve"> </t>
    </r>
  </si>
  <si>
    <t>Technology Incentives</t>
  </si>
  <si>
    <r>
      <t>Local IDSM Marketing</t>
    </r>
    <r>
      <rPr>
        <vertAlign val="superscript"/>
        <sz val="10"/>
        <color rgb="FFFF0000"/>
        <rFont val="Arial"/>
        <family val="2"/>
      </rPr>
      <t xml:space="preserve"> 3</t>
    </r>
  </si>
  <si>
    <r>
      <t>Labor</t>
    </r>
    <r>
      <rPr>
        <vertAlign val="superscript"/>
        <sz val="10"/>
        <color rgb="FFFF0000"/>
        <rFont val="Arial"/>
        <family val="2"/>
      </rPr>
      <t xml:space="preserve"> 3</t>
    </r>
  </si>
  <si>
    <r>
      <t xml:space="preserve">Small and Medium Commercial </t>
    </r>
    <r>
      <rPr>
        <vertAlign val="superscript"/>
        <sz val="10"/>
        <color rgb="FFFF0000"/>
        <rFont val="Arial"/>
        <family val="2"/>
      </rPr>
      <t>3</t>
    </r>
  </si>
  <si>
    <r>
      <t>Residential</t>
    </r>
    <r>
      <rPr>
        <vertAlign val="superscript"/>
        <sz val="10"/>
        <color rgb="FFFF0000"/>
        <rFont val="Arial"/>
        <family val="2"/>
      </rPr>
      <t xml:space="preserve"> 3</t>
    </r>
  </si>
  <si>
    <r>
      <rPr>
        <vertAlign val="superscript"/>
        <sz val="11"/>
        <color rgb="FFFF0000"/>
        <rFont val="Arial"/>
        <family val="2"/>
      </rPr>
      <t>3</t>
    </r>
    <r>
      <rPr>
        <sz val="11"/>
        <rFont val="Arial"/>
        <family val="2"/>
      </rPr>
      <t xml:space="preserve"> January credits are related to labor corrections and labor accrual reversals made to reflect proper allocation</t>
    </r>
  </si>
  <si>
    <r>
      <t>AC Saver Day-Ahead</t>
    </r>
    <r>
      <rPr>
        <b/>
        <vertAlign val="superscript"/>
        <sz val="10"/>
        <color rgb="FFFF0000"/>
        <rFont val="Arial"/>
        <family val="2"/>
      </rPr>
      <t>1</t>
    </r>
  </si>
  <si>
    <r>
      <t>AC Saver Day-Of</t>
    </r>
    <r>
      <rPr>
        <b/>
        <vertAlign val="superscript"/>
        <sz val="10"/>
        <color rgb="FFFF0000"/>
        <rFont val="Arial"/>
        <family val="2"/>
      </rPr>
      <t>1</t>
    </r>
  </si>
  <si>
    <r>
      <t>Base Interruptible Program (BIP)</t>
    </r>
    <r>
      <rPr>
        <b/>
        <vertAlign val="superscript"/>
        <sz val="10"/>
        <color rgb="FFFF0000"/>
        <rFont val="Arial"/>
        <family val="2"/>
      </rPr>
      <t xml:space="preserve"> 1</t>
    </r>
  </si>
  <si>
    <r>
      <t>Demand Response Auction Mechanism Pilot (DRAM)</t>
    </r>
    <r>
      <rPr>
        <vertAlign val="superscript"/>
        <sz val="10"/>
        <color rgb="FFFF0000"/>
        <rFont val="Arial"/>
        <family val="2"/>
      </rPr>
      <t xml:space="preserve"> </t>
    </r>
  </si>
  <si>
    <t>Capacity Bidding Program Residential Pilot (CBP)</t>
  </si>
  <si>
    <t xml:space="preserve">   Over Generation Pilot (OGP) </t>
  </si>
  <si>
    <t>IT Infrastructure &amp; Systems Support</t>
  </si>
  <si>
    <r>
      <t xml:space="preserve">EM&amp;V </t>
    </r>
    <r>
      <rPr>
        <vertAlign val="superscript"/>
        <sz val="10"/>
        <color rgb="FFFF0000"/>
        <rFont val="Arial"/>
        <family val="2"/>
      </rPr>
      <t>2</t>
    </r>
  </si>
  <si>
    <r>
      <rPr>
        <vertAlign val="superscript"/>
        <sz val="11"/>
        <color rgb="FFFF0000"/>
        <rFont val="Arial"/>
        <family val="2"/>
      </rPr>
      <t>2</t>
    </r>
    <r>
      <rPr>
        <sz val="11"/>
        <rFont val="Arial"/>
        <family val="2"/>
      </rPr>
      <t xml:space="preserve"> January Credits are a result of accural reversals that occurred in prior reporting Period (Dec 2021)</t>
    </r>
  </si>
  <si>
    <t>Program Cycle to Date (2018 - 2022)</t>
  </si>
  <si>
    <r>
      <t xml:space="preserve">AC Saver Day‐Ahead </t>
    </r>
    <r>
      <rPr>
        <b/>
        <vertAlign val="superscript"/>
        <sz val="9"/>
        <color rgb="FFFF0000"/>
        <rFont val="Arial"/>
        <family val="2"/>
      </rPr>
      <t>1</t>
    </r>
  </si>
  <si>
    <r>
      <t>AC Saver Day‐Of</t>
    </r>
    <r>
      <rPr>
        <vertAlign val="superscript"/>
        <sz val="10"/>
        <color rgb="FFFF0000"/>
        <rFont val="Arial"/>
        <family val="2"/>
      </rPr>
      <t xml:space="preserve"> </t>
    </r>
    <r>
      <rPr>
        <b/>
        <vertAlign val="superscript"/>
        <sz val="9"/>
        <color rgb="FFFF0000"/>
        <rFont val="Arial"/>
        <family val="2"/>
      </rPr>
      <t>1</t>
    </r>
  </si>
  <si>
    <r>
      <t xml:space="preserve">Base Interruptible Program (BIP) </t>
    </r>
    <r>
      <rPr>
        <vertAlign val="superscript"/>
        <sz val="9"/>
        <color rgb="FFFF0000"/>
        <rFont val="Arial"/>
        <family val="2"/>
      </rPr>
      <t>1</t>
    </r>
  </si>
  <si>
    <r>
      <t>Technology Incentives (TI)</t>
    </r>
    <r>
      <rPr>
        <vertAlign val="superscript"/>
        <sz val="9"/>
        <color rgb="FFFF0000"/>
        <rFont val="Arial"/>
        <family val="2"/>
      </rPr>
      <t xml:space="preserve"> </t>
    </r>
  </si>
  <si>
    <t xml:space="preserve">Behavioral </t>
  </si>
  <si>
    <r>
      <t>SW-COM</t>
    </r>
    <r>
      <rPr>
        <vertAlign val="superscript"/>
        <sz val="9"/>
        <color rgb="FFFF0000"/>
        <rFont val="Arial"/>
        <family val="2"/>
      </rPr>
      <t xml:space="preserve"> </t>
    </r>
  </si>
  <si>
    <t>Local Capacity Requirements (LCR)</t>
  </si>
  <si>
    <t>IT</t>
  </si>
  <si>
    <t xml:space="preserve">CBP Res Pilot </t>
  </si>
  <si>
    <r>
      <t>Over Gen Pilot</t>
    </r>
    <r>
      <rPr>
        <vertAlign val="superscript"/>
        <sz val="9"/>
        <color rgb="FFFF0000"/>
        <rFont val="Arial"/>
        <family val="2"/>
      </rPr>
      <t xml:space="preserve"> </t>
    </r>
  </si>
  <si>
    <r>
      <t>EM&amp;V</t>
    </r>
    <r>
      <rPr>
        <vertAlign val="superscript"/>
        <sz val="9"/>
        <color rgb="FFFF0000"/>
        <rFont val="Arial"/>
        <family val="2"/>
      </rPr>
      <t xml:space="preserve"> 2</t>
    </r>
  </si>
  <si>
    <r>
      <t>Local Marketing Res and Non-Res</t>
    </r>
    <r>
      <rPr>
        <vertAlign val="superscript"/>
        <sz val="9"/>
        <color rgb="FFFF0000"/>
        <rFont val="Arial"/>
        <family val="2"/>
      </rPr>
      <t xml:space="preserve"> 2</t>
    </r>
  </si>
  <si>
    <r>
      <t xml:space="preserve">Rule 32 Click-Through </t>
    </r>
    <r>
      <rPr>
        <vertAlign val="superscript"/>
        <sz val="10"/>
        <color rgb="FFFF0000"/>
        <rFont val="Arial"/>
        <family val="2"/>
      </rPr>
      <t>1</t>
    </r>
  </si>
  <si>
    <r>
      <t>Rule 32 Meter</t>
    </r>
    <r>
      <rPr>
        <sz val="10"/>
        <rFont val="Arial"/>
        <family val="2"/>
      </rPr>
      <t xml:space="preserve"> </t>
    </r>
  </si>
  <si>
    <r>
      <t>Rule 32</t>
    </r>
    <r>
      <rPr>
        <b/>
        <vertAlign val="superscript"/>
        <sz val="10"/>
        <color rgb="FFFF0000"/>
        <rFont val="Arial"/>
        <family val="2"/>
      </rPr>
      <t xml:space="preserve"> </t>
    </r>
  </si>
  <si>
    <t>ELRP Residential SubGroup A6</t>
  </si>
  <si>
    <t>ELRP was approved in Decision 21.12.015.</t>
  </si>
  <si>
    <r>
      <rPr>
        <vertAlign val="superscript"/>
        <sz val="10"/>
        <color rgb="FFC00000"/>
        <rFont val="Arial"/>
        <family val="2"/>
      </rPr>
      <t>1</t>
    </r>
    <r>
      <rPr>
        <sz val="10"/>
        <rFont val="Arial"/>
        <family val="2"/>
      </rPr>
      <t xml:space="preserve"> </t>
    </r>
    <r>
      <rPr>
        <sz val="11"/>
        <rFont val="Arial"/>
        <family val="2"/>
      </rPr>
      <t>Due to software reprogramming issues, some December 2021 thru February 2022 bill credits are unavailable at this time, reflecting a lower amount being spent than actual. SDG&amp;E is actively working to resolve this issue and will re-serve the corrected report as soon as the data becomes available.</t>
    </r>
  </si>
  <si>
    <r>
      <rPr>
        <vertAlign val="superscript"/>
        <sz val="11"/>
        <color rgb="FFC00000"/>
        <rFont val="Arial"/>
        <family val="2"/>
      </rPr>
      <t>1</t>
    </r>
    <r>
      <rPr>
        <sz val="11"/>
        <rFont val="Arial"/>
        <family val="2"/>
      </rPr>
      <t xml:space="preserve"> Due to software reprogramming issues, some December 2021 thru February 2022 bill credits are unavailable at this time, reflecting a lower amount being spent than actual. SDG&amp;E is actively working to resolve this issue and will re-serve the corrected report as soon as the data becomes available.</t>
    </r>
  </si>
  <si>
    <r>
      <t>Demand Response Auction Mechanism (DRAM)</t>
    </r>
    <r>
      <rPr>
        <vertAlign val="superscript"/>
        <sz val="9"/>
        <color rgb="FFFF0000"/>
        <rFont val="Arial"/>
        <family val="2"/>
      </rPr>
      <t xml:space="preserve"> 3</t>
    </r>
  </si>
  <si>
    <r>
      <rPr>
        <vertAlign val="superscript"/>
        <sz val="11"/>
        <color rgb="FFFF0000"/>
        <rFont val="Arial"/>
        <family val="2"/>
      </rPr>
      <t>3</t>
    </r>
    <r>
      <rPr>
        <sz val="11"/>
        <rFont val="Arial"/>
        <family val="2"/>
      </rPr>
      <t xml:space="preserve"> February Credit is a result of an accrual reversal that occurred in proir reporting Period (Jan 2022)</t>
    </r>
  </si>
  <si>
    <r>
      <t>SW-IND</t>
    </r>
    <r>
      <rPr>
        <b/>
        <vertAlign val="superscript"/>
        <sz val="9"/>
        <color rgb="FFFF0000"/>
        <rFont val="Arial"/>
        <family val="2"/>
      </rPr>
      <t xml:space="preserve"> </t>
    </r>
    <r>
      <rPr>
        <vertAlign val="superscript"/>
        <sz val="9"/>
        <color rgb="FFFF0000"/>
        <rFont val="Arial"/>
        <family val="2"/>
      </rPr>
      <t>4</t>
    </r>
  </si>
  <si>
    <r>
      <t xml:space="preserve">IDSM DR COM </t>
    </r>
    <r>
      <rPr>
        <vertAlign val="superscript"/>
        <sz val="9"/>
        <color rgb="FFFF0000"/>
        <rFont val="Arial"/>
        <family val="2"/>
      </rPr>
      <t>4</t>
    </r>
  </si>
  <si>
    <r>
      <rPr>
        <vertAlign val="superscript"/>
        <sz val="11"/>
        <color rgb="FFFF0000"/>
        <rFont val="Arial"/>
        <family val="2"/>
      </rPr>
      <t>4</t>
    </r>
    <r>
      <rPr>
        <sz val="11"/>
        <rFont val="Arial"/>
        <family val="2"/>
      </rPr>
      <t xml:space="preserve"> February credit is related to Contractual Agreement Discount on Timely Payments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</si>
</sst>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 numFmtId="180" formatCode="yyyy"/>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vertAlign val="superscript"/>
      <sz val="10"/>
      <color rgb="FFC00000"/>
      <name val="Arial"/>
      <family val="2"/>
    </font>
    <font>
      <b/>
      <sz val="9"/>
      <color rgb="FFFF0000"/>
      <name val="Arial"/>
      <family val="2"/>
    </font>
    <font>
      <vertAlign val="superscript"/>
      <sz val="11"/>
      <color rgb="FFC00000"/>
      <name val="Arial"/>
      <family val="2"/>
    </font>
    <font>
      <sz val="10"/>
      <color theme="4"/>
      <name val="Arial"/>
      <family val="2"/>
    </font>
    <font>
      <sz val="9"/>
      <color theme="4"/>
      <name val="Arial"/>
      <family val="2"/>
    </font>
    <font>
      <sz val="10"/>
      <color theme="4"/>
      <name val="Arial"/>
    </font>
  </fonts>
  <fills count="126">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
      <patternFill patternType="solid">
        <fgColor rgb="FFFFFF00"/>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8" applyNumberFormat="0" applyProtection="0">
      <alignment horizontal="right" vertical="center"/>
    </xf>
    <xf numFmtId="4" fontId="45" fillId="51" borderId="58"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69" applyNumberFormat="0" applyFill="0" applyAlignment="0" applyProtection="0"/>
    <xf numFmtId="0" fontId="102" fillId="0" borderId="0" applyNumberFormat="0" applyFill="0" applyBorder="0" applyAlignment="0" applyProtection="0"/>
    <xf numFmtId="0" fontId="98" fillId="57" borderId="64"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3" applyNumberFormat="0" applyFill="0" applyAlignment="0" applyProtection="0"/>
    <xf numFmtId="0" fontId="92" fillId="0" borderId="62" applyNumberFormat="0" applyFill="0" applyAlignment="0" applyProtection="0"/>
    <xf numFmtId="0" fontId="91" fillId="0" borderId="61"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6"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7"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5" applyNumberFormat="0" applyAlignment="0" applyProtection="0"/>
    <xf numFmtId="0" fontId="96" fillId="56" borderId="64"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8"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71" applyNumberFormat="0" applyFill="0" applyAlignment="0" applyProtection="0"/>
    <xf numFmtId="0" fontId="31" fillId="0" borderId="72" applyNumberFormat="0" applyFill="0" applyAlignment="0" applyProtection="0"/>
    <xf numFmtId="0" fontId="113" fillId="0" borderId="4" applyNumberFormat="0" applyFill="0" applyAlignment="0" applyProtection="0"/>
    <xf numFmtId="0" fontId="32" fillId="0" borderId="73" applyNumberFormat="0" applyFill="0" applyAlignment="0" applyProtection="0"/>
    <xf numFmtId="0" fontId="114" fillId="0" borderId="74"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8" applyNumberFormat="0" applyAlignment="0" applyProtection="0"/>
    <xf numFmtId="0" fontId="115" fillId="11" borderId="1" applyNumberFormat="0" applyAlignment="0" applyProtection="0"/>
    <xf numFmtId="0" fontId="29" fillId="0" borderId="75" applyNumberFormat="0" applyFill="0" applyAlignment="0" applyProtection="0"/>
    <xf numFmtId="0" fontId="116" fillId="0" borderId="76"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8" applyNumberFormat="0" applyFont="0" applyAlignment="0" applyProtection="0"/>
    <xf numFmtId="0" fontId="18" fillId="4" borderId="7" applyNumberFormat="0" applyFont="0" applyAlignment="0" applyProtection="0"/>
    <xf numFmtId="0" fontId="23" fillId="59" borderId="68" applyNumberFormat="0" applyFont="0" applyAlignment="0" applyProtection="0"/>
    <xf numFmtId="0" fontId="45" fillId="26" borderId="58" applyNumberFormat="0" applyFont="0" applyAlignment="0" applyProtection="0"/>
    <xf numFmtId="0" fontId="23" fillId="59" borderId="68" applyNumberFormat="0" applyFont="0" applyAlignment="0" applyProtection="0"/>
    <xf numFmtId="0" fontId="23" fillId="59" borderId="68" applyNumberFormat="0" applyFont="0" applyAlignment="0" applyProtection="0"/>
    <xf numFmtId="0" fontId="3" fillId="59" borderId="68"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0" fillId="106" borderId="8" applyNumberFormat="0" applyProtection="0">
      <alignment vertical="center"/>
    </xf>
    <xf numFmtId="4" fontId="117" fillId="106" borderId="58" applyNumberFormat="0" applyProtection="0">
      <alignment vertical="center"/>
    </xf>
    <xf numFmtId="4" fontId="18" fillId="106" borderId="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18" fillId="108" borderId="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18" fillId="109" borderId="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18" fillId="111" borderId="8"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45" fillId="34" borderId="70" applyNumberFormat="0" applyProtection="0">
      <alignment horizontal="right" vertical="center"/>
    </xf>
    <xf numFmtId="4" fontId="18" fillId="112" borderId="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18" fillId="113" borderId="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18" fillId="114" borderId="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18" fillId="115" borderId="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18" fillId="116" borderId="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18" fillId="117" borderId="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37" fillId="118" borderId="8"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45" fillId="40" borderId="70" applyNumberFormat="0" applyProtection="0">
      <alignment horizontal="left" vertical="center" indent="1"/>
    </xf>
    <xf numFmtId="4" fontId="18" fillId="119" borderId="77" applyNumberFormat="0" applyProtection="0">
      <alignment horizontal="left" vertical="center" indent="1"/>
    </xf>
    <xf numFmtId="4" fontId="16" fillId="8" borderId="70" applyNumberFormat="0" applyProtection="0">
      <alignment horizontal="left" vertical="center" indent="1"/>
    </xf>
    <xf numFmtId="4" fontId="39" fillId="120" borderId="0" applyNumberFormat="0" applyProtection="0">
      <alignment horizontal="left" vertical="center" indent="1"/>
    </xf>
    <xf numFmtId="4" fontId="16" fillId="8" borderId="70" applyNumberFormat="0" applyProtection="0">
      <alignment horizontal="left" vertical="center" indent="1"/>
    </xf>
    <xf numFmtId="0" fontId="16" fillId="107" borderId="8" applyNumberFormat="0" applyProtection="0">
      <alignment horizontal="left" vertical="center" indent="1"/>
    </xf>
    <xf numFmtId="4" fontId="45" fillId="2" borderId="58" applyNumberFormat="0" applyProtection="0">
      <alignment horizontal="right" vertical="center"/>
    </xf>
    <xf numFmtId="4" fontId="45" fillId="2" borderId="58" applyNumberFormat="0" applyProtection="0">
      <alignment horizontal="right" vertical="center"/>
    </xf>
    <xf numFmtId="4" fontId="45" fillId="2" borderId="58" applyNumberFormat="0" applyProtection="0">
      <alignment horizontal="right" vertical="center"/>
    </xf>
    <xf numFmtId="4" fontId="18" fillId="119" borderId="8"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45" fillId="41" borderId="70" applyNumberFormat="0" applyProtection="0">
      <alignment horizontal="left" vertical="center" indent="1"/>
    </xf>
    <xf numFmtId="4" fontId="18" fillId="46" borderId="8"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4" fontId="45" fillId="2" borderId="70" applyNumberFormat="0" applyProtection="0">
      <alignment horizontal="left" vertical="center" indent="1"/>
    </xf>
    <xf numFmtId="0" fontId="16" fillId="46" borderId="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8"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79"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0" fillId="119" borderId="8" applyNumberFormat="0" applyProtection="0">
      <alignment horizontal="right" vertical="center"/>
    </xf>
    <xf numFmtId="4" fontId="117" fillId="43" borderId="58" applyNumberFormat="0" applyProtection="0">
      <alignment horizontal="right" vertical="center"/>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70"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8"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80"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59" borderId="6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8"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8"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8" applyNumberFormat="0" applyFont="0" applyAlignment="0" applyProtection="0"/>
    <xf numFmtId="0" fontId="16" fillId="0" borderId="0"/>
    <xf numFmtId="43" fontId="3" fillId="0" borderId="0" applyFont="0" applyFill="0" applyBorder="0" applyAlignment="0" applyProtection="0"/>
    <xf numFmtId="4" fontId="45" fillId="0" borderId="58" applyNumberFormat="0" applyProtection="0">
      <alignment horizontal="right" vertical="center"/>
    </xf>
    <xf numFmtId="4" fontId="18" fillId="123" borderId="8" applyNumberFormat="0" applyProtection="0">
      <alignment vertical="center"/>
    </xf>
    <xf numFmtId="4" fontId="45" fillId="34" borderId="70" applyNumberFormat="0" applyProtection="0">
      <alignment horizontal="right" vertical="center"/>
    </xf>
    <xf numFmtId="4" fontId="45" fillId="40" borderId="70" applyNumberFormat="0" applyProtection="0">
      <alignment horizontal="left" vertical="center" indent="1"/>
    </xf>
    <xf numFmtId="4" fontId="45" fillId="37" borderId="58"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8" applyNumberFormat="0" applyProtection="0">
      <alignment horizontal="right" vertical="center"/>
    </xf>
    <xf numFmtId="4" fontId="45" fillId="0" borderId="58" applyNumberFormat="0" applyProtection="0">
      <alignment horizontal="right" vertical="center"/>
    </xf>
    <xf numFmtId="0" fontId="45" fillId="41" borderId="58"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7" applyNumberFormat="0" applyProtection="0">
      <alignment horizontal="left" vertical="center" indent="1"/>
    </xf>
    <xf numFmtId="0" fontId="45" fillId="10" borderId="58" applyNumberFormat="0" applyProtection="0">
      <alignment horizontal="left" vertical="center" indent="1"/>
    </xf>
    <xf numFmtId="4" fontId="45" fillId="35" borderId="58" applyNumberFormat="0" applyProtection="0">
      <alignment horizontal="right" vertical="center"/>
    </xf>
    <xf numFmtId="0" fontId="118" fillId="33" borderId="9" applyNumberFormat="0" applyProtection="0">
      <alignment horizontal="left" vertical="top" indent="1"/>
    </xf>
    <xf numFmtId="0" fontId="119" fillId="8" borderId="79" applyBorder="0"/>
    <xf numFmtId="0" fontId="45" fillId="121" borderId="58" applyNumberFormat="0" applyProtection="0">
      <alignment horizontal="left" vertical="center" indent="1"/>
    </xf>
    <xf numFmtId="0" fontId="45" fillId="41" borderId="9" applyNumberFormat="0" applyProtection="0">
      <alignment horizontal="left" vertical="top" indent="1"/>
    </xf>
    <xf numFmtId="4" fontId="45" fillId="39" borderId="58" applyNumberFormat="0" applyProtection="0">
      <alignment horizontal="right" vertical="center"/>
    </xf>
    <xf numFmtId="4" fontId="45" fillId="35" borderId="58" applyNumberFormat="0" applyProtection="0">
      <alignment horizontal="right" vertical="center"/>
    </xf>
    <xf numFmtId="0" fontId="45" fillId="10" borderId="58" applyNumberFormat="0" applyProtection="0">
      <alignment horizontal="left" vertical="center" indent="1"/>
    </xf>
    <xf numFmtId="4" fontId="18" fillId="113" borderId="8" applyNumberFormat="0" applyProtection="0">
      <alignment horizontal="right" vertical="center"/>
    </xf>
    <xf numFmtId="0" fontId="45" fillId="10" borderId="58" applyNumberFormat="0" applyProtection="0">
      <alignment horizontal="left" vertical="center" indent="1"/>
    </xf>
    <xf numFmtId="4" fontId="123" fillId="5" borderId="58" applyNumberFormat="0" applyProtection="0">
      <alignment horizontal="right" vertical="center"/>
    </xf>
    <xf numFmtId="4" fontId="18" fillId="117" borderId="8" applyNumberFormat="0" applyProtection="0">
      <alignment horizontal="right" vertical="center"/>
    </xf>
    <xf numFmtId="4" fontId="45" fillId="33" borderId="58" applyNumberFormat="0" applyProtection="0">
      <alignment vertical="center"/>
    </xf>
    <xf numFmtId="4" fontId="45" fillId="37" borderId="58" applyNumberFormat="0" applyProtection="0">
      <alignment horizontal="right" vertical="center"/>
    </xf>
    <xf numFmtId="0" fontId="45" fillId="121" borderId="58" applyNumberFormat="0" applyProtection="0">
      <alignment horizontal="left" vertical="center" indent="1"/>
    </xf>
    <xf numFmtId="4" fontId="18" fillId="46" borderId="8" applyNumberFormat="0" applyProtection="0">
      <alignment horizontal="left" vertical="center" indent="1"/>
    </xf>
    <xf numFmtId="4" fontId="45" fillId="37" borderId="58" applyNumberFormat="0" applyProtection="0">
      <alignment horizontal="right" vertical="center"/>
    </xf>
    <xf numFmtId="4" fontId="37" fillId="118" borderId="8" applyNumberFormat="0" applyProtection="0">
      <alignment horizontal="left" vertical="center" indent="1"/>
    </xf>
    <xf numFmtId="4" fontId="45" fillId="9" borderId="58" applyNumberFormat="0" applyProtection="0">
      <alignment horizontal="right" vertical="center"/>
    </xf>
    <xf numFmtId="0" fontId="45" fillId="6" borderId="58" applyNumberFormat="0" applyProtection="0">
      <alignment horizontal="left" vertical="center" indent="1"/>
    </xf>
    <xf numFmtId="0" fontId="120" fillId="4" borderId="9" applyNumberFormat="0" applyProtection="0">
      <alignment horizontal="left" vertical="top" indent="1"/>
    </xf>
    <xf numFmtId="4" fontId="45" fillId="41" borderId="70" applyNumberFormat="0" applyProtection="0">
      <alignment horizontal="left" vertical="center" indent="1"/>
    </xf>
    <xf numFmtId="0" fontId="45" fillId="124" borderId="81"/>
    <xf numFmtId="4" fontId="45" fillId="51" borderId="58"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8" applyNumberFormat="0" applyProtection="0">
      <alignment horizontal="right" vertical="center"/>
    </xf>
    <xf numFmtId="4" fontId="18" fillId="108" borderId="8" applyNumberFormat="0" applyProtection="0">
      <alignment horizontal="right" vertical="center"/>
    </xf>
    <xf numFmtId="4" fontId="45" fillId="51" borderId="58" applyNumberFormat="0" applyProtection="0">
      <alignment horizontal="left" vertical="center" indent="1"/>
    </xf>
    <xf numFmtId="0" fontId="45" fillId="41" borderId="58" applyNumberFormat="0" applyProtection="0">
      <alignment horizontal="left" vertical="center" indent="1"/>
    </xf>
    <xf numFmtId="4" fontId="45" fillId="2"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8" applyNumberFormat="0" applyProtection="0">
      <alignment horizontal="left" vertical="center" indent="1"/>
    </xf>
    <xf numFmtId="4" fontId="45" fillId="51" borderId="58" applyNumberFormat="0" applyProtection="0">
      <alignment horizontal="left" vertical="center" indent="1"/>
    </xf>
    <xf numFmtId="4" fontId="45" fillId="41" borderId="70"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70" applyNumberFormat="0" applyProtection="0">
      <alignment horizontal="left" vertical="center" indent="1"/>
    </xf>
    <xf numFmtId="0" fontId="45" fillId="2" borderId="9" applyNumberFormat="0" applyProtection="0">
      <alignment horizontal="left" vertical="top" indent="1"/>
    </xf>
    <xf numFmtId="4" fontId="45" fillId="33" borderId="58" applyNumberFormat="0" applyProtection="0">
      <alignment vertical="center"/>
    </xf>
    <xf numFmtId="4" fontId="117" fillId="123" borderId="81" applyNumberFormat="0" applyProtection="0">
      <alignment vertical="center"/>
    </xf>
    <xf numFmtId="0" fontId="120" fillId="2" borderId="9" applyNumberFormat="0" applyProtection="0">
      <alignment horizontal="left" vertical="top" indent="1"/>
    </xf>
    <xf numFmtId="4" fontId="45" fillId="37" borderId="58" applyNumberFormat="0" applyProtection="0">
      <alignment horizontal="right" vertical="center"/>
    </xf>
    <xf numFmtId="0" fontId="108" fillId="101" borderId="58" applyNumberFormat="0" applyAlignment="0" applyProtection="0"/>
    <xf numFmtId="4" fontId="45" fillId="51" borderId="58" applyNumberFormat="0" applyProtection="0">
      <alignment horizontal="left" vertical="center" indent="1"/>
    </xf>
    <xf numFmtId="4" fontId="40" fillId="123" borderId="8" applyNumberFormat="0" applyProtection="0">
      <alignment vertical="center"/>
    </xf>
    <xf numFmtId="4" fontId="45" fillId="33" borderId="58" applyNumberFormat="0" applyProtection="0">
      <alignment vertical="center"/>
    </xf>
    <xf numFmtId="0" fontId="16" fillId="107" borderId="8" applyNumberFormat="0" applyProtection="0">
      <alignment horizontal="left" vertical="center" indent="1"/>
    </xf>
    <xf numFmtId="4" fontId="45" fillId="40" borderId="70"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8" applyNumberFormat="0" applyProtection="0">
      <alignment horizontal="right" vertical="center"/>
    </xf>
    <xf numFmtId="0" fontId="33" fillId="27" borderId="58" applyNumberFormat="0" applyAlignment="0" applyProtection="0"/>
    <xf numFmtId="4" fontId="18" fillId="112" borderId="8" applyNumberFormat="0" applyProtection="0">
      <alignment horizontal="right" vertical="center"/>
    </xf>
    <xf numFmtId="4" fontId="45" fillId="38" borderId="58" applyNumberFormat="0" applyProtection="0">
      <alignment horizontal="right" vertical="center"/>
    </xf>
    <xf numFmtId="4" fontId="45" fillId="106" borderId="58" applyNumberFormat="0" applyProtection="0">
      <alignment horizontal="left" vertical="center" indent="1"/>
    </xf>
    <xf numFmtId="4" fontId="45" fillId="36" borderId="58" applyNumberFormat="0" applyProtection="0">
      <alignment horizontal="right" vertical="center"/>
    </xf>
    <xf numFmtId="4" fontId="45" fillId="41" borderId="70" applyNumberFormat="0" applyProtection="0">
      <alignment horizontal="left" vertical="center" indent="1"/>
    </xf>
    <xf numFmtId="4" fontId="45" fillId="110" borderId="58" applyNumberFormat="0" applyProtection="0">
      <alignment horizontal="right" vertical="center"/>
    </xf>
    <xf numFmtId="4" fontId="45" fillId="2" borderId="70" applyNumberFormat="0" applyProtection="0">
      <alignment horizontal="left" vertical="center" indent="1"/>
    </xf>
    <xf numFmtId="4" fontId="45" fillId="39" borderId="58" applyNumberFormat="0" applyProtection="0">
      <alignment horizontal="right" vertical="center"/>
    </xf>
    <xf numFmtId="4" fontId="45" fillId="41" borderId="70"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8" applyNumberFormat="0" applyProtection="0">
      <alignment horizontal="right" vertical="center"/>
    </xf>
    <xf numFmtId="4" fontId="45" fillId="2" borderId="70" applyNumberFormat="0" applyProtection="0">
      <alignment horizontal="left" vertical="center" indent="1"/>
    </xf>
    <xf numFmtId="4" fontId="45" fillId="35" borderId="58" applyNumberFormat="0" applyProtection="0">
      <alignment horizontal="right" vertical="center"/>
    </xf>
    <xf numFmtId="0" fontId="45" fillId="2" borderId="9" applyNumberFormat="0" applyProtection="0">
      <alignment horizontal="left" vertical="top" indent="1"/>
    </xf>
    <xf numFmtId="4" fontId="45" fillId="7" borderId="58" applyNumberFormat="0" applyProtection="0">
      <alignment horizontal="right" vertical="center"/>
    </xf>
    <xf numFmtId="0" fontId="36" fillId="10" borderId="8" applyNumberFormat="0" applyAlignment="0" applyProtection="0"/>
    <xf numFmtId="4" fontId="45" fillId="51" borderId="58" applyNumberFormat="0" applyProtection="0">
      <alignment horizontal="left" vertical="center" indent="1"/>
    </xf>
    <xf numFmtId="4" fontId="45" fillId="40" borderId="70" applyNumberFormat="0" applyProtection="0">
      <alignment horizontal="left" vertical="center" indent="1"/>
    </xf>
    <xf numFmtId="0" fontId="45" fillId="41" borderId="9" applyNumberFormat="0" applyProtection="0">
      <alignment horizontal="left" vertical="top" indent="1"/>
    </xf>
    <xf numFmtId="4" fontId="45" fillId="37" borderId="58"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70"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70" applyNumberFormat="0" applyProtection="0">
      <alignment horizontal="left" vertical="center" indent="1"/>
    </xf>
    <xf numFmtId="0" fontId="45" fillId="41" borderId="58" applyNumberFormat="0" applyProtection="0">
      <alignment horizontal="left" vertical="center" indent="1"/>
    </xf>
    <xf numFmtId="4" fontId="122" fillId="42" borderId="70"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45" fillId="124" borderId="81"/>
    <xf numFmtId="0" fontId="45" fillId="6" borderId="58" applyNumberFormat="0" applyProtection="0">
      <alignment horizontal="left" vertical="center" indent="1"/>
    </xf>
    <xf numFmtId="0" fontId="16" fillId="107" borderId="8" applyNumberFormat="0" applyProtection="0">
      <alignment horizontal="left" vertical="center" indent="1"/>
    </xf>
    <xf numFmtId="4" fontId="45" fillId="38" borderId="58" applyNumberFormat="0" applyProtection="0">
      <alignment horizontal="right" vertical="center"/>
    </xf>
    <xf numFmtId="4" fontId="45" fillId="2" borderId="58" applyNumberFormat="0" applyProtection="0">
      <alignment horizontal="right" vertical="center"/>
    </xf>
    <xf numFmtId="4" fontId="18" fillId="111" borderId="8" applyNumberFormat="0" applyProtection="0">
      <alignment horizontal="right" vertical="center"/>
    </xf>
    <xf numFmtId="4" fontId="45" fillId="35" borderId="58"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80" applyNumberFormat="0" applyFill="0" applyAlignment="0" applyProtection="0"/>
    <xf numFmtId="0" fontId="45" fillId="10" borderId="58"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45" fillId="9" borderId="58" applyNumberFormat="0" applyProtection="0">
      <alignment horizontal="right" vertical="center"/>
    </xf>
    <xf numFmtId="4" fontId="18" fillId="114" borderId="8" applyNumberFormat="0" applyProtection="0">
      <alignment horizontal="right" vertical="center"/>
    </xf>
    <xf numFmtId="4" fontId="45" fillId="36" borderId="58" applyNumberFormat="0" applyProtection="0">
      <alignment horizontal="right" vertical="center"/>
    </xf>
    <xf numFmtId="4" fontId="45" fillId="34" borderId="70" applyNumberFormat="0" applyProtection="0">
      <alignment horizontal="right" vertical="center"/>
    </xf>
    <xf numFmtId="0" fontId="27" fillId="0" borderId="12" applyNumberFormat="0" applyFill="0" applyAlignment="0" applyProtection="0"/>
    <xf numFmtId="4" fontId="45" fillId="7" borderId="58" applyNumberFormat="0" applyProtection="0">
      <alignment horizontal="right" vertical="center"/>
    </xf>
    <xf numFmtId="4" fontId="45" fillId="40" borderId="70" applyNumberFormat="0" applyProtection="0">
      <alignment horizontal="left" vertical="center" indent="1"/>
    </xf>
    <xf numFmtId="4" fontId="45" fillId="110" borderId="58" applyNumberFormat="0" applyProtection="0">
      <alignment horizontal="right" vertical="center"/>
    </xf>
    <xf numFmtId="4" fontId="45" fillId="7" borderId="58" applyNumberFormat="0" applyProtection="0">
      <alignment horizontal="right" vertical="center"/>
    </xf>
    <xf numFmtId="4" fontId="45" fillId="51" borderId="58" applyNumberFormat="0" applyProtection="0">
      <alignment horizontal="left" vertical="center" indent="1"/>
    </xf>
    <xf numFmtId="4" fontId="45" fillId="110" borderId="58" applyNumberFormat="0" applyProtection="0">
      <alignment horizontal="right" vertical="center"/>
    </xf>
    <xf numFmtId="0" fontId="45" fillId="121" borderId="58" applyNumberFormat="0" applyProtection="0">
      <alignment horizontal="left" vertical="center" indent="1"/>
    </xf>
    <xf numFmtId="4" fontId="45" fillId="51" borderId="58" applyNumberFormat="0" applyProtection="0">
      <alignment horizontal="left" vertical="center" indent="1"/>
    </xf>
    <xf numFmtId="4" fontId="45" fillId="36" borderId="58" applyNumberFormat="0" applyProtection="0">
      <alignment horizontal="right" vertical="center"/>
    </xf>
    <xf numFmtId="4" fontId="45" fillId="2" borderId="58" applyNumberFormat="0" applyProtection="0">
      <alignment horizontal="right" vertical="center"/>
    </xf>
    <xf numFmtId="4" fontId="45" fillId="51" borderId="58"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8" applyNumberFormat="0" applyProtection="0">
      <alignment horizontal="right" vertical="center"/>
    </xf>
    <xf numFmtId="4" fontId="45" fillId="35" borderId="58" applyNumberFormat="0" applyProtection="0">
      <alignment horizontal="right" vertical="center"/>
    </xf>
    <xf numFmtId="0" fontId="45" fillId="121" borderId="58" applyNumberFormat="0" applyProtection="0">
      <alignment horizontal="left" vertical="center" indent="1"/>
    </xf>
    <xf numFmtId="0" fontId="45" fillId="6" borderId="58" applyNumberFormat="0" applyProtection="0">
      <alignment horizontal="left" vertical="center" indent="1"/>
    </xf>
    <xf numFmtId="4" fontId="117" fillId="106" borderId="58" applyNumberFormat="0" applyProtection="0">
      <alignment vertical="center"/>
    </xf>
    <xf numFmtId="4" fontId="45" fillId="33" borderId="58" applyNumberFormat="0" applyProtection="0">
      <alignment vertical="center"/>
    </xf>
    <xf numFmtId="4" fontId="117" fillId="106" borderId="58" applyNumberFormat="0" applyProtection="0">
      <alignment vertical="center"/>
    </xf>
    <xf numFmtId="0" fontId="16" fillId="46" borderId="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4" fontId="16" fillId="8" borderId="70" applyNumberFormat="0" applyProtection="0">
      <alignment horizontal="left" vertical="center" indent="1"/>
    </xf>
    <xf numFmtId="0" fontId="45" fillId="6" borderId="58" applyNumberFormat="0" applyProtection="0">
      <alignment horizontal="left" vertical="center" indent="1"/>
    </xf>
    <xf numFmtId="4" fontId="16" fillId="8" borderId="70"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8" applyNumberFormat="0" applyProtection="0">
      <alignment horizontal="right" vertical="center"/>
    </xf>
    <xf numFmtId="4" fontId="16" fillId="8" borderId="70"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8" applyNumberFormat="0" applyProtection="0">
      <alignment horizontal="right" vertical="center"/>
    </xf>
    <xf numFmtId="4" fontId="123" fillId="5" borderId="58" applyNumberFormat="0" applyProtection="0">
      <alignment horizontal="right" vertical="center"/>
    </xf>
    <xf numFmtId="0" fontId="16" fillId="122" borderId="8" applyNumberFormat="0" applyProtection="0">
      <alignment horizontal="left" vertical="center" indent="1"/>
    </xf>
    <xf numFmtId="0" fontId="45" fillId="41" borderId="58" applyNumberFormat="0" applyProtection="0">
      <alignment horizontal="left" vertical="center" indent="1"/>
    </xf>
    <xf numFmtId="0" fontId="45" fillId="121" borderId="58" applyNumberFormat="0" applyProtection="0">
      <alignment horizontal="left" vertical="center" indent="1"/>
    </xf>
    <xf numFmtId="4" fontId="45" fillId="34" borderId="70" applyNumberFormat="0" applyProtection="0">
      <alignment horizontal="right" vertical="center"/>
    </xf>
    <xf numFmtId="4" fontId="45" fillId="106" borderId="58" applyNumberFormat="0" applyProtection="0">
      <alignment horizontal="left" vertical="center" indent="1"/>
    </xf>
    <xf numFmtId="0" fontId="45" fillId="8" borderId="9" applyNumberFormat="0" applyProtection="0">
      <alignment horizontal="left" vertical="top" indent="1"/>
    </xf>
    <xf numFmtId="4" fontId="45" fillId="34" borderId="70" applyNumberFormat="0" applyProtection="0">
      <alignment horizontal="right" vertical="center"/>
    </xf>
    <xf numFmtId="4" fontId="45" fillId="2" borderId="70" applyNumberFormat="0" applyProtection="0">
      <alignment horizontal="left" vertical="center" indent="1"/>
    </xf>
    <xf numFmtId="4" fontId="45" fillId="40" borderId="70" applyNumberFormat="0" applyProtection="0">
      <alignment horizontal="left" vertical="center" indent="1"/>
    </xf>
    <xf numFmtId="4" fontId="45" fillId="2" borderId="58" applyNumberFormat="0" applyProtection="0">
      <alignment horizontal="right" vertical="center"/>
    </xf>
    <xf numFmtId="0" fontId="45" fillId="8" borderId="9" applyNumberFormat="0" applyProtection="0">
      <alignment horizontal="left" vertical="top" indent="1"/>
    </xf>
    <xf numFmtId="4" fontId="45" fillId="38" borderId="58" applyNumberFormat="0" applyProtection="0">
      <alignment horizontal="right" vertical="center"/>
    </xf>
    <xf numFmtId="0" fontId="45" fillId="121" borderId="58"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8" applyNumberFormat="0" applyProtection="0">
      <alignment horizontal="right" vertical="center"/>
    </xf>
    <xf numFmtId="4" fontId="45" fillId="2" borderId="70" applyNumberFormat="0" applyProtection="0">
      <alignment horizontal="left" vertical="center" indent="1"/>
    </xf>
    <xf numFmtId="0" fontId="45" fillId="10" borderId="58" applyNumberFormat="0" applyProtection="0">
      <alignment horizontal="left" vertical="center" indent="1"/>
    </xf>
    <xf numFmtId="4" fontId="18" fillId="119" borderId="8" applyNumberFormat="0" applyProtection="0">
      <alignment horizontal="left" vertical="center" indent="1"/>
    </xf>
    <xf numFmtId="4" fontId="45" fillId="9" borderId="58" applyNumberFormat="0" applyProtection="0">
      <alignment horizontal="right" vertical="center"/>
    </xf>
    <xf numFmtId="4" fontId="45" fillId="2" borderId="58" applyNumberFormat="0" applyProtection="0">
      <alignment horizontal="right" vertical="center"/>
    </xf>
    <xf numFmtId="0" fontId="45" fillId="41" borderId="58" applyNumberFormat="0" applyProtection="0">
      <alignment horizontal="left" vertical="center" indent="1"/>
    </xf>
    <xf numFmtId="4" fontId="117" fillId="43" borderId="58" applyNumberFormat="0" applyProtection="0">
      <alignment horizontal="right" vertical="center"/>
    </xf>
    <xf numFmtId="4" fontId="45" fillId="2" borderId="58" applyNumberFormat="0" applyProtection="0">
      <alignment horizontal="right" vertical="center"/>
    </xf>
    <xf numFmtId="4" fontId="45" fillId="0" borderId="58"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8" applyNumberFormat="0" applyProtection="0">
      <alignment horizontal="right" vertical="center"/>
    </xf>
    <xf numFmtId="0" fontId="33" fillId="27" borderId="58" applyNumberFormat="0" applyAlignment="0" applyProtection="0"/>
    <xf numFmtId="0" fontId="45" fillId="41" borderId="58" applyNumberFormat="0" applyProtection="0">
      <alignment horizontal="left" vertical="center" indent="1"/>
    </xf>
    <xf numFmtId="4" fontId="18" fillId="115" borderId="8" applyNumberFormat="0" applyProtection="0">
      <alignment horizontal="right" vertical="center"/>
    </xf>
    <xf numFmtId="4" fontId="45" fillId="9" borderId="58" applyNumberFormat="0" applyProtection="0">
      <alignment horizontal="right" vertical="center"/>
    </xf>
    <xf numFmtId="4" fontId="45" fillId="39"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8" applyNumberFormat="0" applyProtection="0">
      <alignment horizontal="right" vertical="center"/>
    </xf>
    <xf numFmtId="4" fontId="45" fillId="110" borderId="58" applyNumberFormat="0" applyProtection="0">
      <alignment horizontal="right" vertical="center"/>
    </xf>
    <xf numFmtId="4" fontId="18" fillId="106" borderId="8" applyNumberFormat="0" applyProtection="0">
      <alignment horizontal="left" vertical="center" indent="1"/>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8" applyNumberFormat="0" applyProtection="0">
      <alignment horizontal="right" vertical="center"/>
    </xf>
    <xf numFmtId="0" fontId="115" fillId="11" borderId="1" applyNumberFormat="0" applyAlignment="0" applyProtection="0"/>
    <xf numFmtId="4" fontId="117" fillId="43" borderId="58" applyNumberFormat="0" applyProtection="0">
      <alignment horizontal="right" vertical="center"/>
    </xf>
    <xf numFmtId="4" fontId="45" fillId="110" borderId="58" applyNumberFormat="0" applyProtection="0">
      <alignment horizontal="right" vertical="center"/>
    </xf>
    <xf numFmtId="0" fontId="16" fillId="45" borderId="8" applyNumberFormat="0" applyProtection="0">
      <alignment horizontal="left" vertical="center" indent="1"/>
    </xf>
    <xf numFmtId="0" fontId="119" fillId="8" borderId="79" applyBorder="0"/>
    <xf numFmtId="0" fontId="45" fillId="6" borderId="58" applyNumberFormat="0" applyProtection="0">
      <alignment horizontal="left" vertical="center" indent="1"/>
    </xf>
    <xf numFmtId="4" fontId="18" fillId="116" borderId="8" applyNumberFormat="0" applyProtection="0">
      <alignment horizontal="right" vertical="center"/>
    </xf>
    <xf numFmtId="4" fontId="45" fillId="36" borderId="58" applyNumberFormat="0" applyProtection="0">
      <alignment horizontal="right" vertical="center"/>
    </xf>
    <xf numFmtId="4" fontId="45" fillId="9" borderId="58" applyNumberFormat="0" applyProtection="0">
      <alignment horizontal="right" vertical="center"/>
    </xf>
    <xf numFmtId="4" fontId="45" fillId="38" borderId="58" applyNumberFormat="0" applyProtection="0">
      <alignment horizontal="right" vertical="center"/>
    </xf>
    <xf numFmtId="4" fontId="120" fillId="10" borderId="9" applyNumberFormat="0" applyProtection="0">
      <alignment horizontal="left" vertical="center" indent="1"/>
    </xf>
    <xf numFmtId="4" fontId="45" fillId="7" borderId="58" applyNumberFormat="0" applyProtection="0">
      <alignment horizontal="right" vertical="center"/>
    </xf>
    <xf numFmtId="4" fontId="45" fillId="33" borderId="58" applyNumberFormat="0" applyProtection="0">
      <alignment vertical="center"/>
    </xf>
    <xf numFmtId="4" fontId="18" fillId="123" borderId="8" applyNumberFormat="0" applyProtection="0">
      <alignment horizontal="left" vertical="center" indent="1"/>
    </xf>
    <xf numFmtId="4" fontId="45" fillId="106" borderId="58" applyNumberFormat="0" applyProtection="0">
      <alignment horizontal="left" vertical="center" indent="1"/>
    </xf>
    <xf numFmtId="0" fontId="45" fillId="10" borderId="58" applyNumberFormat="0" applyProtection="0">
      <alignment horizontal="left" vertical="center" indent="1"/>
    </xf>
    <xf numFmtId="4" fontId="45" fillId="41" borderId="70" applyNumberFormat="0" applyProtection="0">
      <alignment horizontal="left" vertical="center" indent="1"/>
    </xf>
    <xf numFmtId="4" fontId="18" fillId="113" borderId="8" applyNumberFormat="0" applyProtection="0">
      <alignment horizontal="right" vertical="center"/>
    </xf>
    <xf numFmtId="4" fontId="45" fillId="35" borderId="58" applyNumberFormat="0" applyProtection="0">
      <alignment horizontal="right" vertical="center"/>
    </xf>
    <xf numFmtId="4" fontId="16" fillId="8" borderId="70" applyNumberFormat="0" applyProtection="0">
      <alignment horizontal="left" vertical="center" indent="1"/>
    </xf>
    <xf numFmtId="0" fontId="16" fillId="45" borderId="8" applyNumberFormat="0" applyProtection="0">
      <alignment horizontal="left" vertical="center" indent="1"/>
    </xf>
    <xf numFmtId="4" fontId="45" fillId="39" borderId="58" applyNumberFormat="0" applyProtection="0">
      <alignment horizontal="right" vertical="center"/>
    </xf>
    <xf numFmtId="4" fontId="45" fillId="2" borderId="70" applyNumberFormat="0" applyProtection="0">
      <alignment horizontal="left" vertical="center" indent="1"/>
    </xf>
    <xf numFmtId="4" fontId="42" fillId="119" borderId="8" applyNumberFormat="0" applyProtection="0">
      <alignment horizontal="right" vertical="center"/>
    </xf>
    <xf numFmtId="4" fontId="45" fillId="2" borderId="70"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vertical="center"/>
    </xf>
    <xf numFmtId="4" fontId="45" fillId="106" borderId="58" applyNumberFormat="0" applyProtection="0">
      <alignment horizontal="left" vertical="center" indent="1"/>
    </xf>
    <xf numFmtId="0" fontId="45" fillId="26" borderId="58" applyNumberFormat="0" applyFont="0" applyAlignment="0" applyProtection="0"/>
    <xf numFmtId="0" fontId="109" fillId="10" borderId="1" applyNumberFormat="0" applyAlignment="0" applyProtection="0"/>
    <xf numFmtId="4" fontId="45" fillId="7" borderId="58" applyNumberFormat="0" applyProtection="0">
      <alignment horizontal="right" vertical="center"/>
    </xf>
    <xf numFmtId="0" fontId="118" fillId="33" borderId="9" applyNumberFormat="0" applyProtection="0">
      <alignment horizontal="left" vertical="top" indent="1"/>
    </xf>
    <xf numFmtId="4" fontId="45" fillId="33" borderId="58" applyNumberFormat="0" applyProtection="0">
      <alignment vertical="center"/>
    </xf>
    <xf numFmtId="0" fontId="108" fillId="101" borderId="58" applyNumberFormat="0" applyAlignment="0" applyProtection="0"/>
    <xf numFmtId="4" fontId="122" fillId="42" borderId="70" applyNumberFormat="0" applyProtection="0">
      <alignment horizontal="left" vertical="center" indent="1"/>
    </xf>
    <xf numFmtId="0" fontId="45" fillId="124" borderId="81"/>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8" applyNumberFormat="0" applyProtection="0">
      <alignment horizontal="right" vertical="center"/>
    </xf>
    <xf numFmtId="0" fontId="16" fillId="107" borderId="8" applyNumberFormat="0" applyProtection="0">
      <alignment horizontal="left" vertical="center" indent="1"/>
    </xf>
    <xf numFmtId="4" fontId="45" fillId="0" borderId="58" applyNumberFormat="0" applyProtection="0">
      <alignment horizontal="right" vertical="center"/>
    </xf>
    <xf numFmtId="4" fontId="45" fillId="51" borderId="58"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8"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4" fontId="37" fillId="33" borderId="87" applyNumberFormat="0" applyProtection="0">
      <alignment vertical="center"/>
    </xf>
    <xf numFmtId="4" fontId="38" fillId="33" borderId="87" applyNumberFormat="0" applyProtection="0">
      <alignment vertical="center"/>
    </xf>
    <xf numFmtId="4" fontId="37" fillId="33" borderId="87" applyNumberFormat="0" applyProtection="0">
      <alignment horizontal="left" vertical="center" indent="1"/>
    </xf>
    <xf numFmtId="175" fontId="37" fillId="33" borderId="87" applyNumberFormat="0" applyProtection="0">
      <alignment horizontal="left" vertical="top" indent="1"/>
    </xf>
    <xf numFmtId="4" fontId="18" fillId="7" borderId="87" applyNumberFormat="0" applyProtection="0">
      <alignment horizontal="right" vertical="center"/>
    </xf>
    <xf numFmtId="4" fontId="18" fillId="3" borderId="87" applyNumberFormat="0" applyProtection="0">
      <alignment horizontal="right" vertical="center"/>
    </xf>
    <xf numFmtId="4" fontId="18" fillId="34" borderId="87" applyNumberFormat="0" applyProtection="0">
      <alignment horizontal="right" vertical="center"/>
    </xf>
    <xf numFmtId="4" fontId="18" fillId="35" borderId="87" applyNumberFormat="0" applyProtection="0">
      <alignment horizontal="right" vertical="center"/>
    </xf>
    <xf numFmtId="4" fontId="18" fillId="36" borderId="87" applyNumberFormat="0" applyProtection="0">
      <alignment horizontal="right" vertical="center"/>
    </xf>
    <xf numFmtId="4" fontId="18" fillId="37" borderId="87" applyNumberFormat="0" applyProtection="0">
      <alignment horizontal="right" vertical="center"/>
    </xf>
    <xf numFmtId="4" fontId="18" fillId="9" borderId="87" applyNumberFormat="0" applyProtection="0">
      <alignment horizontal="right" vertical="center"/>
    </xf>
    <xf numFmtId="4" fontId="18" fillId="38" borderId="87" applyNumberFormat="0" applyProtection="0">
      <alignment horizontal="right" vertical="center"/>
    </xf>
    <xf numFmtId="4" fontId="18" fillId="39" borderId="87" applyNumberFormat="0" applyProtection="0">
      <alignment horizontal="right" vertical="center"/>
    </xf>
    <xf numFmtId="4" fontId="18" fillId="2" borderId="87" applyNumberFormat="0" applyProtection="0">
      <alignment horizontal="right" vertical="center"/>
    </xf>
    <xf numFmtId="175" fontId="16" fillId="8" borderId="87" applyNumberFormat="0" applyProtection="0">
      <alignment horizontal="left" vertical="center" indent="1"/>
    </xf>
    <xf numFmtId="175" fontId="16" fillId="8" borderId="87" applyNumberFormat="0" applyProtection="0">
      <alignment horizontal="left" vertical="top" indent="1"/>
    </xf>
    <xf numFmtId="175" fontId="16" fillId="2" borderId="87" applyNumberFormat="0" applyProtection="0">
      <alignment horizontal="left" vertical="center" indent="1"/>
    </xf>
    <xf numFmtId="175" fontId="16" fillId="2" borderId="87" applyNumberFormat="0" applyProtection="0">
      <alignment horizontal="left" vertical="top" indent="1"/>
    </xf>
    <xf numFmtId="175" fontId="16" fillId="6" borderId="87" applyNumberFormat="0" applyProtection="0">
      <alignment horizontal="left" vertical="center" indent="1"/>
    </xf>
    <xf numFmtId="175" fontId="16" fillId="6" borderId="87" applyNumberFormat="0" applyProtection="0">
      <alignment horizontal="left" vertical="top" indent="1"/>
    </xf>
    <xf numFmtId="175" fontId="16" fillId="41" borderId="87" applyNumberFormat="0" applyProtection="0">
      <alignment horizontal="left" vertical="center" indent="1"/>
    </xf>
    <xf numFmtId="175" fontId="16" fillId="41" borderId="87" applyNumberFormat="0" applyProtection="0">
      <alignment horizontal="left" vertical="top" indent="1"/>
    </xf>
    <xf numFmtId="4" fontId="18" fillId="4" borderId="87" applyNumberFormat="0" applyProtection="0">
      <alignment vertical="center"/>
    </xf>
    <xf numFmtId="4" fontId="40" fillId="4" borderId="87" applyNumberFormat="0" applyProtection="0">
      <alignment vertical="center"/>
    </xf>
    <xf numFmtId="4" fontId="18" fillId="4" borderId="87" applyNumberFormat="0" applyProtection="0">
      <alignment horizontal="left" vertical="center" indent="1"/>
    </xf>
    <xf numFmtId="175" fontId="18" fillId="4" borderId="87" applyNumberFormat="0" applyProtection="0">
      <alignment horizontal="left" vertical="top" indent="1"/>
    </xf>
    <xf numFmtId="4" fontId="18" fillId="41" borderId="87" applyNumberFormat="0" applyProtection="0">
      <alignment horizontal="right" vertical="center"/>
    </xf>
    <xf numFmtId="4" fontId="40" fillId="41" borderId="87" applyNumberFormat="0" applyProtection="0">
      <alignment horizontal="right" vertical="center"/>
    </xf>
    <xf numFmtId="4" fontId="18" fillId="2" borderId="87" applyNumberFormat="0" applyProtection="0">
      <alignment horizontal="left" vertical="center" indent="1"/>
    </xf>
    <xf numFmtId="175" fontId="18" fillId="2" borderId="87" applyNumberFormat="0" applyProtection="0">
      <alignment horizontal="left" vertical="top" indent="1"/>
    </xf>
    <xf numFmtId="4" fontId="42" fillId="41" borderId="87" applyNumberFormat="0" applyProtection="0">
      <alignment horizontal="right" vertical="center"/>
    </xf>
    <xf numFmtId="175" fontId="27" fillId="0" borderId="88" applyNumberFormat="0" applyFill="0" applyAlignment="0" applyProtection="0"/>
    <xf numFmtId="4" fontId="18" fillId="7" borderId="87" applyNumberFormat="0" applyProtection="0">
      <alignment horizontal="right" vertical="center"/>
    </xf>
    <xf numFmtId="4" fontId="18" fillId="3" borderId="87" applyNumberFormat="0" applyProtection="0">
      <alignment horizontal="right" vertical="center"/>
    </xf>
    <xf numFmtId="4" fontId="18" fillId="34" borderId="87" applyNumberFormat="0" applyProtection="0">
      <alignment horizontal="right" vertical="center"/>
    </xf>
    <xf numFmtId="4" fontId="18" fillId="35" borderId="87" applyNumberFormat="0" applyProtection="0">
      <alignment horizontal="right" vertical="center"/>
    </xf>
    <xf numFmtId="4" fontId="18" fillId="36" borderId="87" applyNumberFormat="0" applyProtection="0">
      <alignment horizontal="right" vertical="center"/>
    </xf>
    <xf numFmtId="4" fontId="18" fillId="37" borderId="87" applyNumberFormat="0" applyProtection="0">
      <alignment horizontal="right" vertical="center"/>
    </xf>
    <xf numFmtId="4" fontId="18" fillId="9" borderId="87" applyNumberFormat="0" applyProtection="0">
      <alignment horizontal="right" vertical="center"/>
    </xf>
    <xf numFmtId="4" fontId="18" fillId="38" borderId="87" applyNumberFormat="0" applyProtection="0">
      <alignment horizontal="right" vertical="center"/>
    </xf>
    <xf numFmtId="4" fontId="18" fillId="39" borderId="87" applyNumberFormat="0" applyProtection="0">
      <alignment horizontal="right" vertical="center"/>
    </xf>
    <xf numFmtId="4" fontId="18" fillId="2" borderId="87" applyNumberFormat="0" applyProtection="0">
      <alignment horizontal="right" vertical="center"/>
    </xf>
    <xf numFmtId="4" fontId="18" fillId="4" borderId="87" applyNumberFormat="0" applyProtection="0">
      <alignment vertical="center"/>
    </xf>
    <xf numFmtId="4" fontId="18" fillId="4" borderId="87" applyNumberFormat="0" applyProtection="0">
      <alignment horizontal="left" vertical="center" indent="1"/>
    </xf>
    <xf numFmtId="175" fontId="18" fillId="4" borderId="87" applyNumberFormat="0" applyProtection="0">
      <alignment horizontal="left" vertical="top" indent="1"/>
    </xf>
    <xf numFmtId="4" fontId="18" fillId="41" borderId="87" applyNumberFormat="0" applyProtection="0">
      <alignment horizontal="right" vertical="center"/>
    </xf>
    <xf numFmtId="4" fontId="18" fillId="2" borderId="87" applyNumberFormat="0" applyProtection="0">
      <alignment horizontal="left" vertical="center" indent="1"/>
    </xf>
    <xf numFmtId="175" fontId="18" fillId="2" borderId="87" applyNumberFormat="0" applyProtection="0">
      <alignment horizontal="left" vertical="top" indent="1"/>
    </xf>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4" applyNumberFormat="0" applyAlignment="0" applyProtection="0"/>
    <xf numFmtId="175" fontId="33" fillId="27" borderId="84" applyNumberFormat="0" applyAlignment="0" applyProtection="0"/>
    <xf numFmtId="175" fontId="16" fillId="26" borderId="85" applyNumberFormat="0" applyFont="0" applyAlignment="0" applyProtection="0"/>
    <xf numFmtId="175" fontId="36" fillId="28" borderId="86" applyNumberFormat="0" applyAlignment="0" applyProtection="0"/>
    <xf numFmtId="175" fontId="27" fillId="0" borderId="88"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89" applyNumberFormat="0" applyProtection="0">
      <alignment horizontal="right" vertical="center"/>
    </xf>
    <xf numFmtId="4" fontId="45" fillId="51" borderId="89"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7" applyNumberFormat="0" applyProtection="0">
      <alignment horizontal="left" vertical="top" indent="1"/>
    </xf>
    <xf numFmtId="0" fontId="2" fillId="61" borderId="0" applyNumberFormat="0" applyBorder="0" applyAlignment="0" applyProtection="0"/>
    <xf numFmtId="0" fontId="16" fillId="8" borderId="87" applyNumberFormat="0" applyProtection="0">
      <alignment horizontal="left" vertical="center" indent="1"/>
    </xf>
    <xf numFmtId="0" fontId="16" fillId="8" borderId="87" applyNumberFormat="0" applyProtection="0">
      <alignment horizontal="left" vertical="top" indent="1"/>
    </xf>
    <xf numFmtId="0" fontId="16" fillId="2" borderId="87" applyNumberFormat="0" applyProtection="0">
      <alignment horizontal="left" vertical="center" indent="1"/>
    </xf>
    <xf numFmtId="0" fontId="16" fillId="2" borderId="87" applyNumberFormat="0" applyProtection="0">
      <alignment horizontal="left" vertical="top" indent="1"/>
    </xf>
    <xf numFmtId="0" fontId="16" fillId="6" borderId="87" applyNumberFormat="0" applyProtection="0">
      <alignment horizontal="left" vertical="center" indent="1"/>
    </xf>
    <xf numFmtId="0" fontId="16" fillId="6" borderId="87" applyNumberFormat="0" applyProtection="0">
      <alignment horizontal="left" vertical="top" indent="1"/>
    </xf>
    <xf numFmtId="0" fontId="16" fillId="41" borderId="87" applyNumberFormat="0" applyProtection="0">
      <alignment horizontal="left" vertical="center" indent="1"/>
    </xf>
    <xf numFmtId="0" fontId="16" fillId="41" borderId="87"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7"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7"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89" applyNumberFormat="0" applyAlignment="0" applyProtection="0"/>
    <xf numFmtId="0" fontId="109" fillId="10" borderId="84"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89" applyNumberFormat="0" applyAlignment="0" applyProtection="0"/>
    <xf numFmtId="0" fontId="115" fillId="11" borderId="8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18" fillId="4" borderId="85" applyNumberFormat="0" applyFont="0" applyAlignment="0" applyProtection="0"/>
    <xf numFmtId="0" fontId="45" fillId="26" borderId="89" applyNumberFormat="0" applyFont="0" applyAlignment="0" applyProtection="0"/>
    <xf numFmtId="0" fontId="2" fillId="59" borderId="68" applyNumberFormat="0" applyFont="0" applyAlignment="0" applyProtection="0"/>
    <xf numFmtId="0" fontId="36" fillId="101" borderId="86" applyNumberFormat="0" applyAlignment="0" applyProtection="0"/>
    <xf numFmtId="0" fontId="36" fillId="10" borderId="86"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6" applyNumberFormat="0" applyProtection="0">
      <alignment vertical="center"/>
    </xf>
    <xf numFmtId="4" fontId="18" fillId="106" borderId="86" applyNumberFormat="0" applyProtection="0">
      <alignment vertical="center"/>
    </xf>
    <xf numFmtId="4" fontId="45" fillId="33" borderId="89" applyNumberFormat="0" applyProtection="0">
      <alignment vertical="center"/>
    </xf>
    <xf numFmtId="4" fontId="45" fillId="33" borderId="89" applyNumberFormat="0" applyProtection="0">
      <alignment vertical="center"/>
    </xf>
    <xf numFmtId="4" fontId="45" fillId="33" borderId="89" applyNumberFormat="0" applyProtection="0">
      <alignment vertical="center"/>
    </xf>
    <xf numFmtId="4" fontId="40" fillId="106" borderId="86" applyNumberFormat="0" applyProtection="0">
      <alignment vertical="center"/>
    </xf>
    <xf numFmtId="4" fontId="117" fillId="106" borderId="89" applyNumberFormat="0" applyProtection="0">
      <alignment vertical="center"/>
    </xf>
    <xf numFmtId="4" fontId="18" fillId="106" borderId="86" applyNumberFormat="0" applyProtection="0">
      <alignment horizontal="left" vertical="center" indent="1"/>
    </xf>
    <xf numFmtId="4" fontId="45" fillId="106" borderId="89" applyNumberFormat="0" applyProtection="0">
      <alignment horizontal="left" vertical="center" indent="1"/>
    </xf>
    <xf numFmtId="4" fontId="45" fillId="106" borderId="89" applyNumberFormat="0" applyProtection="0">
      <alignment horizontal="left" vertical="center" indent="1"/>
    </xf>
    <xf numFmtId="4" fontId="45" fillId="106" borderId="89" applyNumberFormat="0" applyProtection="0">
      <alignment horizontal="left" vertical="center" indent="1"/>
    </xf>
    <xf numFmtId="4" fontId="18" fillId="106" borderId="86" applyNumberFormat="0" applyProtection="0">
      <alignment horizontal="left" vertical="center" indent="1"/>
    </xf>
    <xf numFmtId="0" fontId="118" fillId="33" borderId="87" applyNumberFormat="0" applyProtection="0">
      <alignment horizontal="left" vertical="top" indent="1"/>
    </xf>
    <xf numFmtId="0" fontId="16" fillId="107" borderId="86"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18" fillId="108" borderId="86" applyNumberFormat="0" applyProtection="0">
      <alignment horizontal="right" vertical="center"/>
    </xf>
    <xf numFmtId="4" fontId="45" fillId="7" borderId="89" applyNumberFormat="0" applyProtection="0">
      <alignment horizontal="right" vertical="center"/>
    </xf>
    <xf numFmtId="4" fontId="45" fillId="7" borderId="89" applyNumberFormat="0" applyProtection="0">
      <alignment horizontal="right" vertical="center"/>
    </xf>
    <xf numFmtId="4" fontId="45" fillId="7" borderId="89" applyNumberFormat="0" applyProtection="0">
      <alignment horizontal="right" vertical="center"/>
    </xf>
    <xf numFmtId="4" fontId="18" fillId="109" borderId="86" applyNumberFormat="0" applyProtection="0">
      <alignment horizontal="right" vertical="center"/>
    </xf>
    <xf numFmtId="4" fontId="45" fillId="110" borderId="89" applyNumberFormat="0" applyProtection="0">
      <alignment horizontal="right" vertical="center"/>
    </xf>
    <xf numFmtId="4" fontId="45" fillId="110" borderId="89" applyNumberFormat="0" applyProtection="0">
      <alignment horizontal="right" vertical="center"/>
    </xf>
    <xf numFmtId="4" fontId="45" fillId="110" borderId="89" applyNumberFormat="0" applyProtection="0">
      <alignment horizontal="right" vertical="center"/>
    </xf>
    <xf numFmtId="4" fontId="18" fillId="111" borderId="86" applyNumberFormat="0" applyProtection="0">
      <alignment horizontal="right" vertical="center"/>
    </xf>
    <xf numFmtId="4" fontId="45" fillId="34" borderId="90" applyNumberFormat="0" applyProtection="0">
      <alignment horizontal="right" vertical="center"/>
    </xf>
    <xf numFmtId="4" fontId="45" fillId="34" borderId="90" applyNumberFormat="0" applyProtection="0">
      <alignment horizontal="right" vertical="center"/>
    </xf>
    <xf numFmtId="4" fontId="45" fillId="34" borderId="90" applyNumberFormat="0" applyProtection="0">
      <alignment horizontal="right" vertical="center"/>
    </xf>
    <xf numFmtId="4" fontId="18" fillId="112" borderId="86" applyNumberFormat="0" applyProtection="0">
      <alignment horizontal="right" vertical="center"/>
    </xf>
    <xf numFmtId="4" fontId="45" fillId="35" borderId="89" applyNumberFormat="0" applyProtection="0">
      <alignment horizontal="right" vertical="center"/>
    </xf>
    <xf numFmtId="4" fontId="45" fillId="35" borderId="89" applyNumberFormat="0" applyProtection="0">
      <alignment horizontal="right" vertical="center"/>
    </xf>
    <xf numFmtId="4" fontId="45" fillId="35" borderId="89" applyNumberFormat="0" applyProtection="0">
      <alignment horizontal="right" vertical="center"/>
    </xf>
    <xf numFmtId="4" fontId="18" fillId="113" borderId="86" applyNumberFormat="0" applyProtection="0">
      <alignment horizontal="right" vertical="center"/>
    </xf>
    <xf numFmtId="4" fontId="45" fillId="36" borderId="89" applyNumberFormat="0" applyProtection="0">
      <alignment horizontal="right" vertical="center"/>
    </xf>
    <xf numFmtId="4" fontId="45" fillId="36" borderId="89" applyNumberFormat="0" applyProtection="0">
      <alignment horizontal="right" vertical="center"/>
    </xf>
    <xf numFmtId="4" fontId="45" fillId="36" borderId="89" applyNumberFormat="0" applyProtection="0">
      <alignment horizontal="right" vertical="center"/>
    </xf>
    <xf numFmtId="4" fontId="18" fillId="114" borderId="86" applyNumberFormat="0" applyProtection="0">
      <alignment horizontal="right" vertical="center"/>
    </xf>
    <xf numFmtId="4" fontId="45" fillId="37" borderId="89" applyNumberFormat="0" applyProtection="0">
      <alignment horizontal="right" vertical="center"/>
    </xf>
    <xf numFmtId="4" fontId="45" fillId="37" borderId="89" applyNumberFormat="0" applyProtection="0">
      <alignment horizontal="right" vertical="center"/>
    </xf>
    <xf numFmtId="4" fontId="45" fillId="37" borderId="89" applyNumberFormat="0" applyProtection="0">
      <alignment horizontal="right" vertical="center"/>
    </xf>
    <xf numFmtId="4" fontId="18" fillId="115" borderId="86" applyNumberFormat="0" applyProtection="0">
      <alignment horizontal="right" vertical="center"/>
    </xf>
    <xf numFmtId="4" fontId="45" fillId="9" borderId="89" applyNumberFormat="0" applyProtection="0">
      <alignment horizontal="right" vertical="center"/>
    </xf>
    <xf numFmtId="4" fontId="45" fillId="9" borderId="89" applyNumberFormat="0" applyProtection="0">
      <alignment horizontal="right" vertical="center"/>
    </xf>
    <xf numFmtId="4" fontId="45" fillId="9" borderId="89" applyNumberFormat="0" applyProtection="0">
      <alignment horizontal="right" vertical="center"/>
    </xf>
    <xf numFmtId="4" fontId="18" fillId="116" borderId="86" applyNumberFormat="0" applyProtection="0">
      <alignment horizontal="right" vertical="center"/>
    </xf>
    <xf numFmtId="4" fontId="45" fillId="38" borderId="89" applyNumberFormat="0" applyProtection="0">
      <alignment horizontal="right" vertical="center"/>
    </xf>
    <xf numFmtId="4" fontId="45" fillId="38" borderId="89" applyNumberFormat="0" applyProtection="0">
      <alignment horizontal="right" vertical="center"/>
    </xf>
    <xf numFmtId="4" fontId="45" fillId="38" borderId="89" applyNumberFormat="0" applyProtection="0">
      <alignment horizontal="right" vertical="center"/>
    </xf>
    <xf numFmtId="4" fontId="18" fillId="117" borderId="86" applyNumberFormat="0" applyProtection="0">
      <alignment horizontal="right" vertical="center"/>
    </xf>
    <xf numFmtId="4" fontId="45" fillId="39" borderId="89" applyNumberFormat="0" applyProtection="0">
      <alignment horizontal="right" vertical="center"/>
    </xf>
    <xf numFmtId="4" fontId="45" fillId="39" borderId="89" applyNumberFormat="0" applyProtection="0">
      <alignment horizontal="right" vertical="center"/>
    </xf>
    <xf numFmtId="4" fontId="45" fillId="39" borderId="89" applyNumberFormat="0" applyProtection="0">
      <alignment horizontal="right" vertical="center"/>
    </xf>
    <xf numFmtId="4" fontId="37" fillId="118" borderId="86" applyNumberFormat="0" applyProtection="0">
      <alignment horizontal="left" vertical="center" indent="1"/>
    </xf>
    <xf numFmtId="4" fontId="45" fillId="40" borderId="90" applyNumberFormat="0" applyProtection="0">
      <alignment horizontal="left" vertical="center" indent="1"/>
    </xf>
    <xf numFmtId="4" fontId="45" fillId="40" borderId="90" applyNumberFormat="0" applyProtection="0">
      <alignment horizontal="left" vertical="center" indent="1"/>
    </xf>
    <xf numFmtId="4" fontId="45" fillId="40" borderId="90" applyNumberFormat="0" applyProtection="0">
      <alignment horizontal="left" vertical="center" indent="1"/>
    </xf>
    <xf numFmtId="4" fontId="18" fillId="119" borderId="91" applyNumberFormat="0" applyProtection="0">
      <alignment horizontal="left" vertical="center" indent="1"/>
    </xf>
    <xf numFmtId="4" fontId="16" fillId="8" borderId="90" applyNumberFormat="0" applyProtection="0">
      <alignment horizontal="left" vertical="center" indent="1"/>
    </xf>
    <xf numFmtId="4" fontId="16" fillId="8" borderId="90" applyNumberFormat="0" applyProtection="0">
      <alignment horizontal="left" vertical="center" indent="1"/>
    </xf>
    <xf numFmtId="0" fontId="16" fillId="107" borderId="86" applyNumberFormat="0" applyProtection="0">
      <alignment horizontal="left" vertical="center" indent="1"/>
    </xf>
    <xf numFmtId="4" fontId="45" fillId="2" borderId="89" applyNumberFormat="0" applyProtection="0">
      <alignment horizontal="right" vertical="center"/>
    </xf>
    <xf numFmtId="4" fontId="45" fillId="2" borderId="89" applyNumberFormat="0" applyProtection="0">
      <alignment horizontal="right" vertical="center"/>
    </xf>
    <xf numFmtId="4" fontId="45" fillId="2" borderId="89" applyNumberFormat="0" applyProtection="0">
      <alignment horizontal="right" vertical="center"/>
    </xf>
    <xf numFmtId="4" fontId="18" fillId="119" borderId="86" applyNumberFormat="0" applyProtection="0">
      <alignment horizontal="left" vertical="center" indent="1"/>
    </xf>
    <xf numFmtId="4" fontId="45" fillId="41" borderId="90" applyNumberFormat="0" applyProtection="0">
      <alignment horizontal="left" vertical="center" indent="1"/>
    </xf>
    <xf numFmtId="4" fontId="45" fillId="41" borderId="90" applyNumberFormat="0" applyProtection="0">
      <alignment horizontal="left" vertical="center" indent="1"/>
    </xf>
    <xf numFmtId="4" fontId="45" fillId="41" borderId="90" applyNumberFormat="0" applyProtection="0">
      <alignment horizontal="left" vertical="center" indent="1"/>
    </xf>
    <xf numFmtId="4" fontId="18" fillId="46" borderId="86" applyNumberFormat="0" applyProtection="0">
      <alignment horizontal="left" vertical="center" indent="1"/>
    </xf>
    <xf numFmtId="4" fontId="45" fillId="2" borderId="90" applyNumberFormat="0" applyProtection="0">
      <alignment horizontal="left" vertical="center" indent="1"/>
    </xf>
    <xf numFmtId="4" fontId="45" fillId="2" borderId="90" applyNumberFormat="0" applyProtection="0">
      <alignment horizontal="left" vertical="center" indent="1"/>
    </xf>
    <xf numFmtId="4" fontId="45" fillId="2" borderId="90" applyNumberFormat="0" applyProtection="0">
      <alignment horizontal="left" vertical="center" indent="1"/>
    </xf>
    <xf numFmtId="0" fontId="16" fillId="46" borderId="86" applyNumberFormat="0" applyProtection="0">
      <alignment horizontal="left" vertical="center" indent="1"/>
    </xf>
    <xf numFmtId="0" fontId="45" fillId="10" borderId="89" applyNumberFormat="0" applyProtection="0">
      <alignment horizontal="left" vertical="center" indent="1"/>
    </xf>
    <xf numFmtId="0" fontId="45" fillId="10" borderId="89" applyNumberFormat="0" applyProtection="0">
      <alignment horizontal="left" vertical="center" indent="1"/>
    </xf>
    <xf numFmtId="0" fontId="45" fillId="10" borderId="89" applyNumberFormat="0" applyProtection="0">
      <alignment horizontal="left" vertical="center" indent="1"/>
    </xf>
    <xf numFmtId="0" fontId="16" fillId="46" borderId="86" applyNumberFormat="0" applyProtection="0">
      <alignment horizontal="left" vertical="center" indent="1"/>
    </xf>
    <xf numFmtId="0" fontId="45" fillId="8" borderId="87" applyNumberFormat="0" applyProtection="0">
      <alignment horizontal="left" vertical="top" indent="1"/>
    </xf>
    <xf numFmtId="0" fontId="16" fillId="45" borderId="86" applyNumberFormat="0" applyProtection="0">
      <alignment horizontal="left" vertical="center" indent="1"/>
    </xf>
    <xf numFmtId="0" fontId="45" fillId="121" borderId="89" applyNumberFormat="0" applyProtection="0">
      <alignment horizontal="left" vertical="center" indent="1"/>
    </xf>
    <xf numFmtId="0" fontId="45" fillId="121" borderId="89" applyNumberFormat="0" applyProtection="0">
      <alignment horizontal="left" vertical="center" indent="1"/>
    </xf>
    <xf numFmtId="0" fontId="45" fillId="121" borderId="89" applyNumberFormat="0" applyProtection="0">
      <alignment horizontal="left" vertical="center" indent="1"/>
    </xf>
    <xf numFmtId="0" fontId="16" fillId="45" borderId="86" applyNumberFormat="0" applyProtection="0">
      <alignment horizontal="left" vertical="center" indent="1"/>
    </xf>
    <xf numFmtId="0" fontId="45" fillId="2" borderId="87" applyNumberFormat="0" applyProtection="0">
      <alignment horizontal="left" vertical="top" indent="1"/>
    </xf>
    <xf numFmtId="0" fontId="16" fillId="122" borderId="86" applyNumberFormat="0" applyProtection="0">
      <alignment horizontal="left" vertical="center" indent="1"/>
    </xf>
    <xf numFmtId="0" fontId="45" fillId="6" borderId="89" applyNumberFormat="0" applyProtection="0">
      <alignment horizontal="left" vertical="center" indent="1"/>
    </xf>
    <xf numFmtId="0" fontId="45" fillId="6" borderId="89" applyNumberFormat="0" applyProtection="0">
      <alignment horizontal="left" vertical="center" indent="1"/>
    </xf>
    <xf numFmtId="0" fontId="45" fillId="6" borderId="89" applyNumberFormat="0" applyProtection="0">
      <alignment horizontal="left" vertical="center" indent="1"/>
    </xf>
    <xf numFmtId="0" fontId="16" fillId="122" borderId="86" applyNumberFormat="0" applyProtection="0">
      <alignment horizontal="left" vertical="center" indent="1"/>
    </xf>
    <xf numFmtId="0" fontId="45" fillId="6" borderId="87" applyNumberFormat="0" applyProtection="0">
      <alignment horizontal="left" vertical="top" indent="1"/>
    </xf>
    <xf numFmtId="0" fontId="16" fillId="107" borderId="86" applyNumberFormat="0" applyProtection="0">
      <alignment horizontal="left" vertical="center" indent="1"/>
    </xf>
    <xf numFmtId="0" fontId="45" fillId="41" borderId="89" applyNumberFormat="0" applyProtection="0">
      <alignment horizontal="left" vertical="center" indent="1"/>
    </xf>
    <xf numFmtId="0" fontId="45" fillId="41" borderId="89" applyNumberFormat="0" applyProtection="0">
      <alignment horizontal="left" vertical="center" indent="1"/>
    </xf>
    <xf numFmtId="0" fontId="45" fillId="41" borderId="89" applyNumberFormat="0" applyProtection="0">
      <alignment horizontal="left" vertical="center" indent="1"/>
    </xf>
    <xf numFmtId="0" fontId="16" fillId="107" borderId="86" applyNumberFormat="0" applyProtection="0">
      <alignment horizontal="left" vertical="center" indent="1"/>
    </xf>
    <xf numFmtId="0" fontId="45" fillId="41" borderId="87"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92" applyBorder="0"/>
    <xf numFmtId="4" fontId="18" fillId="123" borderId="86" applyNumberFormat="0" applyProtection="0">
      <alignment vertical="center"/>
    </xf>
    <xf numFmtId="4" fontId="120" fillId="4" borderId="87" applyNumberFormat="0" applyProtection="0">
      <alignment vertical="center"/>
    </xf>
    <xf numFmtId="4" fontId="40" fillId="123" borderId="86" applyNumberFormat="0" applyProtection="0">
      <alignment vertical="center"/>
    </xf>
    <xf numFmtId="4" fontId="18" fillId="123" borderId="86" applyNumberFormat="0" applyProtection="0">
      <alignment horizontal="left" vertical="center" indent="1"/>
    </xf>
    <xf numFmtId="4" fontId="120" fillId="10" borderId="87" applyNumberFormat="0" applyProtection="0">
      <alignment horizontal="left" vertical="center" indent="1"/>
    </xf>
    <xf numFmtId="4" fontId="18" fillId="123" borderId="86" applyNumberFormat="0" applyProtection="0">
      <alignment horizontal="left" vertical="center" indent="1"/>
    </xf>
    <xf numFmtId="0" fontId="120" fillId="4" borderId="87" applyNumberFormat="0" applyProtection="0">
      <alignment horizontal="left" vertical="top" indent="1"/>
    </xf>
    <xf numFmtId="4" fontId="18" fillId="119" borderId="86" applyNumberFormat="0" applyProtection="0">
      <alignment horizontal="right" vertical="center"/>
    </xf>
    <xf numFmtId="4" fontId="18" fillId="119" borderId="86" applyNumberFormat="0" applyProtection="0">
      <alignment horizontal="right" vertical="center"/>
    </xf>
    <xf numFmtId="4" fontId="45" fillId="0" borderId="89" applyNumberFormat="0" applyProtection="0">
      <alignment horizontal="right" vertical="center"/>
    </xf>
    <xf numFmtId="4" fontId="45" fillId="0" borderId="89" applyNumberFormat="0" applyProtection="0">
      <alignment horizontal="right" vertical="center"/>
    </xf>
    <xf numFmtId="4" fontId="45" fillId="0" borderId="89" applyNumberFormat="0" applyProtection="0">
      <alignment horizontal="right" vertical="center"/>
    </xf>
    <xf numFmtId="4" fontId="40" fillId="119" borderId="86" applyNumberFormat="0" applyProtection="0">
      <alignment horizontal="right" vertical="center"/>
    </xf>
    <xf numFmtId="4" fontId="117" fillId="43" borderId="89" applyNumberFormat="0" applyProtection="0">
      <alignment horizontal="right" vertical="center"/>
    </xf>
    <xf numFmtId="0" fontId="16" fillId="107" borderId="86"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4" fontId="45" fillId="51" borderId="89" applyNumberFormat="0" applyProtection="0">
      <alignment horizontal="left" vertical="center" indent="1"/>
    </xf>
    <xf numFmtId="0" fontId="16" fillId="107" borderId="86" applyNumberFormat="0" applyProtection="0">
      <alignment horizontal="left" vertical="center" indent="1"/>
    </xf>
    <xf numFmtId="0" fontId="120" fillId="2" borderId="87" applyNumberFormat="0" applyProtection="0">
      <alignment horizontal="left" vertical="top" indent="1"/>
    </xf>
    <xf numFmtId="4" fontId="122" fillId="42" borderId="90" applyNumberFormat="0" applyProtection="0">
      <alignment horizontal="left" vertical="center" indent="1"/>
    </xf>
    <xf numFmtId="4" fontId="42" fillId="119" borderId="86" applyNumberFormat="0" applyProtection="0">
      <alignment horizontal="right" vertical="center"/>
    </xf>
    <xf numFmtId="4" fontId="123" fillId="5" borderId="89" applyNumberFormat="0" applyProtection="0">
      <alignment horizontal="right" vertical="center"/>
    </xf>
    <xf numFmtId="0" fontId="27" fillId="0" borderId="88" applyNumberFormat="0" applyFill="0" applyAlignment="0" applyProtection="0"/>
    <xf numFmtId="0" fontId="27" fillId="0" borderId="93"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5"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8"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59" borderId="6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8"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8"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8" applyNumberFormat="0" applyFont="0" applyAlignment="0" applyProtection="0"/>
    <xf numFmtId="43" fontId="2" fillId="0" borderId="0" applyFont="0" applyFill="0" applyBorder="0" applyAlignment="0" applyProtection="0"/>
    <xf numFmtId="4" fontId="45" fillId="0" borderId="89" applyNumberFormat="0" applyProtection="0">
      <alignment horizontal="right" vertical="center"/>
    </xf>
    <xf numFmtId="4" fontId="18" fillId="123" borderId="86" applyNumberFormat="0" applyProtection="0">
      <alignment vertical="center"/>
    </xf>
    <xf numFmtId="4" fontId="45" fillId="34" borderId="90" applyNumberFormat="0" applyProtection="0">
      <alignment horizontal="right" vertical="center"/>
    </xf>
    <xf numFmtId="4" fontId="45" fillId="40" borderId="90" applyNumberFormat="0" applyProtection="0">
      <alignment horizontal="left" vertical="center" indent="1"/>
    </xf>
    <xf numFmtId="4" fontId="45" fillId="37" borderId="89" applyNumberFormat="0" applyProtection="0">
      <alignment horizontal="right" vertical="center"/>
    </xf>
    <xf numFmtId="4" fontId="40" fillId="106" borderId="86" applyNumberFormat="0" applyProtection="0">
      <alignment vertical="center"/>
    </xf>
    <xf numFmtId="0" fontId="16" fillId="107" borderId="86" applyNumberFormat="0" applyProtection="0">
      <alignment horizontal="left" vertical="center" indent="1"/>
    </xf>
    <xf numFmtId="4" fontId="45" fillId="37" borderId="89" applyNumberFormat="0" applyProtection="0">
      <alignment horizontal="right" vertical="center"/>
    </xf>
    <xf numFmtId="4" fontId="45" fillId="0" borderId="89" applyNumberFormat="0" applyProtection="0">
      <alignment horizontal="right" vertical="center"/>
    </xf>
    <xf numFmtId="0" fontId="45" fillId="41" borderId="89" applyNumberFormat="0" applyProtection="0">
      <alignment horizontal="left" vertical="center" indent="1"/>
    </xf>
    <xf numFmtId="0" fontId="16" fillId="46" borderId="86" applyNumberFormat="0" applyProtection="0">
      <alignment horizontal="left" vertical="center" indent="1"/>
    </xf>
    <xf numFmtId="4" fontId="18" fillId="106" borderId="86" applyNumberFormat="0" applyProtection="0">
      <alignment horizontal="left" vertical="center" indent="1"/>
    </xf>
    <xf numFmtId="4" fontId="18" fillId="119" borderId="91" applyNumberFormat="0" applyProtection="0">
      <alignment horizontal="left" vertical="center" indent="1"/>
    </xf>
    <xf numFmtId="0" fontId="45" fillId="10" borderId="89" applyNumberFormat="0" applyProtection="0">
      <alignment horizontal="left" vertical="center" indent="1"/>
    </xf>
    <xf numFmtId="4" fontId="45" fillId="35" borderId="89" applyNumberFormat="0" applyProtection="0">
      <alignment horizontal="right" vertical="center"/>
    </xf>
    <xf numFmtId="0" fontId="118" fillId="33" borderId="87" applyNumberFormat="0" applyProtection="0">
      <alignment horizontal="left" vertical="top" indent="1"/>
    </xf>
    <xf numFmtId="0" fontId="119" fillId="8" borderId="92" applyBorder="0"/>
    <xf numFmtId="0" fontId="45" fillId="121" borderId="89" applyNumberFormat="0" applyProtection="0">
      <alignment horizontal="left" vertical="center" indent="1"/>
    </xf>
    <xf numFmtId="0" fontId="45" fillId="41" borderId="87" applyNumberFormat="0" applyProtection="0">
      <alignment horizontal="left" vertical="top" indent="1"/>
    </xf>
    <xf numFmtId="4" fontId="45" fillId="39" borderId="89" applyNumberFormat="0" applyProtection="0">
      <alignment horizontal="right" vertical="center"/>
    </xf>
    <xf numFmtId="4" fontId="45" fillId="35" borderId="89" applyNumberFormat="0" applyProtection="0">
      <alignment horizontal="right" vertical="center"/>
    </xf>
    <xf numFmtId="0" fontId="45" fillId="10" borderId="89" applyNumberFormat="0" applyProtection="0">
      <alignment horizontal="left" vertical="center" indent="1"/>
    </xf>
    <xf numFmtId="4" fontId="18" fillId="113" borderId="86" applyNumberFormat="0" applyProtection="0">
      <alignment horizontal="right" vertical="center"/>
    </xf>
    <xf numFmtId="0" fontId="45" fillId="10" borderId="89" applyNumberFormat="0" applyProtection="0">
      <alignment horizontal="left" vertical="center" indent="1"/>
    </xf>
    <xf numFmtId="4" fontId="123" fillId="5" borderId="89" applyNumberFormat="0" applyProtection="0">
      <alignment horizontal="right" vertical="center"/>
    </xf>
    <xf numFmtId="4" fontId="18" fillId="117" borderId="86" applyNumberFormat="0" applyProtection="0">
      <alignment horizontal="right" vertical="center"/>
    </xf>
    <xf numFmtId="4" fontId="45" fillId="33" borderId="89" applyNumberFormat="0" applyProtection="0">
      <alignment vertical="center"/>
    </xf>
    <xf numFmtId="4" fontId="45" fillId="37" borderId="89" applyNumberFormat="0" applyProtection="0">
      <alignment horizontal="right" vertical="center"/>
    </xf>
    <xf numFmtId="0" fontId="45" fillId="121" borderId="89" applyNumberFormat="0" applyProtection="0">
      <alignment horizontal="left" vertical="center" indent="1"/>
    </xf>
    <xf numFmtId="4" fontId="18" fillId="46" borderId="86" applyNumberFormat="0" applyProtection="0">
      <alignment horizontal="left" vertical="center" indent="1"/>
    </xf>
    <xf numFmtId="4" fontId="45" fillId="37" borderId="89" applyNumberFormat="0" applyProtection="0">
      <alignment horizontal="right" vertical="center"/>
    </xf>
    <xf numFmtId="4" fontId="37" fillId="118" borderId="86" applyNumberFormat="0" applyProtection="0">
      <alignment horizontal="left" vertical="center" indent="1"/>
    </xf>
    <xf numFmtId="4" fontId="45" fillId="9" borderId="89" applyNumberFormat="0" applyProtection="0">
      <alignment horizontal="right" vertical="center"/>
    </xf>
    <xf numFmtId="0" fontId="45" fillId="6" borderId="89" applyNumberFormat="0" applyProtection="0">
      <alignment horizontal="left" vertical="center" indent="1"/>
    </xf>
    <xf numFmtId="0" fontId="120" fillId="4" borderId="87" applyNumberFormat="0" applyProtection="0">
      <alignment horizontal="left" vertical="top" indent="1"/>
    </xf>
    <xf numFmtId="4" fontId="45" fillId="41" borderId="90" applyNumberFormat="0" applyProtection="0">
      <alignment horizontal="left" vertical="center" indent="1"/>
    </xf>
    <xf numFmtId="0" fontId="45" fillId="124" borderId="94"/>
    <xf numFmtId="4" fontId="45" fillId="51" borderId="89" applyNumberFormat="0" applyProtection="0">
      <alignment horizontal="left" vertical="center" indent="1"/>
    </xf>
    <xf numFmtId="0" fontId="36" fillId="10" borderId="86" applyNumberFormat="0" applyAlignment="0" applyProtection="0"/>
    <xf numFmtId="0" fontId="18" fillId="4" borderId="85" applyNumberFormat="0" applyFont="0" applyAlignment="0" applyProtection="0"/>
    <xf numFmtId="4" fontId="18" fillId="112" borderId="86" applyNumberFormat="0" applyProtection="0">
      <alignment horizontal="right" vertical="center"/>
    </xf>
    <xf numFmtId="0" fontId="16" fillId="45" borderId="86" applyNumberFormat="0" applyProtection="0">
      <alignment horizontal="left" vertical="center" indent="1"/>
    </xf>
    <xf numFmtId="0" fontId="16" fillId="46" borderId="86" applyNumberFormat="0" applyProtection="0">
      <alignment horizontal="left" vertical="center" indent="1"/>
    </xf>
    <xf numFmtId="4" fontId="45" fillId="38" borderId="89" applyNumberFormat="0" applyProtection="0">
      <alignment horizontal="right" vertical="center"/>
    </xf>
    <xf numFmtId="4" fontId="18" fillId="108" borderId="86" applyNumberFormat="0" applyProtection="0">
      <alignment horizontal="right" vertical="center"/>
    </xf>
    <xf numFmtId="4" fontId="45" fillId="51" borderId="89" applyNumberFormat="0" applyProtection="0">
      <alignment horizontal="left" vertical="center" indent="1"/>
    </xf>
    <xf numFmtId="0" fontId="45" fillId="41" borderId="89" applyNumberFormat="0" applyProtection="0">
      <alignment horizontal="left" vertical="center" indent="1"/>
    </xf>
    <xf numFmtId="4" fontId="45" fillId="2" borderId="89" applyNumberFormat="0" applyProtection="0">
      <alignment horizontal="right" vertical="center"/>
    </xf>
    <xf numFmtId="0" fontId="16" fillId="107" borderId="86" applyNumberFormat="0" applyProtection="0">
      <alignment horizontal="left" vertical="center" indent="1"/>
    </xf>
    <xf numFmtId="4" fontId="18" fillId="109" borderId="86" applyNumberFormat="0" applyProtection="0">
      <alignment horizontal="right" vertical="center"/>
    </xf>
    <xf numFmtId="0" fontId="45" fillId="6" borderId="89" applyNumberFormat="0" applyProtection="0">
      <alignment horizontal="left" vertical="center" indent="1"/>
    </xf>
    <xf numFmtId="4" fontId="45" fillId="51" borderId="89" applyNumberFormat="0" applyProtection="0">
      <alignment horizontal="left" vertical="center" indent="1"/>
    </xf>
    <xf numFmtId="4" fontId="45" fillId="41" borderId="90" applyNumberFormat="0" applyProtection="0">
      <alignment horizontal="left" vertical="center" indent="1"/>
    </xf>
    <xf numFmtId="0" fontId="16" fillId="107" borderId="86" applyNumberFormat="0" applyProtection="0">
      <alignment horizontal="left" vertical="center" indent="1"/>
    </xf>
    <xf numFmtId="4" fontId="18" fillId="119" borderId="86" applyNumberFormat="0" applyProtection="0">
      <alignment horizontal="right" vertical="center"/>
    </xf>
    <xf numFmtId="4" fontId="40" fillId="106" borderId="86" applyNumberFormat="0" applyProtection="0">
      <alignment vertical="center"/>
    </xf>
    <xf numFmtId="4" fontId="18" fillId="119" borderId="86" applyNumberFormat="0" applyProtection="0">
      <alignment horizontal="right" vertical="center"/>
    </xf>
    <xf numFmtId="4" fontId="45" fillId="40" borderId="90" applyNumberFormat="0" applyProtection="0">
      <alignment horizontal="left" vertical="center" indent="1"/>
    </xf>
    <xf numFmtId="0" fontId="45" fillId="2" borderId="87" applyNumberFormat="0" applyProtection="0">
      <alignment horizontal="left" vertical="top" indent="1"/>
    </xf>
    <xf numFmtId="4" fontId="45" fillId="33" borderId="89" applyNumberFormat="0" applyProtection="0">
      <alignment vertical="center"/>
    </xf>
    <xf numFmtId="4" fontId="117" fillId="123" borderId="94" applyNumberFormat="0" applyProtection="0">
      <alignment vertical="center"/>
    </xf>
    <xf numFmtId="0" fontId="120" fillId="2" borderId="87" applyNumberFormat="0" applyProtection="0">
      <alignment horizontal="left" vertical="top" indent="1"/>
    </xf>
    <xf numFmtId="4" fontId="45" fillId="37" borderId="89" applyNumberFormat="0" applyProtection="0">
      <alignment horizontal="right" vertical="center"/>
    </xf>
    <xf numFmtId="0" fontId="108" fillId="101" borderId="89" applyNumberFormat="0" applyAlignment="0" applyProtection="0"/>
    <xf numFmtId="4" fontId="45" fillId="51" borderId="89" applyNumberFormat="0" applyProtection="0">
      <alignment horizontal="left" vertical="center" indent="1"/>
    </xf>
    <xf numFmtId="4" fontId="40" fillId="123" borderId="86" applyNumberFormat="0" applyProtection="0">
      <alignment vertical="center"/>
    </xf>
    <xf numFmtId="4" fontId="45" fillId="33" borderId="89" applyNumberFormat="0" applyProtection="0">
      <alignment vertical="center"/>
    </xf>
    <xf numFmtId="0" fontId="16" fillId="107" borderId="86" applyNumberFormat="0" applyProtection="0">
      <alignment horizontal="left" vertical="center" indent="1"/>
    </xf>
    <xf numFmtId="4" fontId="45" fillId="40" borderId="90" applyNumberFormat="0" applyProtection="0">
      <alignment horizontal="left" vertical="center" indent="1"/>
    </xf>
    <xf numFmtId="4" fontId="18" fillId="119" borderId="86" applyNumberFormat="0" applyProtection="0">
      <alignment horizontal="right" vertical="center"/>
    </xf>
    <xf numFmtId="0" fontId="16" fillId="107" borderId="86" applyNumberFormat="0" applyProtection="0">
      <alignment horizontal="left" vertical="center" indent="1"/>
    </xf>
    <xf numFmtId="4" fontId="45" fillId="39" borderId="89" applyNumberFormat="0" applyProtection="0">
      <alignment horizontal="right" vertical="center"/>
    </xf>
    <xf numFmtId="0" fontId="33" fillId="27" borderId="89" applyNumberFormat="0" applyAlignment="0" applyProtection="0"/>
    <xf numFmtId="4" fontId="18" fillId="112" borderId="86" applyNumberFormat="0" applyProtection="0">
      <alignment horizontal="right" vertical="center"/>
    </xf>
    <xf numFmtId="4" fontId="45" fillId="38" borderId="89" applyNumberFormat="0" applyProtection="0">
      <alignment horizontal="right" vertical="center"/>
    </xf>
    <xf numFmtId="4" fontId="45" fillId="106" borderId="89" applyNumberFormat="0" applyProtection="0">
      <alignment horizontal="left" vertical="center" indent="1"/>
    </xf>
    <xf numFmtId="4" fontId="45" fillId="36" borderId="89" applyNumberFormat="0" applyProtection="0">
      <alignment horizontal="right" vertical="center"/>
    </xf>
    <xf numFmtId="4" fontId="45" fillId="41" borderId="90" applyNumberFormat="0" applyProtection="0">
      <alignment horizontal="left" vertical="center" indent="1"/>
    </xf>
    <xf numFmtId="4" fontId="45" fillId="110" borderId="89" applyNumberFormat="0" applyProtection="0">
      <alignment horizontal="right" vertical="center"/>
    </xf>
    <xf numFmtId="4" fontId="45" fillId="2" borderId="90" applyNumberFormat="0" applyProtection="0">
      <alignment horizontal="left" vertical="center" indent="1"/>
    </xf>
    <xf numFmtId="4" fontId="45" fillId="39" borderId="89" applyNumberFormat="0" applyProtection="0">
      <alignment horizontal="right" vertical="center"/>
    </xf>
    <xf numFmtId="4" fontId="45" fillId="41" borderId="90" applyNumberFormat="0" applyProtection="0">
      <alignment horizontal="left" vertical="center" indent="1"/>
    </xf>
    <xf numFmtId="4" fontId="18" fillId="106" borderId="86" applyNumberFormat="0" applyProtection="0">
      <alignment horizontal="left" vertical="center" indent="1"/>
    </xf>
    <xf numFmtId="4" fontId="18" fillId="115" borderId="86" applyNumberFormat="0" applyProtection="0">
      <alignment horizontal="right" vertical="center"/>
    </xf>
    <xf numFmtId="4" fontId="18" fillId="106" borderId="86" applyNumberFormat="0" applyProtection="0">
      <alignment horizontal="left" vertical="center" indent="1"/>
    </xf>
    <xf numFmtId="4" fontId="45" fillId="38" borderId="89" applyNumberFormat="0" applyProtection="0">
      <alignment horizontal="right" vertical="center"/>
    </xf>
    <xf numFmtId="4" fontId="45" fillId="2" borderId="90" applyNumberFormat="0" applyProtection="0">
      <alignment horizontal="left" vertical="center" indent="1"/>
    </xf>
    <xf numFmtId="4" fontId="45" fillId="35" borderId="89" applyNumberFormat="0" applyProtection="0">
      <alignment horizontal="right" vertical="center"/>
    </xf>
    <xf numFmtId="0" fontId="45" fillId="2" borderId="87" applyNumberFormat="0" applyProtection="0">
      <alignment horizontal="left" vertical="top" indent="1"/>
    </xf>
    <xf numFmtId="4" fontId="45" fillId="7" borderId="89" applyNumberFormat="0" applyProtection="0">
      <alignment horizontal="right" vertical="center"/>
    </xf>
    <xf numFmtId="0" fontId="36" fillId="10" borderId="86" applyNumberFormat="0" applyAlignment="0" applyProtection="0"/>
    <xf numFmtId="4" fontId="45" fillId="51" borderId="89" applyNumberFormat="0" applyProtection="0">
      <alignment horizontal="left" vertical="center" indent="1"/>
    </xf>
    <xf numFmtId="4" fontId="45" fillId="40" borderId="90" applyNumberFormat="0" applyProtection="0">
      <alignment horizontal="left" vertical="center" indent="1"/>
    </xf>
    <xf numFmtId="0" fontId="45" fillId="41" borderId="87" applyNumberFormat="0" applyProtection="0">
      <alignment horizontal="left" vertical="top" indent="1"/>
    </xf>
    <xf numFmtId="4" fontId="45" fillId="37" borderId="89" applyNumberFormat="0" applyProtection="0">
      <alignment horizontal="right" vertical="center"/>
    </xf>
    <xf numFmtId="0" fontId="16" fillId="122" borderId="86" applyNumberFormat="0" applyProtection="0">
      <alignment horizontal="left" vertical="center" indent="1"/>
    </xf>
    <xf numFmtId="0" fontId="36" fillId="101" borderId="86" applyNumberFormat="0" applyAlignment="0" applyProtection="0"/>
    <xf numFmtId="0" fontId="109" fillId="10" borderId="84" applyNumberFormat="0" applyAlignment="0" applyProtection="0"/>
    <xf numFmtId="4" fontId="18" fillId="123" borderId="86" applyNumberFormat="0" applyProtection="0">
      <alignment horizontal="left" vertical="center" indent="1"/>
    </xf>
    <xf numFmtId="4" fontId="45" fillId="34" borderId="90" applyNumberFormat="0" applyProtection="0">
      <alignment horizontal="right" vertical="center"/>
    </xf>
    <xf numFmtId="4" fontId="18" fillId="46" borderId="86" applyNumberFormat="0" applyProtection="0">
      <alignment horizontal="left" vertical="center" indent="1"/>
    </xf>
    <xf numFmtId="4" fontId="120" fillId="10" borderId="87" applyNumberFormat="0" applyProtection="0">
      <alignment horizontal="left" vertical="center" indent="1"/>
    </xf>
    <xf numFmtId="4" fontId="45" fillId="41" borderId="90" applyNumberFormat="0" applyProtection="0">
      <alignment horizontal="left" vertical="center" indent="1"/>
    </xf>
    <xf numFmtId="0" fontId="45" fillId="41" borderId="89" applyNumberFormat="0" applyProtection="0">
      <alignment horizontal="left" vertical="center" indent="1"/>
    </xf>
    <xf numFmtId="4" fontId="122" fillId="42" borderId="90" applyNumberFormat="0" applyProtection="0">
      <alignment horizontal="left" vertical="center" indent="1"/>
    </xf>
    <xf numFmtId="4" fontId="45" fillId="51" borderId="89" applyNumberFormat="0" applyProtection="0">
      <alignment horizontal="left" vertical="center" indent="1"/>
    </xf>
    <xf numFmtId="0" fontId="16" fillId="107" borderId="86" applyNumberFormat="0" applyProtection="0">
      <alignment horizontal="left" vertical="center" indent="1"/>
    </xf>
    <xf numFmtId="0" fontId="45" fillId="124" borderId="94"/>
    <xf numFmtId="0" fontId="45" fillId="6" borderId="89" applyNumberFormat="0" applyProtection="0">
      <alignment horizontal="left" vertical="center" indent="1"/>
    </xf>
    <xf numFmtId="0" fontId="16" fillId="107" borderId="86" applyNumberFormat="0" applyProtection="0">
      <alignment horizontal="left" vertical="center" indent="1"/>
    </xf>
    <xf numFmtId="4" fontId="45" fillId="38" borderId="89" applyNumberFormat="0" applyProtection="0">
      <alignment horizontal="right" vertical="center"/>
    </xf>
    <xf numFmtId="4" fontId="45" fillId="2" borderId="89" applyNumberFormat="0" applyProtection="0">
      <alignment horizontal="right" vertical="center"/>
    </xf>
    <xf numFmtId="4" fontId="18" fillId="111" borderId="86" applyNumberFormat="0" applyProtection="0">
      <alignment horizontal="right" vertical="center"/>
    </xf>
    <xf numFmtId="4" fontId="45" fillId="35" borderId="89" applyNumberFormat="0" applyProtection="0">
      <alignment horizontal="right" vertical="center"/>
    </xf>
    <xf numFmtId="4" fontId="18" fillId="119" borderId="86" applyNumberFormat="0" applyProtection="0">
      <alignment horizontal="left" vertical="center" indent="1"/>
    </xf>
    <xf numFmtId="4" fontId="18" fillId="119" borderId="86" applyNumberFormat="0" applyProtection="0">
      <alignment horizontal="right" vertical="center"/>
    </xf>
    <xf numFmtId="0" fontId="18" fillId="4" borderId="85" applyNumberFormat="0" applyFont="0" applyAlignment="0" applyProtection="0"/>
    <xf numFmtId="0" fontId="45" fillId="6" borderId="87" applyNumberFormat="0" applyProtection="0">
      <alignment horizontal="left" vertical="top" indent="1"/>
    </xf>
    <xf numFmtId="0" fontId="27" fillId="0" borderId="93" applyNumberFormat="0" applyFill="0" applyAlignment="0" applyProtection="0"/>
    <xf numFmtId="0" fontId="45" fillId="10" borderId="89" applyNumberFormat="0" applyProtection="0">
      <alignment horizontal="left" vertical="center" indent="1"/>
    </xf>
    <xf numFmtId="4" fontId="18" fillId="117" borderId="86" applyNumberFormat="0" applyProtection="0">
      <alignment horizontal="right" vertical="center"/>
    </xf>
    <xf numFmtId="4" fontId="18" fillId="123" borderId="86" applyNumberFormat="0" applyProtection="0">
      <alignment vertical="center"/>
    </xf>
    <xf numFmtId="4" fontId="45" fillId="51" borderId="89" applyNumberFormat="0" applyProtection="0">
      <alignment horizontal="left" vertical="center" indent="1"/>
    </xf>
    <xf numFmtId="0" fontId="16" fillId="122" borderId="86" applyNumberFormat="0" applyProtection="0">
      <alignment horizontal="left" vertical="center" indent="1"/>
    </xf>
    <xf numFmtId="4" fontId="45" fillId="9" borderId="89" applyNumberFormat="0" applyProtection="0">
      <alignment horizontal="right" vertical="center"/>
    </xf>
    <xf numFmtId="4" fontId="18" fillId="114" borderId="86" applyNumberFormat="0" applyProtection="0">
      <alignment horizontal="right" vertical="center"/>
    </xf>
    <xf numFmtId="4" fontId="45" fillId="36" borderId="89" applyNumberFormat="0" applyProtection="0">
      <alignment horizontal="right" vertical="center"/>
    </xf>
    <xf numFmtId="4" fontId="45" fillId="34" borderId="90" applyNumberFormat="0" applyProtection="0">
      <alignment horizontal="right" vertical="center"/>
    </xf>
    <xf numFmtId="0" fontId="27" fillId="0" borderId="88" applyNumberFormat="0" applyFill="0" applyAlignment="0" applyProtection="0"/>
    <xf numFmtId="4" fontId="45" fillId="7" borderId="89" applyNumberFormat="0" applyProtection="0">
      <alignment horizontal="right" vertical="center"/>
    </xf>
    <xf numFmtId="4" fontId="45" fillId="40" borderId="90" applyNumberFormat="0" applyProtection="0">
      <alignment horizontal="left" vertical="center" indent="1"/>
    </xf>
    <xf numFmtId="4" fontId="45" fillId="110" borderId="89" applyNumberFormat="0" applyProtection="0">
      <alignment horizontal="right" vertical="center"/>
    </xf>
    <xf numFmtId="4" fontId="45" fillId="7" borderId="89" applyNumberFormat="0" applyProtection="0">
      <alignment horizontal="right" vertical="center"/>
    </xf>
    <xf numFmtId="4" fontId="45" fillId="51" borderId="89" applyNumberFormat="0" applyProtection="0">
      <alignment horizontal="left" vertical="center" indent="1"/>
    </xf>
    <xf numFmtId="4" fontId="45" fillId="110" borderId="89" applyNumberFormat="0" applyProtection="0">
      <alignment horizontal="right" vertical="center"/>
    </xf>
    <xf numFmtId="0" fontId="45" fillId="121" borderId="89" applyNumberFormat="0" applyProtection="0">
      <alignment horizontal="left" vertical="center" indent="1"/>
    </xf>
    <xf numFmtId="4" fontId="45" fillId="51" borderId="89" applyNumberFormat="0" applyProtection="0">
      <alignment horizontal="left" vertical="center" indent="1"/>
    </xf>
    <xf numFmtId="4" fontId="45" fillId="36" borderId="89" applyNumberFormat="0" applyProtection="0">
      <alignment horizontal="right" vertical="center"/>
    </xf>
    <xf numFmtId="4" fontId="45" fillId="2" borderId="89" applyNumberFormat="0" applyProtection="0">
      <alignment horizontal="right" vertical="center"/>
    </xf>
    <xf numFmtId="4" fontId="45" fillId="51" borderId="89" applyNumberFormat="0" applyProtection="0">
      <alignment horizontal="left" vertical="center" indent="1"/>
    </xf>
    <xf numFmtId="0" fontId="120" fillId="4" borderId="87" applyNumberFormat="0" applyProtection="0">
      <alignment horizontal="left" vertical="top" indent="1"/>
    </xf>
    <xf numFmtId="0" fontId="16" fillId="107" borderId="86" applyNumberFormat="0" applyProtection="0">
      <alignment horizontal="left" vertical="center" indent="1"/>
    </xf>
    <xf numFmtId="4" fontId="45" fillId="36" borderId="89" applyNumberFormat="0" applyProtection="0">
      <alignment horizontal="right" vertical="center"/>
    </xf>
    <xf numFmtId="4" fontId="45" fillId="35" borderId="89" applyNumberFormat="0" applyProtection="0">
      <alignment horizontal="right" vertical="center"/>
    </xf>
    <xf numFmtId="0" fontId="45" fillId="121" borderId="89" applyNumberFormat="0" applyProtection="0">
      <alignment horizontal="left" vertical="center" indent="1"/>
    </xf>
    <xf numFmtId="0" fontId="45" fillId="6" borderId="89" applyNumberFormat="0" applyProtection="0">
      <alignment horizontal="left" vertical="center" indent="1"/>
    </xf>
    <xf numFmtId="4" fontId="117" fillId="106" borderId="89" applyNumberFormat="0" applyProtection="0">
      <alignment vertical="center"/>
    </xf>
    <xf numFmtId="4" fontId="45" fillId="33" borderId="89" applyNumberFormat="0" applyProtection="0">
      <alignment vertical="center"/>
    </xf>
    <xf numFmtId="4" fontId="117" fillId="106" borderId="89" applyNumberFormat="0" applyProtection="0">
      <alignment vertical="center"/>
    </xf>
    <xf numFmtId="0" fontId="16" fillId="46" borderId="86" applyNumberFormat="0" applyProtection="0">
      <alignment horizontal="left" vertical="center" indent="1"/>
    </xf>
    <xf numFmtId="4" fontId="45" fillId="34" borderId="90" applyNumberFormat="0" applyProtection="0">
      <alignment horizontal="right" vertical="center"/>
    </xf>
    <xf numFmtId="4" fontId="45" fillId="106" borderId="89" applyNumberFormat="0" applyProtection="0">
      <alignment horizontal="left" vertical="center" indent="1"/>
    </xf>
    <xf numFmtId="4" fontId="16" fillId="8" borderId="90" applyNumberFormat="0" applyProtection="0">
      <alignment horizontal="left" vertical="center" indent="1"/>
    </xf>
    <xf numFmtId="0" fontId="45" fillId="6" borderId="89" applyNumberFormat="0" applyProtection="0">
      <alignment horizontal="left" vertical="center" indent="1"/>
    </xf>
    <xf numFmtId="4" fontId="16" fillId="8" borderId="90" applyNumberFormat="0" applyProtection="0">
      <alignment horizontal="left" vertical="center" indent="1"/>
    </xf>
    <xf numFmtId="0" fontId="16" fillId="46" borderId="86" applyNumberFormat="0" applyProtection="0">
      <alignment horizontal="left" vertical="center" indent="1"/>
    </xf>
    <xf numFmtId="0" fontId="16" fillId="107" borderId="86" applyNumberFormat="0" applyProtection="0">
      <alignment horizontal="left" vertical="center" indent="1"/>
    </xf>
    <xf numFmtId="4" fontId="18" fillId="106" borderId="86" applyNumberFormat="0" applyProtection="0">
      <alignment vertical="center"/>
    </xf>
    <xf numFmtId="4" fontId="45" fillId="36" borderId="89" applyNumberFormat="0" applyProtection="0">
      <alignment horizontal="right" vertical="center"/>
    </xf>
    <xf numFmtId="4" fontId="16" fillId="8" borderId="90" applyNumberFormat="0" applyProtection="0">
      <alignment horizontal="left" vertical="center" indent="1"/>
    </xf>
    <xf numFmtId="4" fontId="37" fillId="118" borderId="86" applyNumberFormat="0" applyProtection="0">
      <alignment horizontal="left" vertical="center" indent="1"/>
    </xf>
    <xf numFmtId="4" fontId="18" fillId="116" borderId="86" applyNumberFormat="0" applyProtection="0">
      <alignment horizontal="right" vertical="center"/>
    </xf>
    <xf numFmtId="4" fontId="18" fillId="106" borderId="86" applyNumberFormat="0" applyProtection="0">
      <alignment vertical="center"/>
    </xf>
    <xf numFmtId="4" fontId="40" fillId="123" borderId="86" applyNumberFormat="0" applyProtection="0">
      <alignment vertical="center"/>
    </xf>
    <xf numFmtId="4" fontId="40" fillId="119" borderId="86" applyNumberFormat="0" applyProtection="0">
      <alignment horizontal="right" vertical="center"/>
    </xf>
    <xf numFmtId="4" fontId="18" fillId="114" borderId="86" applyNumberFormat="0" applyProtection="0">
      <alignment horizontal="right" vertical="center"/>
    </xf>
    <xf numFmtId="0" fontId="18" fillId="4" borderId="85" applyNumberFormat="0" applyFont="0" applyAlignment="0" applyProtection="0"/>
    <xf numFmtId="4" fontId="18" fillId="108" borderId="86" applyNumberFormat="0" applyProtection="0">
      <alignment horizontal="right" vertical="center"/>
    </xf>
    <xf numFmtId="4" fontId="45" fillId="9" borderId="89" applyNumberFormat="0" applyProtection="0">
      <alignment horizontal="right" vertical="center"/>
    </xf>
    <xf numFmtId="4" fontId="123" fillId="5" borderId="89" applyNumberFormat="0" applyProtection="0">
      <alignment horizontal="right" vertical="center"/>
    </xf>
    <xf numFmtId="0" fontId="16" fillId="122" borderId="86" applyNumberFormat="0" applyProtection="0">
      <alignment horizontal="left" vertical="center" indent="1"/>
    </xf>
    <xf numFmtId="0" fontId="45" fillId="41" borderId="89" applyNumberFormat="0" applyProtection="0">
      <alignment horizontal="left" vertical="center" indent="1"/>
    </xf>
    <xf numFmtId="0" fontId="45" fillId="121" borderId="89" applyNumberFormat="0" applyProtection="0">
      <alignment horizontal="left" vertical="center" indent="1"/>
    </xf>
    <xf numFmtId="4" fontId="45" fillId="34" borderId="90" applyNumberFormat="0" applyProtection="0">
      <alignment horizontal="right" vertical="center"/>
    </xf>
    <xf numFmtId="4" fontId="45" fillId="106" borderId="89" applyNumberFormat="0" applyProtection="0">
      <alignment horizontal="left" vertical="center" indent="1"/>
    </xf>
    <xf numFmtId="0" fontId="45" fillId="8" borderId="87" applyNumberFormat="0" applyProtection="0">
      <alignment horizontal="left" vertical="top" indent="1"/>
    </xf>
    <xf numFmtId="4" fontId="45" fillId="34" borderId="90" applyNumberFormat="0" applyProtection="0">
      <alignment horizontal="right" vertical="center"/>
    </xf>
    <xf numFmtId="4" fontId="45" fillId="2" borderId="90" applyNumberFormat="0" applyProtection="0">
      <alignment horizontal="left" vertical="center" indent="1"/>
    </xf>
    <xf numFmtId="4" fontId="45" fillId="40" borderId="90" applyNumberFormat="0" applyProtection="0">
      <alignment horizontal="left" vertical="center" indent="1"/>
    </xf>
    <xf numFmtId="4" fontId="45" fillId="2" borderId="89" applyNumberFormat="0" applyProtection="0">
      <alignment horizontal="right" vertical="center"/>
    </xf>
    <xf numFmtId="0" fontId="45" fillId="8" borderId="87" applyNumberFormat="0" applyProtection="0">
      <alignment horizontal="left" vertical="top" indent="1"/>
    </xf>
    <xf numFmtId="4" fontId="45" fillId="38" borderId="89" applyNumberFormat="0" applyProtection="0">
      <alignment horizontal="right" vertical="center"/>
    </xf>
    <xf numFmtId="0" fontId="45" fillId="121" borderId="89" applyNumberFormat="0" applyProtection="0">
      <alignment horizontal="left" vertical="center" indent="1"/>
    </xf>
    <xf numFmtId="0" fontId="115" fillId="11" borderId="84" applyNumberFormat="0" applyAlignment="0" applyProtection="0"/>
    <xf numFmtId="4" fontId="18" fillId="123" borderId="86" applyNumberFormat="0" applyProtection="0">
      <alignment horizontal="left" vertical="center" indent="1"/>
    </xf>
    <xf numFmtId="4" fontId="120" fillId="4" borderId="87" applyNumberFormat="0" applyProtection="0">
      <alignment vertical="center"/>
    </xf>
    <xf numFmtId="4" fontId="120" fillId="4" borderId="87" applyNumberFormat="0" applyProtection="0">
      <alignment vertical="center"/>
    </xf>
    <xf numFmtId="0" fontId="45" fillId="6" borderId="87" applyNumberFormat="0" applyProtection="0">
      <alignment horizontal="left" vertical="top" indent="1"/>
    </xf>
    <xf numFmtId="4" fontId="45" fillId="110" borderId="89" applyNumberFormat="0" applyProtection="0">
      <alignment horizontal="right" vertical="center"/>
    </xf>
    <xf numFmtId="4" fontId="45" fillId="2" borderId="90" applyNumberFormat="0" applyProtection="0">
      <alignment horizontal="left" vertical="center" indent="1"/>
    </xf>
    <xf numFmtId="0" fontId="45" fillId="10" borderId="89" applyNumberFormat="0" applyProtection="0">
      <alignment horizontal="left" vertical="center" indent="1"/>
    </xf>
    <xf numFmtId="4" fontId="18" fillId="119" borderId="86" applyNumberFormat="0" applyProtection="0">
      <alignment horizontal="left" vertical="center" indent="1"/>
    </xf>
    <xf numFmtId="4" fontId="45" fillId="9" borderId="89" applyNumberFormat="0" applyProtection="0">
      <alignment horizontal="right" vertical="center"/>
    </xf>
    <xf numFmtId="4" fontId="45" fillId="2" borderId="89" applyNumberFormat="0" applyProtection="0">
      <alignment horizontal="right" vertical="center"/>
    </xf>
    <xf numFmtId="0" fontId="45" fillId="41" borderId="89" applyNumberFormat="0" applyProtection="0">
      <alignment horizontal="left" vertical="center" indent="1"/>
    </xf>
    <xf numFmtId="4" fontId="117" fillId="43" borderId="89" applyNumberFormat="0" applyProtection="0">
      <alignment horizontal="right" vertical="center"/>
    </xf>
    <xf numFmtId="4" fontId="45" fillId="2" borderId="89" applyNumberFormat="0" applyProtection="0">
      <alignment horizontal="right" vertical="center"/>
    </xf>
    <xf numFmtId="4" fontId="45" fillId="0" borderId="89" applyNumberFormat="0" applyProtection="0">
      <alignment horizontal="right" vertical="center"/>
    </xf>
    <xf numFmtId="0" fontId="16" fillId="45" borderId="86" applyNumberFormat="0" applyProtection="0">
      <alignment horizontal="left" vertical="center" indent="1"/>
    </xf>
    <xf numFmtId="4" fontId="18" fillId="111" borderId="86" applyNumberFormat="0" applyProtection="0">
      <alignment horizontal="right" vertical="center"/>
    </xf>
    <xf numFmtId="0" fontId="16" fillId="107" borderId="86" applyNumberFormat="0" applyProtection="0">
      <alignment horizontal="left" vertical="center" indent="1"/>
    </xf>
    <xf numFmtId="4" fontId="18" fillId="106" borderId="86" applyNumberFormat="0" applyProtection="0">
      <alignment vertical="center"/>
    </xf>
    <xf numFmtId="4" fontId="45" fillId="39" borderId="89" applyNumberFormat="0" applyProtection="0">
      <alignment horizontal="right" vertical="center"/>
    </xf>
    <xf numFmtId="0" fontId="33" fillId="27" borderId="89" applyNumberFormat="0" applyAlignment="0" applyProtection="0"/>
    <xf numFmtId="0" fontId="45" fillId="41" borderId="89" applyNumberFormat="0" applyProtection="0">
      <alignment horizontal="left" vertical="center" indent="1"/>
    </xf>
    <xf numFmtId="4" fontId="18" fillId="115" borderId="86" applyNumberFormat="0" applyProtection="0">
      <alignment horizontal="right" vertical="center"/>
    </xf>
    <xf numFmtId="4" fontId="45" fillId="9" borderId="89" applyNumberFormat="0" applyProtection="0">
      <alignment horizontal="right" vertical="center"/>
    </xf>
    <xf numFmtId="4" fontId="45" fillId="39" borderId="89" applyNumberFormat="0" applyProtection="0">
      <alignment horizontal="right" vertical="center"/>
    </xf>
    <xf numFmtId="0" fontId="16" fillId="107" borderId="86" applyNumberFormat="0" applyProtection="0">
      <alignment horizontal="left" vertical="center" indent="1"/>
    </xf>
    <xf numFmtId="4" fontId="18" fillId="109" borderId="86" applyNumberFormat="0" applyProtection="0">
      <alignment horizontal="right" vertical="center"/>
    </xf>
    <xf numFmtId="4" fontId="45" fillId="0" borderId="89" applyNumberFormat="0" applyProtection="0">
      <alignment horizontal="right" vertical="center"/>
    </xf>
    <xf numFmtId="4" fontId="45" fillId="110" borderId="89" applyNumberFormat="0" applyProtection="0">
      <alignment horizontal="right" vertical="center"/>
    </xf>
    <xf numFmtId="4" fontId="18" fillId="106" borderId="86" applyNumberFormat="0" applyProtection="0">
      <alignment horizontal="left" vertical="center" indent="1"/>
    </xf>
    <xf numFmtId="4" fontId="45" fillId="51" borderId="89" applyNumberFormat="0" applyProtection="0">
      <alignment horizontal="left" vertical="center" indent="1"/>
    </xf>
    <xf numFmtId="0" fontId="16" fillId="122" borderId="86" applyNumberFormat="0" applyProtection="0">
      <alignment horizontal="left" vertical="center" indent="1"/>
    </xf>
    <xf numFmtId="4" fontId="18" fillId="123" borderId="86" applyNumberFormat="0" applyProtection="0">
      <alignment horizontal="left" vertical="center" indent="1"/>
    </xf>
    <xf numFmtId="4" fontId="45" fillId="7" borderId="89" applyNumberFormat="0" applyProtection="0">
      <alignment horizontal="right" vertical="center"/>
    </xf>
    <xf numFmtId="0" fontId="115" fillId="11" borderId="84" applyNumberFormat="0" applyAlignment="0" applyProtection="0"/>
    <xf numFmtId="4" fontId="117" fillId="43" borderId="89" applyNumberFormat="0" applyProtection="0">
      <alignment horizontal="right" vertical="center"/>
    </xf>
    <xf numFmtId="4" fontId="45" fillId="110" borderId="89" applyNumberFormat="0" applyProtection="0">
      <alignment horizontal="right" vertical="center"/>
    </xf>
    <xf numFmtId="0" fontId="16" fillId="45" borderId="86" applyNumberFormat="0" applyProtection="0">
      <alignment horizontal="left" vertical="center" indent="1"/>
    </xf>
    <xf numFmtId="0" fontId="119" fillId="8" borderId="92" applyBorder="0"/>
    <xf numFmtId="0" fontId="45" fillId="6" borderId="89" applyNumberFormat="0" applyProtection="0">
      <alignment horizontal="left" vertical="center" indent="1"/>
    </xf>
    <xf numFmtId="4" fontId="18" fillId="116" borderId="86" applyNumberFormat="0" applyProtection="0">
      <alignment horizontal="right" vertical="center"/>
    </xf>
    <xf numFmtId="4" fontId="45" fillId="36" borderId="89" applyNumberFormat="0" applyProtection="0">
      <alignment horizontal="right" vertical="center"/>
    </xf>
    <xf numFmtId="4" fontId="45" fillId="9" borderId="89" applyNumberFormat="0" applyProtection="0">
      <alignment horizontal="right" vertical="center"/>
    </xf>
    <xf numFmtId="4" fontId="45" fillId="38" borderId="89" applyNumberFormat="0" applyProtection="0">
      <alignment horizontal="right" vertical="center"/>
    </xf>
    <xf numFmtId="4" fontId="120" fillId="10" borderId="87" applyNumberFormat="0" applyProtection="0">
      <alignment horizontal="left" vertical="center" indent="1"/>
    </xf>
    <xf numFmtId="4" fontId="45" fillId="7" borderId="89" applyNumberFormat="0" applyProtection="0">
      <alignment horizontal="right" vertical="center"/>
    </xf>
    <xf numFmtId="4" fontId="45" fillId="33" borderId="89" applyNumberFormat="0" applyProtection="0">
      <alignment vertical="center"/>
    </xf>
    <xf numFmtId="4" fontId="18" fillId="123" borderId="86" applyNumberFormat="0" applyProtection="0">
      <alignment horizontal="left" vertical="center" indent="1"/>
    </xf>
    <xf numFmtId="4" fontId="45" fillId="106" borderId="89" applyNumberFormat="0" applyProtection="0">
      <alignment horizontal="left" vertical="center" indent="1"/>
    </xf>
    <xf numFmtId="0" fontId="45" fillId="10" borderId="89" applyNumberFormat="0" applyProtection="0">
      <alignment horizontal="left" vertical="center" indent="1"/>
    </xf>
    <xf numFmtId="4" fontId="45" fillId="41" borderId="90" applyNumberFormat="0" applyProtection="0">
      <alignment horizontal="left" vertical="center" indent="1"/>
    </xf>
    <xf numFmtId="4" fontId="18" fillId="113" borderId="86" applyNumberFormat="0" applyProtection="0">
      <alignment horizontal="right" vertical="center"/>
    </xf>
    <xf numFmtId="4" fontId="45" fillId="35" borderId="89" applyNumberFormat="0" applyProtection="0">
      <alignment horizontal="right" vertical="center"/>
    </xf>
    <xf numFmtId="4" fontId="16" fillId="8" borderId="90" applyNumberFormat="0" applyProtection="0">
      <alignment horizontal="left" vertical="center" indent="1"/>
    </xf>
    <xf numFmtId="0" fontId="16" fillId="45" borderId="86" applyNumberFormat="0" applyProtection="0">
      <alignment horizontal="left" vertical="center" indent="1"/>
    </xf>
    <xf numFmtId="4" fontId="45" fillId="39" borderId="89" applyNumberFormat="0" applyProtection="0">
      <alignment horizontal="right" vertical="center"/>
    </xf>
    <xf numFmtId="4" fontId="45" fillId="2" borderId="90" applyNumberFormat="0" applyProtection="0">
      <alignment horizontal="left" vertical="center" indent="1"/>
    </xf>
    <xf numFmtId="4" fontId="42" fillId="119" borderId="86" applyNumberFormat="0" applyProtection="0">
      <alignment horizontal="right" vertical="center"/>
    </xf>
    <xf numFmtId="4" fontId="45" fillId="2" borderId="90" applyNumberFormat="0" applyProtection="0">
      <alignment horizontal="left" vertical="center" indent="1"/>
    </xf>
    <xf numFmtId="4" fontId="45" fillId="106" borderId="89" applyNumberFormat="0" applyProtection="0">
      <alignment horizontal="left" vertical="center" indent="1"/>
    </xf>
    <xf numFmtId="4" fontId="18" fillId="106" borderId="86" applyNumberFormat="0" applyProtection="0">
      <alignment vertical="center"/>
    </xf>
    <xf numFmtId="4" fontId="45" fillId="106" borderId="89" applyNumberFormat="0" applyProtection="0">
      <alignment horizontal="left" vertical="center" indent="1"/>
    </xf>
    <xf numFmtId="0" fontId="45" fillId="26" borderId="89" applyNumberFormat="0" applyFont="0" applyAlignment="0" applyProtection="0"/>
    <xf numFmtId="0" fontId="109" fillId="10" borderId="84" applyNumberFormat="0" applyAlignment="0" applyProtection="0"/>
    <xf numFmtId="4" fontId="45" fillId="7" borderId="89" applyNumberFormat="0" applyProtection="0">
      <alignment horizontal="right" vertical="center"/>
    </xf>
    <xf numFmtId="0" fontId="118" fillId="33" borderId="87" applyNumberFormat="0" applyProtection="0">
      <alignment horizontal="left" vertical="top" indent="1"/>
    </xf>
    <xf numFmtId="4" fontId="45" fillId="33" borderId="89" applyNumberFormat="0" applyProtection="0">
      <alignment vertical="center"/>
    </xf>
    <xf numFmtId="0" fontId="108" fillId="101" borderId="89" applyNumberFormat="0" applyAlignment="0" applyProtection="0"/>
    <xf numFmtId="4" fontId="122" fillId="42" borderId="90" applyNumberFormat="0" applyProtection="0">
      <alignment horizontal="left" vertical="center" indent="1"/>
    </xf>
    <xf numFmtId="0" fontId="45" fillId="124" borderId="94"/>
    <xf numFmtId="0" fontId="120" fillId="2" borderId="87" applyNumberFormat="0" applyProtection="0">
      <alignment horizontal="left" vertical="top" indent="1"/>
    </xf>
    <xf numFmtId="4" fontId="42" fillId="119" borderId="86" applyNumberFormat="0" applyProtection="0">
      <alignment horizontal="right" vertical="center"/>
    </xf>
    <xf numFmtId="4" fontId="45" fillId="0" borderId="89" applyNumberFormat="0" applyProtection="0">
      <alignment horizontal="right" vertical="center"/>
    </xf>
    <xf numFmtId="0" fontId="16" fillId="107" borderId="86" applyNumberFormat="0" applyProtection="0">
      <alignment horizontal="left" vertical="center" indent="1"/>
    </xf>
    <xf numFmtId="4" fontId="45" fillId="0" borderId="89" applyNumberFormat="0" applyProtection="0">
      <alignment horizontal="right" vertical="center"/>
    </xf>
    <xf numFmtId="4" fontId="45" fillId="51" borderId="89" applyNumberFormat="0" applyProtection="0">
      <alignment horizontal="left" vertical="center" indent="1"/>
    </xf>
    <xf numFmtId="4" fontId="40" fillId="119" borderId="86" applyNumberFormat="0" applyProtection="0">
      <alignment horizontal="right" vertical="center"/>
    </xf>
    <xf numFmtId="0" fontId="36" fillId="101" borderId="86" applyNumberFormat="0" applyAlignment="0" applyProtection="0"/>
    <xf numFmtId="0" fontId="45" fillId="26" borderId="89" applyNumberFormat="0" applyFont="0" applyAlignment="0" applyProtection="0"/>
    <xf numFmtId="0" fontId="18" fillId="4" borderId="8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5" fillId="0" borderId="0" applyFont="0" applyFill="0" applyBorder="0" applyAlignment="0" applyProtection="0"/>
    <xf numFmtId="0" fontId="1" fillId="0" borderId="0"/>
  </cellStyleXfs>
  <cellXfs count="714">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11" xfId="67" applyFont="1" applyBorder="1" applyAlignment="1">
      <alignment horizontal="center"/>
    </xf>
    <xf numFmtId="175" fontId="37" fillId="0" borderId="0" xfId="67" applyFont="1" applyAlignment="1">
      <alignment horizontal="center"/>
    </xf>
    <xf numFmtId="175" fontId="17" fillId="0" borderId="36" xfId="66" applyFont="1" applyBorder="1"/>
    <xf numFmtId="175" fontId="17" fillId="0" borderId="38"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7" xfId="66" applyFont="1" applyBorder="1" applyAlignment="1">
      <alignment horizontal="center"/>
    </xf>
    <xf numFmtId="175" fontId="17" fillId="0" borderId="37" xfId="66" applyFont="1" applyBorder="1" applyAlignment="1">
      <alignment horizontal="center"/>
    </xf>
    <xf numFmtId="175" fontId="16" fillId="0" borderId="37" xfId="66" applyBorder="1"/>
    <xf numFmtId="164" fontId="16" fillId="0" borderId="0" xfId="66" applyNumberFormat="1"/>
    <xf numFmtId="175" fontId="17" fillId="0" borderId="37" xfId="66" applyFont="1" applyBorder="1"/>
    <xf numFmtId="164" fontId="16" fillId="0" borderId="0" xfId="66" applyNumberFormat="1" applyAlignment="1">
      <alignment horizontal="right"/>
    </xf>
    <xf numFmtId="175" fontId="17" fillId="0" borderId="37" xfId="66" applyFont="1" applyBorder="1" applyAlignment="1">
      <alignment horizontal="left" indent="1"/>
    </xf>
    <xf numFmtId="175" fontId="17" fillId="0" borderId="37" xfId="66" applyFont="1" applyBorder="1" applyAlignment="1">
      <alignment horizontal="center" wrapText="1"/>
    </xf>
    <xf numFmtId="175" fontId="17" fillId="0" borderId="36" xfId="66" applyFont="1" applyBorder="1" applyAlignment="1">
      <alignment horizontal="left" inden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11" xfId="0" applyFont="1" applyBorder="1" applyAlignment="1">
      <alignment horizontal="center" wrapText="1"/>
    </xf>
    <xf numFmtId="175" fontId="18" fillId="0" borderId="11" xfId="0" applyFont="1" applyBorder="1"/>
    <xf numFmtId="172" fontId="18" fillId="0" borderId="11" xfId="0" applyNumberFormat="1" applyFont="1" applyBorder="1"/>
    <xf numFmtId="172" fontId="18" fillId="0" borderId="11" xfId="46" applyNumberFormat="1" applyFont="1" applyBorder="1" applyAlignment="1">
      <alignment horizontal="right"/>
    </xf>
    <xf numFmtId="166" fontId="18" fillId="0" borderId="11" xfId="46" applyNumberFormat="1" applyFont="1" applyBorder="1" applyAlignment="1">
      <alignment horizontal="right"/>
    </xf>
    <xf numFmtId="172" fontId="37" fillId="0" borderId="11" xfId="46" applyNumberFormat="1" applyFont="1" applyBorder="1" applyAlignment="1">
      <alignment horizontal="right" wrapText="1"/>
    </xf>
    <xf numFmtId="166" fontId="37" fillId="0" borderId="11" xfId="0" applyNumberFormat="1" applyFont="1" applyBorder="1"/>
    <xf numFmtId="166" fontId="18" fillId="0" borderId="11" xfId="46" applyNumberFormat="1" applyFont="1" applyBorder="1" applyAlignment="1">
      <alignment horizontal="right" wrapText="1"/>
    </xf>
    <xf numFmtId="166" fontId="18" fillId="0" borderId="11" xfId="0" applyNumberFormat="1" applyFont="1" applyBorder="1"/>
    <xf numFmtId="166" fontId="37" fillId="0" borderId="11" xfId="0" applyNumberFormat="1" applyFont="1" applyBorder="1" applyAlignment="1">
      <alignment horizontal="center" wrapText="1"/>
    </xf>
    <xf numFmtId="166" fontId="37" fillId="0" borderId="11" xfId="0" applyNumberFormat="1" applyFont="1" applyBorder="1" applyAlignment="1">
      <alignment horizontal="center"/>
    </xf>
    <xf numFmtId="172" fontId="37" fillId="0" borderId="11" xfId="0" applyNumberFormat="1" applyFont="1" applyBorder="1"/>
    <xf numFmtId="166" fontId="37" fillId="0" borderId="11" xfId="46" applyNumberFormat="1" applyFont="1" applyBorder="1" applyAlignment="1">
      <alignment horizontal="right"/>
    </xf>
    <xf numFmtId="166" fontId="18" fillId="0" borderId="11" xfId="0" quotePrefix="1" applyNumberFormat="1" applyFont="1" applyBorder="1" applyAlignment="1">
      <alignment horizontal="center"/>
    </xf>
    <xf numFmtId="166" fontId="18" fillId="0" borderId="11" xfId="46" applyNumberFormat="1" applyFont="1" applyBorder="1" applyAlignment="1">
      <alignment horizontal="center"/>
    </xf>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1" xfId="0" applyFont="1" applyBorder="1" applyProtection="1">
      <protection locked="0"/>
    </xf>
    <xf numFmtId="175" fontId="18" fillId="0" borderId="11" xfId="0" applyFont="1" applyBorder="1" applyAlignment="1" applyProtection="1">
      <alignment wrapText="1" shrinkToFit="1"/>
      <protection locked="0"/>
    </xf>
    <xf numFmtId="175" fontId="37" fillId="0" borderId="11" xfId="0" applyFont="1" applyBorder="1" applyProtection="1">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2" fontId="18" fillId="0" borderId="11" xfId="0" quotePrefix="1" applyNumberFormat="1" applyFont="1" applyBorder="1" applyAlignment="1">
      <alignment horizontal="center"/>
    </xf>
    <xf numFmtId="172" fontId="18" fillId="0" borderId="11" xfId="0" quotePrefix="1" applyNumberFormat="1" applyFont="1" applyBorder="1" applyAlignment="1">
      <alignment horizontal="right"/>
    </xf>
    <xf numFmtId="38" fontId="18" fillId="0" borderId="11" xfId="0" applyNumberFormat="1" applyFont="1" applyBorder="1"/>
    <xf numFmtId="165" fontId="37" fillId="0" borderId="11" xfId="0" applyNumberFormat="1" applyFont="1" applyBorder="1"/>
    <xf numFmtId="172" fontId="37" fillId="0" borderId="11" xfId="46" applyNumberFormat="1" applyFont="1" applyBorder="1" applyAlignment="1">
      <alignment horizontal="right"/>
    </xf>
    <xf numFmtId="170" fontId="18" fillId="0" borderId="11" xfId="46" applyNumberFormat="1" applyFont="1" applyBorder="1" applyAlignment="1">
      <alignment horizontal="right"/>
    </xf>
    <xf numFmtId="169" fontId="37" fillId="0" borderId="11" xfId="46" applyNumberFormat="1" applyFont="1" applyBorder="1" applyAlignment="1">
      <alignment horizontal="right"/>
    </xf>
    <xf numFmtId="166" fontId="37" fillId="0" borderId="11" xfId="46" applyNumberFormat="1" applyFont="1" applyBorder="1" applyAlignment="1">
      <alignment horizontal="right" wrapText="1"/>
    </xf>
    <xf numFmtId="166" fontId="18" fillId="0" borderId="11" xfId="0" quotePrefix="1" applyNumberFormat="1" applyFont="1" applyBorder="1" applyAlignment="1">
      <alignment horizontal="right"/>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38" fontId="56" fillId="0" borderId="11" xfId="146" applyNumberFormat="1" applyFont="1" applyBorder="1" applyAlignment="1" applyProtection="1">
      <alignment horizontal="center"/>
      <protection locked="0"/>
    </xf>
    <xf numFmtId="175" fontId="37" fillId="0" borderId="11" xfId="0" applyFont="1" applyBorder="1" applyAlignment="1" applyProtection="1">
      <alignment horizontal="center" wrapText="1"/>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175" fontId="17" fillId="0" borderId="11" xfId="66" applyFont="1" applyBorder="1" applyAlignment="1" applyProtection="1">
      <alignment horizontal="center" wrapText="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18" fillId="0" borderId="11" xfId="67" applyBorder="1" applyProtection="1">
      <protection locked="0"/>
    </xf>
    <xf numFmtId="175" fontId="37" fillId="0" borderId="11" xfId="67" applyFont="1" applyBorder="1"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175" fontId="37" fillId="48" borderId="11" xfId="0" applyFont="1" applyFill="1" applyBorder="1" applyAlignment="1" applyProtection="1">
      <alignment horizontal="center" vertical="center"/>
      <protection locked="0"/>
    </xf>
    <xf numFmtId="175" fontId="18" fillId="0" borderId="11" xfId="0" applyFont="1" applyBorder="1" applyAlignment="1" applyProtection="1">
      <alignment horizontal="left"/>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1"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40"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8" fillId="47" borderId="0" xfId="67" applyFill="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2" xfId="66" applyNumberFormat="1" applyBorder="1" applyProtection="1">
      <protection locked="0"/>
    </xf>
    <xf numFmtId="175" fontId="54" fillId="47" borderId="0" xfId="0" applyFont="1" applyFill="1" applyAlignment="1">
      <alignment horizontal="center"/>
    </xf>
    <xf numFmtId="175" fontId="17" fillId="0" borderId="42"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7" fillId="0" borderId="36" xfId="66" quotePrefix="1" applyFont="1" applyBorder="1" applyAlignment="1">
      <alignment horizontal="left" wrapText="1" indent="1"/>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4" borderId="37" xfId="66" applyFont="1" applyFill="1" applyBorder="1" applyAlignment="1">
      <alignment horizontal="center"/>
    </xf>
    <xf numFmtId="175" fontId="68" fillId="43" borderId="0" xfId="66" applyFont="1" applyFill="1" applyAlignment="1">
      <alignment horizontal="center"/>
    </xf>
    <xf numFmtId="175" fontId="68" fillId="0" borderId="37" xfId="66" applyFont="1" applyBorder="1" applyAlignment="1">
      <alignment horizontal="center"/>
    </xf>
    <xf numFmtId="164" fontId="69" fillId="0" borderId="0" xfId="66" applyNumberFormat="1" applyFont="1"/>
    <xf numFmtId="175" fontId="69" fillId="0" borderId="0" xfId="66" applyFont="1"/>
    <xf numFmtId="175" fontId="68" fillId="0" borderId="36" xfId="66" applyFont="1" applyBorder="1" applyAlignment="1">
      <alignment wrapText="1"/>
    </xf>
    <xf numFmtId="43" fontId="16" fillId="0" borderId="19" xfId="0" applyNumberFormat="1" applyFont="1" applyBorder="1" applyAlignment="1">
      <alignment horizontal="right"/>
    </xf>
    <xf numFmtId="175" fontId="16" fillId="47" borderId="13" xfId="0" applyFont="1" applyFill="1" applyBorder="1"/>
    <xf numFmtId="6" fontId="37" fillId="0" borderId="11" xfId="67" applyNumberFormat="1" applyFont="1" applyBorder="1" applyAlignment="1" applyProtection="1">
      <alignment horizontal="center"/>
      <protection locked="0"/>
    </xf>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6" fillId="0" borderId="0" xfId="522"/>
    <xf numFmtId="0" fontId="53" fillId="47" borderId="0" xfId="520" applyFont="1" applyFill="1"/>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3" fontId="16" fillId="0" borderId="11" xfId="0" applyNumberFormat="1" applyFont="1" applyBorder="1" applyAlignment="1">
      <alignment horizontal="left" vertical="center" wrapText="1"/>
    </xf>
    <xf numFmtId="175" fontId="37" fillId="0" borderId="11" xfId="0" applyFont="1" applyBorder="1" applyAlignment="1" applyProtection="1">
      <alignment horizontal="left"/>
      <protection locked="0"/>
    </xf>
    <xf numFmtId="175" fontId="37" fillId="47" borderId="11" xfId="0" applyFont="1" applyFill="1" applyBorder="1" applyAlignment="1" applyProtection="1">
      <alignment horizontal="left"/>
      <protection locked="0"/>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6" xfId="66" applyBorder="1" applyProtection="1">
      <protection locked="0"/>
    </xf>
    <xf numFmtId="175" fontId="16" fillId="0" borderId="47" xfId="66" applyBorder="1" applyProtection="1">
      <protection locked="0"/>
    </xf>
    <xf numFmtId="175" fontId="17" fillId="0" borderId="48"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68" fillId="0" borderId="43" xfId="66" applyFont="1" applyBorder="1"/>
    <xf numFmtId="175" fontId="17" fillId="0" borderId="45" xfId="66" applyFont="1" applyBorder="1" applyAlignment="1">
      <alignment horizontal="center"/>
    </xf>
    <xf numFmtId="175" fontId="17" fillId="0" borderId="45" xfId="66" applyFont="1" applyBorder="1" applyAlignment="1">
      <alignment horizontal="left"/>
    </xf>
    <xf numFmtId="175" fontId="16" fillId="0" borderId="45" xfId="66" applyBorder="1"/>
    <xf numFmtId="175" fontId="17" fillId="0" borderId="45" xfId="66" applyFont="1" applyBorder="1"/>
    <xf numFmtId="175" fontId="17" fillId="0" borderId="45" xfId="66" applyFont="1" applyBorder="1" applyAlignment="1">
      <alignment horizontal="left" indent="1"/>
    </xf>
    <xf numFmtId="175" fontId="17" fillId="0" borderId="45" xfId="66" applyFont="1" applyBorder="1" applyAlignment="1">
      <alignment horizontal="center" wrapText="1"/>
    </xf>
    <xf numFmtId="175" fontId="17" fillId="0" borderId="50" xfId="66" applyFont="1" applyBorder="1" applyAlignment="1">
      <alignment wrapText="1"/>
    </xf>
    <xf numFmtId="175" fontId="65" fillId="0" borderId="0" xfId="66" applyFont="1" applyProtection="1">
      <protection locked="0"/>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0" fontId="18" fillId="0" borderId="11" xfId="67" applyNumberFormat="1" applyBorder="1" applyAlignment="1">
      <alignment horizontal="center" vertical="center" wrapText="1"/>
    </xf>
    <xf numFmtId="6" fontId="18" fillId="0" borderId="11" xfId="67" applyNumberFormat="1" applyBorder="1" applyAlignment="1">
      <alignment horizontal="center" vertical="center" wrapText="1"/>
    </xf>
    <xf numFmtId="175" fontId="18" fillId="0" borderId="11" xfId="67" applyBorder="1" applyAlignment="1">
      <alignment horizontal="left" vertical="center" wrapText="1"/>
    </xf>
    <xf numFmtId="14" fontId="18" fillId="0" borderId="11" xfId="67" applyNumberFormat="1" applyBorder="1" applyAlignment="1">
      <alignment horizontal="center" vertical="center" wrapText="1"/>
    </xf>
    <xf numFmtId="175" fontId="37" fillId="0" borderId="0" xfId="67" applyFont="1" applyAlignment="1">
      <alignment horizontal="center" vertical="center"/>
    </xf>
    <xf numFmtId="0" fontId="18" fillId="0" borderId="11" xfId="67" applyNumberFormat="1" applyBorder="1" applyAlignment="1" applyProtection="1">
      <alignment horizontal="center" vertical="center"/>
      <protection locked="0"/>
    </xf>
    <xf numFmtId="6" fontId="18" fillId="0" borderId="11" xfId="67" applyNumberFormat="1" applyBorder="1" applyAlignment="1" applyProtection="1">
      <alignment horizontal="center" vertical="center"/>
      <protection locked="0"/>
    </xf>
    <xf numFmtId="175" fontId="18" fillId="0" borderId="0" xfId="67" applyAlignment="1" applyProtection="1">
      <alignment vertical="center"/>
      <protection locked="0"/>
    </xf>
    <xf numFmtId="175" fontId="18" fillId="0" borderId="11" xfId="67" applyBorder="1" applyAlignment="1">
      <alignment horizontal="center" vertical="center" wrapText="1"/>
    </xf>
    <xf numFmtId="175" fontId="18" fillId="0" borderId="11" xfId="67" applyBorder="1" applyAlignment="1" applyProtection="1">
      <alignment horizontal="center" vertical="center" wrapText="1"/>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4" xfId="66" applyFont="1" applyFill="1" applyBorder="1" applyAlignment="1">
      <alignment horizontal="center"/>
    </xf>
    <xf numFmtId="175" fontId="17" fillId="0" borderId="44" xfId="0" applyFont="1" applyBorder="1" applyAlignment="1">
      <alignment wrapText="1"/>
    </xf>
    <xf numFmtId="175" fontId="17" fillId="0" borderId="49"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0" xfId="522" applyFont="1" applyAlignment="1" applyProtection="1">
      <alignment horizontal="center"/>
      <protection locked="0"/>
    </xf>
    <xf numFmtId="17" fontId="17" fillId="47" borderId="0" xfId="522" quotePrefix="1" applyNumberFormat="1" applyFont="1" applyFill="1" applyAlignment="1" applyProtection="1">
      <alignment horizontal="center"/>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16" fillId="47" borderId="16" xfId="520" applyFill="1"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175" fontId="17" fillId="0" borderId="11" xfId="0" applyFont="1" applyBorder="1" applyAlignment="1">
      <alignment horizontal="center"/>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6"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5" xfId="0" applyFont="1" applyBorder="1" applyAlignment="1">
      <alignment horizontal="center" vertical="top"/>
    </xf>
    <xf numFmtId="1" fontId="59" fillId="0" borderId="56" xfId="0" applyNumberFormat="1" applyFont="1" applyBorder="1"/>
    <xf numFmtId="175" fontId="59" fillId="0" borderId="57" xfId="0" applyFont="1" applyBorder="1"/>
    <xf numFmtId="175" fontId="59" fillId="0" borderId="57"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9"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75" fontId="71" fillId="0" borderId="0" xfId="66" applyFont="1" applyAlignment="1">
      <alignment wrapText="1"/>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7" fillId="0" borderId="11" xfId="0" quotePrefix="1" applyFont="1" applyBorder="1" applyAlignment="1">
      <alignment horizontal="center"/>
    </xf>
    <xf numFmtId="175" fontId="16" fillId="0" borderId="11" xfId="0" applyFont="1" applyBorder="1" applyAlignment="1">
      <alignment vertical="center"/>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18" fillId="47" borderId="11" xfId="0" applyFont="1" applyFill="1" applyBorder="1" applyAlignment="1" applyProtection="1">
      <alignment horizontal="left"/>
      <protection locked="0"/>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17" fillId="0" borderId="60" xfId="66" applyFont="1" applyBorder="1" applyAlignment="1">
      <alignment horizontal="center" wrapText="1"/>
    </xf>
    <xf numFmtId="175" fontId="69" fillId="43" borderId="44" xfId="66" applyFont="1" applyFill="1" applyBorder="1"/>
    <xf numFmtId="175" fontId="64" fillId="0" borderId="0" xfId="0" quotePrefix="1" applyFont="1"/>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2" fontId="16" fillId="0" borderId="11" xfId="0" applyNumberFormat="1" applyFont="1" applyBorder="1" applyAlignment="1">
      <alignment vertical="center"/>
    </xf>
    <xf numFmtId="3" fontId="16" fillId="52" borderId="11"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3" fontId="16" fillId="0" borderId="11" xfId="0" applyNumberFormat="1" applyFont="1" applyBorder="1" applyAlignment="1">
      <alignment horizontal="center" vertical="center"/>
    </xf>
    <xf numFmtId="175" fontId="127" fillId="52" borderId="0" xfId="0" applyFont="1" applyFill="1"/>
    <xf numFmtId="175" fontId="59" fillId="0" borderId="28" xfId="0" applyFont="1" applyBorder="1" applyAlignment="1">
      <alignment vertical="center"/>
    </xf>
    <xf numFmtId="2" fontId="59" fillId="0" borderId="15"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7" fillId="0" borderId="13" xfId="66" applyFont="1" applyBorder="1" applyAlignment="1" applyProtection="1">
      <alignment horizontal="center" wrapText="1"/>
      <protection locked="0"/>
    </xf>
    <xf numFmtId="0" fontId="64" fillId="0" borderId="0" xfId="66" applyNumberFormat="1" applyFont="1" applyAlignment="1">
      <alignment horizontal="left"/>
    </xf>
    <xf numFmtId="164" fontId="71" fillId="0" borderId="0" xfId="66" applyNumberFormat="1" applyFont="1"/>
    <xf numFmtId="175" fontId="64" fillId="47" borderId="0" xfId="66" applyFont="1" applyFill="1" applyAlignment="1">
      <alignment wrapText="1"/>
    </xf>
    <xf numFmtId="175" fontId="64" fillId="0" borderId="0" xfId="66" applyFont="1" applyAlignment="1">
      <alignment wrapText="1"/>
    </xf>
    <xf numFmtId="175" fontId="64" fillId="47" borderId="0" xfId="66" applyFont="1" applyFill="1"/>
    <xf numFmtId="175" fontId="17" fillId="47" borderId="50" xfId="66" applyFont="1" applyFill="1" applyBorder="1" applyAlignment="1">
      <alignment wrapText="1"/>
    </xf>
    <xf numFmtId="164" fontId="16" fillId="47" borderId="0" xfId="66" applyNumberFormat="1" applyFill="1"/>
    <xf numFmtId="175" fontId="68" fillId="43" borderId="83" xfId="66" applyFont="1" applyFill="1" applyBorder="1" applyAlignment="1">
      <alignment horizontal="center" wrapText="1"/>
    </xf>
    <xf numFmtId="6" fontId="16" fillId="0" borderId="82"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1" xfId="66" applyNumberFormat="1" applyBorder="1" applyAlignment="1">
      <alignment horizontal="right"/>
    </xf>
    <xf numFmtId="167" fontId="16" fillId="0" borderId="11" xfId="66" applyNumberFormat="1" applyBorder="1"/>
    <xf numFmtId="167" fontId="16" fillId="0" borderId="13" xfId="66" applyNumberFormat="1" applyBorder="1"/>
    <xf numFmtId="167" fontId="16" fillId="47" borderId="13" xfId="66" applyNumberFormat="1" applyFill="1" applyBorder="1" applyAlignment="1">
      <alignment horizontal="right"/>
    </xf>
    <xf numFmtId="42" fontId="16" fillId="49" borderId="11" xfId="520" applyNumberFormat="1" applyFill="1" applyBorder="1"/>
    <xf numFmtId="42" fontId="76" fillId="0" borderId="0" xfId="520" applyNumberFormat="1" applyFont="1"/>
    <xf numFmtId="175" fontId="17" fillId="0" borderId="49" xfId="66" applyFont="1" applyBorder="1"/>
    <xf numFmtId="175" fontId="17" fillId="0" borderId="83" xfId="66" applyFont="1" applyBorder="1"/>
    <xf numFmtId="175" fontId="17" fillId="0" borderId="83" xfId="66" applyFont="1" applyBorder="1" applyAlignment="1">
      <alignment horizontal="left" wrapText="1" indent="1"/>
    </xf>
    <xf numFmtId="175" fontId="17" fillId="0" borderId="83" xfId="66" applyFont="1" applyBorder="1" applyAlignment="1">
      <alignment horizontal="left" indent="1"/>
    </xf>
    <xf numFmtId="43" fontId="16" fillId="50" borderId="0" xfId="46" applyFill="1" applyAlignment="1">
      <alignment horizontal="left"/>
    </xf>
    <xf numFmtId="175" fontId="127" fillId="47" borderId="0" xfId="0" quotePrefix="1" applyFont="1" applyFill="1" applyAlignment="1">
      <alignment vertical="top" wrapText="1"/>
    </xf>
    <xf numFmtId="175" fontId="64" fillId="0" borderId="0" xfId="0" applyFont="1"/>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5" xfId="66" applyNumberFormat="1" applyFont="1" applyBorder="1"/>
    <xf numFmtId="178" fontId="16" fillId="0" borderId="0" xfId="66" applyNumberFormat="1"/>
    <xf numFmtId="178" fontId="16" fillId="0" borderId="45" xfId="66" applyNumberFormat="1" applyBorder="1"/>
    <xf numFmtId="178" fontId="16" fillId="0" borderId="0" xfId="66" applyNumberFormat="1" applyProtection="1">
      <protection locked="0"/>
    </xf>
    <xf numFmtId="178" fontId="17" fillId="0" borderId="39" xfId="66" applyNumberFormat="1" applyFont="1" applyBorder="1"/>
    <xf numFmtId="178" fontId="17" fillId="0" borderId="50" xfId="66" applyNumberFormat="1" applyFont="1" applyBorder="1"/>
    <xf numFmtId="178" fontId="17" fillId="47" borderId="50" xfId="66" applyNumberFormat="1" applyFont="1" applyFill="1" applyBorder="1"/>
    <xf numFmtId="178" fontId="68" fillId="43" borderId="17" xfId="66" applyNumberFormat="1" applyFont="1" applyFill="1" applyBorder="1"/>
    <xf numFmtId="178" fontId="68" fillId="43" borderId="42"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47" borderId="11" xfId="66" applyNumberFormat="1" applyFill="1" applyBorder="1"/>
    <xf numFmtId="42" fontId="16" fillId="0" borderId="11"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5" fontId="133"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Protection="1">
      <protection locked="0"/>
    </xf>
    <xf numFmtId="175" fontId="134" fillId="47" borderId="0" xfId="0" applyFont="1" applyFill="1" applyProtection="1">
      <protection locked="0"/>
    </xf>
    <xf numFmtId="175" fontId="127" fillId="47" borderId="0" xfId="0" applyFont="1" applyFill="1" applyAlignment="1">
      <alignment vertical="top" wrapText="1"/>
    </xf>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5" xfId="66" applyFont="1" applyBorder="1" applyAlignment="1">
      <alignment horizontal="center" wrapText="1"/>
    </xf>
    <xf numFmtId="178" fontId="68" fillId="0" borderId="14" xfId="66" applyNumberFormat="1" applyFont="1" applyBorder="1"/>
    <xf numFmtId="178" fontId="68" fillId="0" borderId="83" xfId="66" applyNumberFormat="1" applyFont="1" applyBorder="1"/>
    <xf numFmtId="178" fontId="68" fillId="0" borderId="35" xfId="66" applyNumberFormat="1" applyFont="1" applyBorder="1"/>
    <xf numFmtId="178" fontId="68" fillId="0" borderId="50" xfId="66" applyNumberFormat="1" applyFont="1" applyBorder="1"/>
    <xf numFmtId="178" fontId="68" fillId="0" borderId="49"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5" xfId="66" applyFont="1" applyBorder="1"/>
    <xf numFmtId="175" fontId="0" fillId="0" borderId="45" xfId="66" applyFont="1" applyBorder="1"/>
    <xf numFmtId="178" fontId="0" fillId="0" borderId="0" xfId="66" applyNumberFormat="1" applyFont="1"/>
    <xf numFmtId="178" fontId="0" fillId="0" borderId="45" xfId="66" applyNumberFormat="1" applyFont="1" applyBorder="1"/>
    <xf numFmtId="164" fontId="0" fillId="0" borderId="0" xfId="66" applyNumberFormat="1" applyFont="1"/>
    <xf numFmtId="178" fontId="0" fillId="0" borderId="96" xfId="66" applyNumberFormat="1" applyFont="1" applyBorder="1"/>
    <xf numFmtId="178" fontId="0" fillId="0" borderId="83"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7" xfId="66" applyNumberFormat="1" applyFont="1" applyBorder="1"/>
    <xf numFmtId="175" fontId="17" fillId="0" borderId="95" xfId="66" applyFont="1" applyBorder="1" applyAlignment="1">
      <alignment horizontal="left" indent="1"/>
    </xf>
    <xf numFmtId="178" fontId="0" fillId="0" borderId="95" xfId="66" applyNumberFormat="1" applyFont="1" applyBorder="1"/>
    <xf numFmtId="178" fontId="0" fillId="44" borderId="83"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6" xfId="0" applyNumberFormat="1" applyFont="1" applyBorder="1" applyAlignment="1" applyProtection="1">
      <alignment horizontal="center" vertical="top" wrapText="1"/>
      <protection locked="0"/>
    </xf>
    <xf numFmtId="43" fontId="88" fillId="0" borderId="94" xfId="0" applyNumberFormat="1" applyFont="1" applyBorder="1" applyAlignment="1" applyProtection="1">
      <alignment horizontal="center" vertical="top" wrapText="1"/>
      <protection locked="0"/>
    </xf>
    <xf numFmtId="175" fontId="17" fillId="0" borderId="94" xfId="0" applyFont="1" applyBorder="1" applyAlignment="1" applyProtection="1">
      <alignment horizontal="center"/>
      <protection locked="0"/>
    </xf>
    <xf numFmtId="175" fontId="17" fillId="0" borderId="94" xfId="0" quotePrefix="1" applyFont="1" applyBorder="1" applyAlignment="1">
      <alignment horizontal="center"/>
    </xf>
    <xf numFmtId="175" fontId="17" fillId="0" borderId="94" xfId="0" applyFont="1" applyBorder="1" applyProtection="1">
      <protection locked="0"/>
    </xf>
    <xf numFmtId="175" fontId="17" fillId="47" borderId="96" xfId="0" applyFont="1" applyFill="1" applyBorder="1" applyAlignment="1" applyProtection="1">
      <alignment horizontal="center" wrapText="1"/>
      <protection locked="0"/>
    </xf>
    <xf numFmtId="175" fontId="17" fillId="0" borderId="94" xfId="0" applyFont="1" applyBorder="1" applyAlignment="1" applyProtection="1">
      <alignment horizontal="center" wrapText="1"/>
      <protection locked="0"/>
    </xf>
    <xf numFmtId="175" fontId="17" fillId="0" borderId="98" xfId="0" applyFont="1" applyBorder="1" applyAlignment="1" applyProtection="1">
      <alignment horizontal="center" wrapText="1"/>
      <protection locked="0"/>
    </xf>
    <xf numFmtId="175" fontId="17" fillId="0" borderId="96" xfId="0" applyFont="1" applyBorder="1" applyAlignment="1" applyProtection="1">
      <alignment horizontal="center" wrapText="1"/>
      <protection locked="0"/>
    </xf>
    <xf numFmtId="175" fontId="17" fillId="0" borderId="94" xfId="0" applyFont="1" applyBorder="1" applyAlignment="1" applyProtection="1">
      <alignment horizontal="left"/>
      <protection locked="0"/>
    </xf>
    <xf numFmtId="175" fontId="17" fillId="0" borderId="96" xfId="0" applyFont="1" applyBorder="1" applyAlignment="1">
      <alignment horizontal="center" wrapText="1"/>
    </xf>
    <xf numFmtId="175" fontId="17" fillId="0" borderId="96" xfId="0" applyFont="1" applyBorder="1" applyAlignment="1">
      <alignment horizontal="center"/>
    </xf>
    <xf numFmtId="175" fontId="17" fillId="0" borderId="99" xfId="0" applyFont="1" applyBorder="1" applyAlignment="1">
      <alignment horizontal="center" wrapText="1"/>
    </xf>
    <xf numFmtId="175" fontId="17" fillId="0" borderId="98" xfId="0" applyFont="1" applyBorder="1" applyAlignment="1">
      <alignment horizontal="center"/>
    </xf>
    <xf numFmtId="175" fontId="17" fillId="0" borderId="98" xfId="0" applyFont="1" applyBorder="1" applyAlignment="1" applyProtection="1">
      <alignment horizontal="center"/>
      <protection locked="0"/>
    </xf>
    <xf numFmtId="3" fontId="17" fillId="0" borderId="97" xfId="0" applyNumberFormat="1" applyFont="1" applyBorder="1" applyAlignment="1">
      <alignment horizontal="center" wrapText="1"/>
    </xf>
    <xf numFmtId="3" fontId="17" fillId="0" borderId="99" xfId="0" applyNumberFormat="1" applyFont="1" applyBorder="1" applyAlignment="1">
      <alignment horizontal="center" wrapText="1"/>
    </xf>
    <xf numFmtId="2" fontId="17" fillId="0" borderId="96" xfId="0" applyNumberFormat="1" applyFont="1" applyBorder="1" applyAlignment="1">
      <alignment horizontal="center" wrapText="1"/>
    </xf>
    <xf numFmtId="3" fontId="17" fillId="0" borderId="96" xfId="0" applyNumberFormat="1" applyFont="1" applyBorder="1" applyAlignment="1">
      <alignment horizontal="center" wrapText="1"/>
    </xf>
    <xf numFmtId="3" fontId="17" fillId="47" borderId="96" xfId="0" applyNumberFormat="1" applyFont="1" applyFill="1" applyBorder="1" applyAlignment="1">
      <alignment horizontal="center" wrapText="1"/>
    </xf>
    <xf numFmtId="3" fontId="17" fillId="0" borderId="99" xfId="0" applyNumberFormat="1" applyFont="1" applyBorder="1" applyAlignment="1" applyProtection="1">
      <alignment horizontal="center" wrapText="1"/>
      <protection locked="0"/>
    </xf>
    <xf numFmtId="3" fontId="56" fillId="0" borderId="100" xfId="0" applyNumberFormat="1" applyFont="1" applyBorder="1" applyAlignment="1">
      <alignment horizontal="center"/>
    </xf>
    <xf numFmtId="43" fontId="16" fillId="50" borderId="101" xfId="46" quotePrefix="1" applyFill="1" applyBorder="1" applyAlignment="1">
      <alignment horizontal="left"/>
    </xf>
    <xf numFmtId="43" fontId="16" fillId="50" borderId="97" xfId="46" quotePrefix="1" applyFill="1" applyBorder="1" applyAlignment="1">
      <alignment horizontal="left"/>
    </xf>
    <xf numFmtId="3" fontId="16" fillId="0" borderId="101" xfId="0" applyNumberFormat="1" applyFont="1" applyBorder="1" applyAlignment="1" applyProtection="1">
      <alignment wrapText="1"/>
      <protection locked="0"/>
    </xf>
    <xf numFmtId="3" fontId="48" fillId="0" borderId="99" xfId="0" applyNumberFormat="1" applyFont="1" applyBorder="1" applyAlignment="1" applyProtection="1">
      <alignment horizontal="center"/>
      <protection locked="0"/>
    </xf>
    <xf numFmtId="175" fontId="0" fillId="0" borderId="101" xfId="0" applyBorder="1"/>
    <xf numFmtId="2" fontId="16" fillId="0" borderId="98" xfId="0" applyNumberFormat="1" applyFont="1" applyBorder="1" applyAlignment="1">
      <alignment vertical="center"/>
    </xf>
    <xf numFmtId="3" fontId="16" fillId="52" borderId="98" xfId="0" applyNumberFormat="1" applyFont="1" applyFill="1" applyBorder="1" applyAlignment="1">
      <alignment horizontal="center" vertical="center"/>
    </xf>
    <xf numFmtId="2" fontId="16" fillId="0" borderId="101" xfId="0" applyNumberFormat="1" applyFont="1" applyBorder="1" applyAlignment="1">
      <alignment vertical="center"/>
    </xf>
    <xf numFmtId="175" fontId="0" fillId="0" borderId="102" xfId="0" applyBorder="1"/>
    <xf numFmtId="175" fontId="37" fillId="0" borderId="102" xfId="0" applyFont="1" applyBorder="1" applyAlignment="1">
      <alignment horizontal="center" wrapText="1"/>
    </xf>
    <xf numFmtId="3" fontId="16" fillId="0" borderId="98" xfId="0" applyNumberFormat="1" applyFont="1" applyBorder="1" applyAlignment="1">
      <alignment horizontal="center" vertical="center"/>
    </xf>
    <xf numFmtId="2" fontId="59" fillId="0" borderId="98" xfId="0" applyNumberFormat="1" applyFont="1" applyBorder="1" applyAlignment="1">
      <alignment vertical="center"/>
    </xf>
    <xf numFmtId="3" fontId="16" fillId="0" borderId="102" xfId="0" applyNumberFormat="1" applyFont="1" applyBorder="1" applyAlignment="1">
      <alignment horizontal="left" vertical="center" wrapText="1"/>
    </xf>
    <xf numFmtId="175" fontId="37" fillId="0" borderId="99" xfId="0" applyFont="1" applyBorder="1" applyProtection="1">
      <protection locked="0"/>
    </xf>
    <xf numFmtId="172" fontId="37" fillId="0" borderId="99" xfId="0" quotePrefix="1" applyNumberFormat="1" applyFont="1" applyBorder="1" applyAlignment="1">
      <alignment horizontal="center"/>
    </xf>
    <xf numFmtId="172" fontId="37" fillId="0" borderId="99" xfId="0" applyNumberFormat="1" applyFont="1" applyBorder="1"/>
    <xf numFmtId="175" fontId="37" fillId="0" borderId="99" xfId="0" applyFont="1" applyBorder="1"/>
    <xf numFmtId="166" fontId="37" fillId="0" borderId="99" xfId="0" applyNumberFormat="1" applyFont="1" applyBorder="1"/>
    <xf numFmtId="175" fontId="37" fillId="0" borderId="99" xfId="0" applyFont="1" applyBorder="1" applyAlignment="1" applyProtection="1">
      <alignment horizontal="center"/>
      <protection locked="0"/>
    </xf>
    <xf numFmtId="175" fontId="37" fillId="0" borderId="99" xfId="0" applyFont="1" applyBorder="1" applyAlignment="1">
      <alignment horizontal="center"/>
    </xf>
    <xf numFmtId="166" fontId="37" fillId="0" borderId="99" xfId="0" applyNumberFormat="1" applyFont="1" applyBorder="1" applyAlignment="1">
      <alignment horizontal="center"/>
    </xf>
    <xf numFmtId="175" fontId="37" fillId="0" borderId="100" xfId="0" applyFont="1" applyBorder="1" applyProtection="1">
      <protection locked="0"/>
    </xf>
    <xf numFmtId="175" fontId="37" fillId="0" borderId="97" xfId="0" applyFont="1" applyBorder="1"/>
    <xf numFmtId="38" fontId="18" fillId="0" borderId="97" xfId="0" applyNumberFormat="1" applyFont="1" applyBorder="1"/>
    <xf numFmtId="165" fontId="37" fillId="0" borderId="97" xfId="0" applyNumberFormat="1" applyFont="1" applyBorder="1"/>
    <xf numFmtId="166" fontId="18" fillId="0" borderId="97" xfId="0" applyNumberFormat="1" applyFont="1" applyBorder="1"/>
    <xf numFmtId="166" fontId="37" fillId="0" borderId="97" xfId="0" applyNumberFormat="1" applyFont="1" applyBorder="1"/>
    <xf numFmtId="175" fontId="18" fillId="0" borderId="99" xfId="0" applyFont="1" applyBorder="1"/>
    <xf numFmtId="170" fontId="18" fillId="0" borderId="96" xfId="46" applyNumberFormat="1" applyFont="1" applyBorder="1" applyAlignment="1">
      <alignment horizontal="right"/>
    </xf>
    <xf numFmtId="169" fontId="37" fillId="0" borderId="96" xfId="46" applyNumberFormat="1" applyFont="1" applyBorder="1" applyAlignment="1">
      <alignment horizontal="right"/>
    </xf>
    <xf numFmtId="175" fontId="18" fillId="0" borderId="96" xfId="0" applyFont="1" applyBorder="1"/>
    <xf numFmtId="166" fontId="18" fillId="0" borderId="96" xfId="46" applyNumberFormat="1" applyFont="1" applyBorder="1" applyAlignment="1">
      <alignment horizontal="right"/>
    </xf>
    <xf numFmtId="166" fontId="18" fillId="0" borderId="96" xfId="0" applyNumberFormat="1" applyFont="1" applyBorder="1"/>
    <xf numFmtId="166" fontId="18" fillId="0" borderId="98" xfId="0" applyNumberFormat="1" applyFont="1" applyBorder="1"/>
    <xf numFmtId="172" fontId="37" fillId="0" borderId="99" xfId="0" applyNumberFormat="1" applyFont="1" applyBorder="1" applyAlignment="1">
      <alignment horizontal="right"/>
    </xf>
    <xf numFmtId="172" fontId="37" fillId="0" borderId="99" xfId="0" applyNumberFormat="1" applyFont="1" applyBorder="1" applyAlignment="1">
      <alignment horizontal="center"/>
    </xf>
    <xf numFmtId="166" fontId="37" fillId="0" borderId="99" xfId="0" quotePrefix="1" applyNumberFormat="1" applyFont="1" applyBorder="1" applyAlignment="1">
      <alignment horizontal="center"/>
    </xf>
    <xf numFmtId="166" fontId="18" fillId="0" borderId="99" xfId="0" applyNumberFormat="1" applyFont="1" applyBorder="1"/>
    <xf numFmtId="166" fontId="37" fillId="0" borderId="96" xfId="46" applyNumberFormat="1" applyFont="1" applyBorder="1" applyAlignment="1">
      <alignment horizontal="right"/>
    </xf>
    <xf numFmtId="166" fontId="37" fillId="0" borderId="99" xfId="0" applyNumberFormat="1" applyFont="1" applyBorder="1" applyAlignment="1">
      <alignment horizontal="right"/>
    </xf>
    <xf numFmtId="175" fontId="37" fillId="48" borderId="99" xfId="0" applyFont="1" applyFill="1" applyBorder="1" applyAlignment="1" applyProtection="1">
      <alignment horizontal="center" vertical="center"/>
      <protection locked="0"/>
    </xf>
    <xf numFmtId="175" fontId="37" fillId="0" borderId="102" xfId="0" applyFont="1" applyBorder="1" applyAlignment="1" applyProtection="1">
      <alignment horizontal="center" wrapText="1"/>
      <protection locked="0"/>
    </xf>
    <xf numFmtId="175" fontId="18" fillId="0" borderId="99" xfId="0" applyFont="1" applyBorder="1" applyAlignment="1" applyProtection="1">
      <alignment horizontal="left"/>
      <protection locked="0"/>
    </xf>
    <xf numFmtId="175" fontId="37" fillId="0" borderId="99" xfId="0" applyFont="1" applyBorder="1" applyAlignment="1" applyProtection="1">
      <alignment horizontal="right"/>
      <protection locked="0"/>
    </xf>
    <xf numFmtId="0" fontId="77" fillId="49" borderId="96" xfId="520" applyFont="1" applyFill="1" applyBorder="1"/>
    <xf numFmtId="0" fontId="57" fillId="49" borderId="96" xfId="520" applyFont="1" applyFill="1" applyBorder="1"/>
    <xf numFmtId="0" fontId="75" fillId="0" borderId="97" xfId="520" applyFont="1" applyBorder="1" applyAlignment="1">
      <alignment horizontal="center" vertical="center"/>
    </xf>
    <xf numFmtId="0" fontId="17" fillId="0" borderId="96" xfId="520" applyFont="1" applyBorder="1" applyAlignment="1">
      <alignment horizontal="center"/>
    </xf>
    <xf numFmtId="42" fontId="16" fillId="0" borderId="102" xfId="520" applyNumberFormat="1" applyBorder="1"/>
    <xf numFmtId="42" fontId="16" fillId="0" borderId="101" xfId="520" applyNumberFormat="1" applyBorder="1"/>
    <xf numFmtId="0" fontId="57" fillId="49" borderId="99" xfId="520" applyFont="1" applyFill="1" applyBorder="1"/>
    <xf numFmtId="42" fontId="16" fillId="49" borderId="96" xfId="520" applyNumberFormat="1" applyFill="1" applyBorder="1"/>
    <xf numFmtId="42" fontId="16" fillId="49" borderId="98" xfId="520" applyNumberFormat="1" applyFill="1" applyBorder="1"/>
    <xf numFmtId="42" fontId="75" fillId="49" borderId="96" xfId="520" applyNumberFormat="1" applyFont="1" applyFill="1" applyBorder="1"/>
    <xf numFmtId="42" fontId="75" fillId="49" borderId="98" xfId="520" applyNumberFormat="1" applyFont="1" applyFill="1" applyBorder="1"/>
    <xf numFmtId="0" fontId="76" fillId="0" borderId="100" xfId="520" applyFont="1" applyBorder="1"/>
    <xf numFmtId="42" fontId="75" fillId="0" borderId="100" xfId="520" applyNumberFormat="1" applyFont="1" applyBorder="1"/>
    <xf numFmtId="42" fontId="75" fillId="0" borderId="97" xfId="520" applyNumberFormat="1" applyFont="1" applyBorder="1"/>
    <xf numFmtId="42" fontId="75" fillId="0" borderId="101" xfId="520" applyNumberFormat="1" applyFont="1" applyBorder="1"/>
    <xf numFmtId="175" fontId="16" fillId="0" borderId="96" xfId="66" applyBorder="1" applyProtection="1">
      <protection locked="0"/>
    </xf>
    <xf numFmtId="175" fontId="16" fillId="0" borderId="98" xfId="66" applyBorder="1" applyProtection="1">
      <protection locked="0"/>
    </xf>
    <xf numFmtId="175" fontId="16" fillId="0" borderId="103" xfId="66" applyBorder="1" applyProtection="1">
      <protection locked="0"/>
    </xf>
    <xf numFmtId="175" fontId="17" fillId="0" borderId="99" xfId="66" applyFont="1" applyBorder="1" applyAlignment="1" applyProtection="1">
      <alignment horizontal="center"/>
      <protection locked="0"/>
    </xf>
    <xf numFmtId="175" fontId="17" fillId="0" borderId="99" xfId="66" applyFont="1" applyBorder="1" applyAlignment="1" applyProtection="1">
      <alignment horizontal="right"/>
      <protection locked="0"/>
    </xf>
    <xf numFmtId="6" fontId="16" fillId="0" borderId="100" xfId="66" applyNumberFormat="1" applyBorder="1" applyAlignment="1">
      <alignment horizontal="right"/>
    </xf>
    <xf numFmtId="6" fontId="16" fillId="0" borderId="97" xfId="66" applyNumberFormat="1" applyBorder="1" applyProtection="1">
      <protection locked="0"/>
    </xf>
    <xf numFmtId="175" fontId="17" fillId="0" borderId="99" xfId="66" applyFont="1" applyBorder="1"/>
    <xf numFmtId="42" fontId="16" fillId="0" borderId="99" xfId="66" applyNumberFormat="1" applyBorder="1"/>
    <xf numFmtId="42" fontId="16" fillId="0" borderId="96" xfId="66" applyNumberFormat="1" applyBorder="1"/>
    <xf numFmtId="42" fontId="16" fillId="47" borderId="102" xfId="66" applyNumberFormat="1" applyFill="1" applyBorder="1"/>
    <xf numFmtId="175" fontId="17" fillId="0" borderId="99" xfId="66" applyFont="1" applyBorder="1" applyAlignment="1">
      <alignment wrapText="1"/>
    </xf>
    <xf numFmtId="42" fontId="16" fillId="47" borderId="99" xfId="66" applyNumberFormat="1" applyFill="1" applyBorder="1"/>
    <xf numFmtId="175" fontId="17" fillId="0" borderId="100" xfId="66" applyFont="1" applyBorder="1" applyAlignment="1" applyProtection="1">
      <alignment wrapText="1"/>
      <protection locked="0"/>
    </xf>
    <xf numFmtId="175" fontId="68" fillId="43" borderId="96" xfId="66" applyFont="1" applyFill="1" applyBorder="1" applyAlignment="1">
      <alignment horizontal="right"/>
    </xf>
    <xf numFmtId="44" fontId="68" fillId="43" borderId="96" xfId="50" applyFont="1" applyFill="1" applyBorder="1" applyAlignment="1">
      <alignment horizontal="right"/>
    </xf>
    <xf numFmtId="164" fontId="69" fillId="0" borderId="97" xfId="66" applyNumberFormat="1" applyFont="1" applyBorder="1"/>
    <xf numFmtId="175" fontId="68" fillId="0" borderId="99" xfId="66" applyFont="1" applyBorder="1"/>
    <xf numFmtId="178" fontId="16" fillId="0" borderId="96" xfId="66" applyNumberFormat="1" applyBorder="1"/>
    <xf numFmtId="178" fontId="16" fillId="0" borderId="83" xfId="66" applyNumberFormat="1" applyBorder="1"/>
    <xf numFmtId="178" fontId="16" fillId="0" borderId="97" xfId="66" applyNumberFormat="1" applyBorder="1"/>
    <xf numFmtId="175" fontId="17" fillId="0" borderId="104" xfId="66" applyFont="1" applyBorder="1" applyAlignment="1">
      <alignment horizontal="left" indent="1"/>
    </xf>
    <xf numFmtId="178" fontId="16" fillId="0" borderId="95" xfId="66" applyNumberFormat="1" applyBorder="1"/>
    <xf numFmtId="178" fontId="16" fillId="44" borderId="83" xfId="66" applyNumberFormat="1" applyFill="1" applyBorder="1"/>
    <xf numFmtId="175" fontId="16" fillId="0" borderId="95" xfId="66" applyBorder="1"/>
    <xf numFmtId="0" fontId="1" fillId="0" borderId="0" xfId="597" applyFont="1"/>
    <xf numFmtId="175" fontId="69" fillId="43" borderId="0" xfId="66" applyFont="1" applyFill="1" applyBorder="1"/>
    <xf numFmtId="175" fontId="69" fillId="0" borderId="0" xfId="66" applyFont="1" applyBorder="1"/>
    <xf numFmtId="171" fontId="17" fillId="47" borderId="0" xfId="0" quotePrefix="1" applyNumberFormat="1" applyFont="1" applyFill="1" applyAlignment="1" applyProtection="1">
      <alignment horizontal="center"/>
      <protection locked="0"/>
    </xf>
    <xf numFmtId="175" fontId="17" fillId="47" borderId="94" xfId="66" applyFont="1" applyFill="1" applyBorder="1" applyAlignment="1">
      <alignment horizontal="center"/>
    </xf>
    <xf numFmtId="171" fontId="17" fillId="47" borderId="94" xfId="66" applyNumberFormat="1" applyFont="1" applyFill="1" applyBorder="1" applyAlignment="1">
      <alignment horizontal="center"/>
    </xf>
    <xf numFmtId="175" fontId="17" fillId="47" borderId="94" xfId="66" applyFont="1" applyFill="1" applyBorder="1" applyAlignment="1">
      <alignment horizontal="center" wrapText="1"/>
    </xf>
    <xf numFmtId="175" fontId="16" fillId="0" borderId="94" xfId="0" applyFont="1" applyBorder="1"/>
    <xf numFmtId="1" fontId="16" fillId="47" borderId="94" xfId="66" quotePrefix="1" applyNumberFormat="1" applyFill="1" applyBorder="1" applyAlignment="1" applyProtection="1">
      <alignment horizontal="center"/>
      <protection locked="0"/>
    </xf>
    <xf numFmtId="14" fontId="16" fillId="0" borderId="94" xfId="0" applyNumberFormat="1" applyFont="1" applyBorder="1"/>
    <xf numFmtId="175" fontId="16" fillId="47" borderId="94" xfId="66" applyFill="1" applyBorder="1" applyAlignment="1" applyProtection="1">
      <alignment horizontal="center"/>
      <protection locked="0"/>
    </xf>
    <xf numFmtId="2" fontId="16" fillId="47" borderId="94" xfId="66" applyNumberFormat="1" applyFill="1" applyBorder="1" applyProtection="1">
      <protection locked="0"/>
    </xf>
    <xf numFmtId="16" fontId="16" fillId="0" borderId="94" xfId="0" applyNumberFormat="1" applyFont="1" applyBorder="1" applyAlignment="1">
      <alignment horizontal="right"/>
    </xf>
    <xf numFmtId="1" fontId="16" fillId="47" borderId="94" xfId="66" applyNumberFormat="1" applyFill="1" applyBorder="1" applyAlignment="1" applyProtection="1">
      <alignment horizontal="center"/>
      <protection locked="0"/>
    </xf>
    <xf numFmtId="2" fontId="16" fillId="47" borderId="0" xfId="66" applyNumberFormat="1" applyFill="1" applyProtection="1">
      <protection locked="0"/>
    </xf>
    <xf numFmtId="175" fontId="17" fillId="47" borderId="0" xfId="782" applyFont="1" applyFill="1" applyAlignment="1">
      <alignment vertical="center"/>
    </xf>
    <xf numFmtId="178" fontId="17" fillId="47" borderId="105" xfId="66" applyNumberFormat="1" applyFont="1" applyFill="1" applyBorder="1"/>
    <xf numFmtId="178" fontId="17" fillId="47" borderId="106" xfId="66" applyNumberFormat="1" applyFont="1" applyFill="1" applyBorder="1"/>
    <xf numFmtId="175" fontId="17" fillId="47" borderId="51" xfId="66" applyFont="1" applyFill="1" applyBorder="1" applyAlignment="1">
      <alignment wrapText="1"/>
    </xf>
    <xf numFmtId="178" fontId="17" fillId="47" borderId="107" xfId="66" applyNumberFormat="1" applyFont="1" applyFill="1" applyBorder="1"/>
    <xf numFmtId="178" fontId="17" fillId="0" borderId="97" xfId="66" applyNumberFormat="1" applyFont="1" applyBorder="1"/>
    <xf numFmtId="164" fontId="17" fillId="0" borderId="0" xfId="66" applyNumberFormat="1" applyFont="1" applyBorder="1"/>
    <xf numFmtId="175" fontId="68" fillId="47" borderId="108" xfId="66" applyFont="1" applyFill="1" applyBorder="1" applyAlignment="1">
      <alignment wrapText="1"/>
    </xf>
    <xf numFmtId="178" fontId="68" fillId="43" borderId="0" xfId="66" applyNumberFormat="1" applyFont="1" applyFill="1" applyBorder="1"/>
    <xf numFmtId="178" fontId="68" fillId="0" borderId="0" xfId="66" applyNumberFormat="1" applyFont="1" applyBorder="1"/>
    <xf numFmtId="178" fontId="68" fillId="0" borderId="0" xfId="50" applyNumberFormat="1" applyFont="1" applyFill="1" applyBorder="1" applyAlignment="1"/>
    <xf numFmtId="175" fontId="16" fillId="125" borderId="16" xfId="66" applyFill="1" applyBorder="1" applyAlignment="1">
      <alignment horizontal="left" indent="1"/>
    </xf>
    <xf numFmtId="175" fontId="64" fillId="125" borderId="0" xfId="66" applyFont="1" applyFill="1" applyProtection="1">
      <protection locked="0"/>
    </xf>
    <xf numFmtId="175" fontId="69" fillId="125" borderId="33" xfId="66" applyFont="1" applyFill="1" applyBorder="1"/>
    <xf numFmtId="175" fontId="138" fillId="43" borderId="0" xfId="66" applyFont="1" applyFill="1"/>
    <xf numFmtId="175" fontId="17" fillId="0" borderId="16" xfId="0" applyFont="1" applyBorder="1" applyAlignment="1">
      <alignment horizontal="center"/>
    </xf>
    <xf numFmtId="178" fontId="68" fillId="125" borderId="109" xfId="66" applyNumberFormat="1" applyFont="1" applyFill="1" applyBorder="1"/>
    <xf numFmtId="178" fontId="68" fillId="125" borderId="47" xfId="66" applyNumberFormat="1" applyFont="1" applyFill="1" applyBorder="1"/>
    <xf numFmtId="2" fontId="16" fillId="0" borderId="16" xfId="0" applyNumberFormat="1" applyFont="1" applyBorder="1" applyAlignment="1">
      <alignment vertical="center"/>
    </xf>
    <xf numFmtId="2" fontId="16" fillId="0" borderId="98" xfId="0" applyNumberFormat="1" applyFont="1" applyBorder="1" applyAlignment="1">
      <alignment vertical="center" wrapText="1"/>
    </xf>
    <xf numFmtId="42" fontId="16" fillId="49" borderId="99" xfId="520" applyNumberFormat="1" applyFill="1" applyBorder="1"/>
    <xf numFmtId="0" fontId="64" fillId="0" borderId="0" xfId="1319" applyFont="1" applyAlignment="1">
      <alignment horizontal="left" vertical="top"/>
    </xf>
    <xf numFmtId="42" fontId="16" fillId="125" borderId="34" xfId="66" applyNumberFormat="1" applyFill="1" applyBorder="1"/>
    <xf numFmtId="42" fontId="16" fillId="0" borderId="34" xfId="66" applyNumberFormat="1" applyBorder="1"/>
    <xf numFmtId="42" fontId="16" fillId="47" borderId="34" xfId="66" applyNumberFormat="1" applyFill="1" applyBorder="1"/>
    <xf numFmtId="178" fontId="69" fillId="0" borderId="82" xfId="66" applyNumberFormat="1" applyFont="1" applyBorder="1"/>
    <xf numFmtId="0" fontId="69" fillId="43" borderId="0" xfId="66" applyNumberFormat="1" applyFont="1" applyFill="1"/>
    <xf numFmtId="44" fontId="69" fillId="43" borderId="0" xfId="66" applyNumberFormat="1" applyFont="1" applyFill="1"/>
    <xf numFmtId="0" fontId="69" fillId="47" borderId="0" xfId="66" applyNumberFormat="1" applyFont="1" applyFill="1"/>
    <xf numFmtId="43" fontId="69" fillId="43" borderId="0" xfId="46" applyFont="1" applyFill="1"/>
    <xf numFmtId="43" fontId="69" fillId="43" borderId="0" xfId="66" applyNumberFormat="1" applyFont="1" applyFill="1"/>
    <xf numFmtId="179" fontId="69" fillId="0" borderId="82" xfId="66" applyNumberFormat="1" applyFont="1" applyBorder="1"/>
    <xf numFmtId="178" fontId="17" fillId="47" borderId="99" xfId="66" applyNumberFormat="1" applyFont="1" applyFill="1" applyBorder="1"/>
    <xf numFmtId="178" fontId="17" fillId="47" borderId="96" xfId="66" applyNumberFormat="1" applyFont="1" applyFill="1" applyBorder="1"/>
    <xf numFmtId="178" fontId="17" fillId="47" borderId="98" xfId="66" applyNumberFormat="1" applyFont="1" applyFill="1" applyBorder="1"/>
    <xf numFmtId="43" fontId="16" fillId="50" borderId="34" xfId="46" applyFill="1" applyBorder="1" applyAlignment="1">
      <alignment horizontal="left"/>
    </xf>
    <xf numFmtId="180" fontId="17" fillId="0" borderId="94" xfId="0" applyNumberFormat="1" applyFont="1" applyBorder="1" applyAlignment="1" applyProtection="1">
      <alignment horizontal="center"/>
      <protection locked="0"/>
    </xf>
    <xf numFmtId="166" fontId="140" fillId="0" borderId="11" xfId="46" applyNumberFormat="1" applyFont="1" applyBorder="1" applyAlignment="1" applyProtection="1">
      <alignment horizontal="right"/>
      <protection locked="0"/>
    </xf>
    <xf numFmtId="42" fontId="140" fillId="0" borderId="0" xfId="520" applyNumberFormat="1" applyFont="1"/>
    <xf numFmtId="42" fontId="140" fillId="0" borderId="97" xfId="520" applyNumberFormat="1" applyFont="1" applyBorder="1"/>
    <xf numFmtId="42" fontId="140" fillId="0" borderId="101" xfId="520" applyNumberFormat="1" applyFont="1" applyBorder="1"/>
    <xf numFmtId="42" fontId="140" fillId="0" borderId="0" xfId="520" applyNumberFormat="1" applyFont="1" applyBorder="1"/>
    <xf numFmtId="42" fontId="140" fillId="0" borderId="34" xfId="520" applyNumberFormat="1" applyFont="1" applyBorder="1"/>
    <xf numFmtId="42" fontId="140" fillId="0" borderId="15" xfId="520" applyNumberFormat="1" applyFont="1" applyBorder="1"/>
    <xf numFmtId="42" fontId="140" fillId="0" borderId="100" xfId="520" applyNumberFormat="1" applyFont="1" applyBorder="1"/>
    <xf numFmtId="42" fontId="140" fillId="0" borderId="16" xfId="520" applyNumberFormat="1" applyFont="1" applyBorder="1"/>
    <xf numFmtId="42" fontId="140" fillId="0" borderId="17" xfId="520" applyNumberFormat="1" applyFont="1" applyBorder="1"/>
    <xf numFmtId="42" fontId="140" fillId="0" borderId="14" xfId="520" applyNumberFormat="1" applyFont="1" applyBorder="1"/>
    <xf numFmtId="42" fontId="140" fillId="0" borderId="100" xfId="66" applyNumberFormat="1" applyFont="1" applyBorder="1"/>
    <xf numFmtId="42" fontId="140" fillId="0" borderId="97" xfId="66" applyNumberFormat="1" applyFont="1" applyBorder="1"/>
    <xf numFmtId="42" fontId="140" fillId="0" borderId="101" xfId="66" applyNumberFormat="1" applyFont="1" applyBorder="1"/>
    <xf numFmtId="42" fontId="140" fillId="0" borderId="16" xfId="66" applyNumberFormat="1" applyFont="1" applyBorder="1"/>
    <xf numFmtId="42" fontId="140" fillId="0" borderId="0" xfId="66" applyNumberFormat="1" applyFont="1" applyBorder="1"/>
    <xf numFmtId="42" fontId="140" fillId="0" borderId="34" xfId="66" applyNumberFormat="1" applyFont="1" applyBorder="1"/>
    <xf numFmtId="42" fontId="140" fillId="0" borderId="17" xfId="66" applyNumberFormat="1" applyFont="1" applyBorder="1"/>
    <xf numFmtId="42" fontId="140" fillId="0" borderId="14" xfId="66" applyNumberFormat="1" applyFont="1" applyBorder="1"/>
    <xf numFmtId="42" fontId="140" fillId="0" borderId="15" xfId="66" applyNumberFormat="1" applyFont="1" applyBorder="1"/>
    <xf numFmtId="42" fontId="140" fillId="0" borderId="99" xfId="66" applyNumberFormat="1" applyFont="1" applyBorder="1"/>
    <xf numFmtId="42" fontId="140" fillId="0" borderId="96" xfId="66" applyNumberFormat="1" applyFont="1" applyBorder="1"/>
    <xf numFmtId="42" fontId="140" fillId="0" borderId="98" xfId="66" applyNumberFormat="1" applyFont="1" applyBorder="1"/>
    <xf numFmtId="178" fontId="141" fillId="0" borderId="100" xfId="66" applyNumberFormat="1" applyFont="1" applyBorder="1"/>
    <xf numFmtId="178" fontId="141" fillId="0" borderId="97" xfId="66" applyNumberFormat="1" applyFont="1" applyBorder="1"/>
    <xf numFmtId="178" fontId="141" fillId="0" borderId="101" xfId="66" applyNumberFormat="1" applyFont="1" applyBorder="1"/>
    <xf numFmtId="178" fontId="141" fillId="0" borderId="16" xfId="66" applyNumberFormat="1" applyFont="1" applyBorder="1"/>
    <xf numFmtId="178" fontId="141" fillId="0" borderId="0" xfId="66" applyNumberFormat="1" applyFont="1" applyBorder="1"/>
    <xf numFmtId="178" fontId="141" fillId="0" borderId="34" xfId="66" applyNumberFormat="1" applyFont="1" applyBorder="1"/>
    <xf numFmtId="179" fontId="141" fillId="0" borderId="16" xfId="66" applyNumberFormat="1" applyFont="1" applyBorder="1"/>
    <xf numFmtId="178" fontId="141" fillId="0" borderId="17" xfId="66" applyNumberFormat="1" applyFont="1" applyBorder="1"/>
    <xf numFmtId="178" fontId="141" fillId="0" borderId="14" xfId="66" applyNumberFormat="1" applyFont="1" applyBorder="1"/>
    <xf numFmtId="178" fontId="141" fillId="0" borderId="15" xfId="66" applyNumberFormat="1" applyFont="1" applyBorder="1"/>
    <xf numFmtId="179" fontId="141" fillId="0" borderId="100" xfId="66" applyNumberFormat="1" applyFont="1" applyBorder="1"/>
    <xf numFmtId="178" fontId="140" fillId="0" borderId="0" xfId="66" applyNumberFormat="1" applyFont="1"/>
    <xf numFmtId="178" fontId="140" fillId="0" borderId="0" xfId="66" applyNumberFormat="1" applyFont="1" applyProtection="1">
      <protection locked="0"/>
    </xf>
    <xf numFmtId="178" fontId="140" fillId="0" borderId="14" xfId="66" applyNumberFormat="1" applyFont="1" applyBorder="1" applyProtection="1">
      <protection locked="0"/>
    </xf>
    <xf numFmtId="178" fontId="140" fillId="44" borderId="96" xfId="66" applyNumberFormat="1" applyFont="1" applyFill="1" applyBorder="1"/>
    <xf numFmtId="178" fontId="140" fillId="0" borderId="96" xfId="66" applyNumberFormat="1" applyFont="1" applyBorder="1"/>
    <xf numFmtId="178" fontId="142" fillId="0" borderId="0" xfId="66" applyNumberFormat="1" applyFont="1"/>
    <xf numFmtId="178" fontId="142" fillId="0" borderId="0" xfId="66" applyNumberFormat="1" applyFont="1" applyProtection="1">
      <protection locked="0"/>
    </xf>
    <xf numFmtId="178" fontId="142" fillId="44" borderId="96" xfId="66" applyNumberFormat="1" applyFont="1" applyFill="1" applyBorder="1"/>
    <xf numFmtId="178" fontId="142" fillId="0" borderId="96" xfId="66" applyNumberFormat="1" applyFont="1" applyBorder="1"/>
    <xf numFmtId="179" fontId="141" fillId="0" borderId="97" xfId="66" applyNumberFormat="1" applyFont="1" applyBorder="1"/>
    <xf numFmtId="175" fontId="64" fillId="47" borderId="0" xfId="0" quotePrefix="1" applyFont="1" applyFill="1" applyAlignment="1">
      <alignment horizontal="left" vertical="top" wrapText="1"/>
    </xf>
    <xf numFmtId="175" fontId="17" fillId="0" borderId="52" xfId="0" applyFont="1" applyBorder="1" applyAlignment="1">
      <alignment horizontal="center"/>
    </xf>
    <xf numFmtId="175" fontId="17" fillId="0" borderId="53" xfId="0" applyFont="1" applyBorder="1" applyAlignment="1">
      <alignment horizontal="center"/>
    </xf>
    <xf numFmtId="175" fontId="17" fillId="0" borderId="54" xfId="0" applyFont="1" applyBorder="1" applyAlignment="1">
      <alignment horizontal="center"/>
    </xf>
    <xf numFmtId="175" fontId="64" fillId="0" borderId="0" xfId="0" quotePrefix="1" applyFont="1" applyAlignment="1"/>
    <xf numFmtId="175" fontId="64" fillId="0" borderId="0" xfId="0" applyFont="1" applyAlignment="1"/>
    <xf numFmtId="175" fontId="64" fillId="52" borderId="0" xfId="0" quotePrefix="1" applyFont="1" applyFill="1" applyAlignment="1"/>
    <xf numFmtId="175" fontId="64" fillId="52" borderId="0" xfId="0" applyFont="1" applyFill="1" applyAlignment="1"/>
    <xf numFmtId="175" fontId="64" fillId="0" borderId="0" xfId="0" quotePrefix="1" applyFont="1" applyAlignment="1">
      <alignment horizontal="left" vertical="justify"/>
    </xf>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64" fillId="0" borderId="0" xfId="0" applyFont="1" applyAlignment="1">
      <alignment horizontal="left" vertical="justify"/>
    </xf>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175" fontId="57" fillId="47" borderId="99" xfId="66" applyFont="1" applyFill="1" applyBorder="1" applyAlignment="1">
      <alignment horizontal="center" wrapText="1"/>
    </xf>
    <xf numFmtId="175" fontId="57" fillId="47" borderId="96" xfId="66" applyFont="1" applyFill="1" applyBorder="1" applyAlignment="1">
      <alignment horizontal="center" wrapText="1"/>
    </xf>
    <xf numFmtId="175" fontId="57" fillId="47" borderId="98" xfId="66" applyFont="1" applyFill="1" applyBorder="1" applyAlignment="1">
      <alignment horizontal="center" wrapText="1"/>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100"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102"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xf numFmtId="175" fontId="64" fillId="0" borderId="0" xfId="66" applyFont="1"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2022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28515625" style="9" customWidth="1"/>
    <col min="5" max="5" width="15" style="9" customWidth="1"/>
    <col min="6" max="6" width="23.28515625" style="9" bestFit="1" customWidth="1"/>
    <col min="7" max="7" width="13.28515625" style="9" bestFit="1" customWidth="1"/>
    <col min="8" max="16384" width="9.28515625" style="9"/>
  </cols>
  <sheetData>
    <row r="1" spans="1:8" s="310" customFormat="1" ht="39" thickBot="1">
      <c r="A1" s="310" t="s">
        <v>0</v>
      </c>
      <c r="B1" s="310" t="s">
        <v>1</v>
      </c>
      <c r="C1" s="310" t="s">
        <v>2</v>
      </c>
      <c r="D1" s="310" t="s">
        <v>3</v>
      </c>
      <c r="E1" s="311" t="s">
        <v>4</v>
      </c>
      <c r="F1" s="312" t="s">
        <v>5</v>
      </c>
      <c r="G1" s="485" t="s">
        <v>6</v>
      </c>
      <c r="H1" s="486" t="s">
        <v>7</v>
      </c>
    </row>
    <row r="2" spans="1:8" ht="16.5" thickTop="1" thickBot="1">
      <c r="A2" s="317">
        <v>0</v>
      </c>
      <c r="B2" s="69" t="s">
        <v>8</v>
      </c>
      <c r="C2" s="318"/>
      <c r="D2" s="310" t="s">
        <v>9</v>
      </c>
      <c r="E2" s="313">
        <v>1</v>
      </c>
      <c r="F2" s="314" t="s">
        <v>10</v>
      </c>
      <c r="G2" s="307">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2" s="316">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3" spans="1:8" ht="16.5" thickTop="1" thickBot="1">
      <c r="A3" s="308">
        <v>1</v>
      </c>
      <c r="B3" s="38" t="s">
        <v>11</v>
      </c>
      <c r="C3" s="318"/>
      <c r="D3" s="9" t="s">
        <v>9</v>
      </c>
      <c r="E3" s="313">
        <v>1</v>
      </c>
      <c r="F3" s="314" t="s">
        <v>10</v>
      </c>
      <c r="G3"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5372</v>
      </c>
      <c r="H3"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0.75208000000000008</v>
      </c>
    </row>
    <row r="4" spans="1:8" ht="16.5" thickTop="1" thickBot="1">
      <c r="A4" s="308">
        <v>2</v>
      </c>
      <c r="B4" s="38" t="s">
        <v>12</v>
      </c>
      <c r="C4" s="318" t="s">
        <v>13</v>
      </c>
      <c r="D4" s="9" t="s">
        <v>9</v>
      </c>
      <c r="E4" s="313">
        <v>1</v>
      </c>
      <c r="F4" s="314" t="s">
        <v>10</v>
      </c>
      <c r="G4" s="307"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4" s="316"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5" spans="1:8" ht="16.5" thickTop="1" thickBot="1">
      <c r="A5" s="308">
        <v>3</v>
      </c>
      <c r="B5" s="38" t="s">
        <v>14</v>
      </c>
      <c r="C5" s="318"/>
      <c r="D5" s="9" t="s">
        <v>9</v>
      </c>
      <c r="E5" s="313">
        <v>1</v>
      </c>
      <c r="F5" s="314" t="s">
        <v>10</v>
      </c>
      <c r="G5" s="307"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5" s="316"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6" spans="1:8" ht="16.5" thickTop="1" thickBot="1">
      <c r="A6" s="308">
        <v>4</v>
      </c>
      <c r="B6" s="38" t="s">
        <v>15</v>
      </c>
      <c r="C6" s="318" t="s">
        <v>16</v>
      </c>
      <c r="D6" s="9" t="s">
        <v>9</v>
      </c>
      <c r="E6" s="313">
        <v>1</v>
      </c>
      <c r="F6" s="314" t="s">
        <v>10</v>
      </c>
      <c r="G6" s="307" t="e">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#N/A</v>
      </c>
      <c r="H6" s="316" t="e">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#N/A</v>
      </c>
    </row>
    <row r="7" spans="1:8" ht="16.5" thickTop="1" thickBot="1">
      <c r="A7" s="308">
        <v>5</v>
      </c>
      <c r="B7" s="9" t="s">
        <v>17</v>
      </c>
      <c r="C7" s="318" t="s">
        <v>18</v>
      </c>
      <c r="D7" s="9" t="s">
        <v>19</v>
      </c>
      <c r="E7" s="313">
        <v>1</v>
      </c>
      <c r="F7" s="314" t="s">
        <v>10</v>
      </c>
      <c r="G7"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7"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8" spans="1:8" ht="16.5" thickTop="1" thickBot="1">
      <c r="A8" s="308">
        <v>6</v>
      </c>
      <c r="B8" s="9" t="s">
        <v>20</v>
      </c>
      <c r="C8" s="318" t="s">
        <v>18</v>
      </c>
      <c r="D8" s="9" t="s">
        <v>9</v>
      </c>
      <c r="E8" s="313">
        <v>1</v>
      </c>
      <c r="F8" s="314" t="s">
        <v>10</v>
      </c>
      <c r="G8"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8"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9" spans="1:8" ht="16.5" thickTop="1" thickBot="1">
      <c r="A9" s="308">
        <v>7</v>
      </c>
      <c r="B9" s="9" t="s">
        <v>21</v>
      </c>
      <c r="C9" s="318" t="s">
        <v>22</v>
      </c>
      <c r="D9" s="9" t="s">
        <v>19</v>
      </c>
      <c r="E9" s="313">
        <v>1</v>
      </c>
      <c r="F9" s="314" t="s">
        <v>10</v>
      </c>
      <c r="G9"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8805</v>
      </c>
      <c r="H9"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0" spans="1:8" ht="16.5" thickTop="1" thickBot="1">
      <c r="A10" s="308">
        <v>8</v>
      </c>
      <c r="B10" s="9" t="s">
        <v>23</v>
      </c>
      <c r="C10" s="318" t="s">
        <v>22</v>
      </c>
      <c r="D10" s="9" t="s">
        <v>9</v>
      </c>
      <c r="E10" s="313">
        <v>1</v>
      </c>
      <c r="F10" s="314" t="s">
        <v>10</v>
      </c>
      <c r="G10"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2552</v>
      </c>
      <c r="H10"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1" spans="1:8" ht="16.5" thickTop="1" thickBot="1">
      <c r="A11" s="308">
        <v>9</v>
      </c>
      <c r="B11" s="9" t="s">
        <v>24</v>
      </c>
      <c r="C11" s="318"/>
      <c r="D11" s="9" t="s">
        <v>9</v>
      </c>
      <c r="E11" s="313">
        <v>1</v>
      </c>
      <c r="F11" s="314" t="s">
        <v>10</v>
      </c>
      <c r="G11"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1"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2" spans="1:8" ht="16.5" thickTop="1" thickBot="1">
      <c r="A12" s="308">
        <v>10</v>
      </c>
      <c r="B12" s="9" t="s">
        <v>25</v>
      </c>
      <c r="C12" s="318"/>
      <c r="D12" s="9" t="s">
        <v>9</v>
      </c>
      <c r="E12" s="313">
        <v>1</v>
      </c>
      <c r="F12" s="314" t="s">
        <v>10</v>
      </c>
      <c r="G12"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0</v>
      </c>
      <c r="H12"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v>
      </c>
    </row>
    <row r="13" spans="1:8" ht="18" customHeight="1" thickTop="1" thickBot="1">
      <c r="A13" s="308">
        <v>11</v>
      </c>
      <c r="B13" s="9" t="s">
        <v>26</v>
      </c>
      <c r="C13" s="318"/>
      <c r="D13" s="9" t="s">
        <v>9</v>
      </c>
      <c r="E13" s="313">
        <v>1</v>
      </c>
      <c r="F13" s="314" t="s">
        <v>10</v>
      </c>
      <c r="G13"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50976</v>
      </c>
      <c r="H13"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0.50975999999999999</v>
      </c>
    </row>
    <row r="14" spans="1:8" ht="14.25" thickTop="1" thickBot="1">
      <c r="A14" s="308">
        <v>12</v>
      </c>
      <c r="B14" s="38" t="s">
        <v>27</v>
      </c>
      <c r="C14" s="38"/>
      <c r="D14" s="9" t="s">
        <v>19</v>
      </c>
      <c r="E14" s="313">
        <v>1</v>
      </c>
      <c r="F14" s="314" t="s">
        <v>10</v>
      </c>
      <c r="G14" s="307">
        <f>IF(OR(BUReporting[[#This Row],[Period]]=1,OR(BUReporting[[#This Row],[Period]]=2,OR(BUReporting[[#This Row],[Period]]=2,OR(BUReporting[[#This Row],[Period]]=4,OR(BUReporting[[#This Row],[Period]]=5,BUReporting[[#This Row],[Period]]=6))))),VLOOKUP(BUReporting[[#This Row],[Program]],'Program MW '!$A$12:$S$22,2,FALSE),VLOOKUP(BUReporting[[#This Row],[Program]],'Program MW '!$A$34:$S$45,2,FALSE))</f>
        <v>22881</v>
      </c>
      <c r="H14" s="316">
        <f>IF(OR(BUReporting[[#This Row],[Period]]=1,OR(BUReporting[[#This Row],[Period]]=2,OR(BUReporting[[#This Row],[Period]]=3,OR(BUReporting[[#This Row],[Period]]=4,OR(BUReporting[[#This Row],[Period]]=5,BUReporting[[#This Row],[Period]]=6))))),VLOOKUP(BUReporting[[#This Row],[Program]],'Program MW '!$A$12:$S$22,3,FALSE),VLOOKUP(BUReporting[[#This Row],[Program]],'Program MW '!$A$34:$S$45,3,FALSE))</f>
        <v>0.88547235500067478</v>
      </c>
    </row>
    <row r="15" spans="1:8" ht="16.5" thickTop="1" thickBot="1">
      <c r="A15" s="317">
        <v>0</v>
      </c>
      <c r="B15" s="69" t="s">
        <v>8</v>
      </c>
      <c r="C15" s="318"/>
      <c r="D15" s="310" t="s">
        <v>9</v>
      </c>
      <c r="E15" s="313">
        <v>2</v>
      </c>
      <c r="F15" s="314" t="s">
        <v>28</v>
      </c>
      <c r="G15" s="307">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316">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6.5" thickTop="1" thickBot="1">
      <c r="A16" s="308">
        <v>1</v>
      </c>
      <c r="B16" s="9" t="s">
        <v>11</v>
      </c>
      <c r="C16" s="318"/>
      <c r="D16" s="9" t="s">
        <v>9</v>
      </c>
      <c r="E16" s="309">
        <v>2</v>
      </c>
      <c r="F16" s="315" t="s">
        <v>28</v>
      </c>
      <c r="G16"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5319</v>
      </c>
      <c r="H16"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0.7446600000000001</v>
      </c>
    </row>
    <row r="17" spans="1:8" ht="16.5" thickTop="1" thickBot="1">
      <c r="A17" s="308">
        <v>2</v>
      </c>
      <c r="B17" s="9" t="s">
        <v>12</v>
      </c>
      <c r="C17" s="318" t="s">
        <v>13</v>
      </c>
      <c r="D17" s="9" t="s">
        <v>9</v>
      </c>
      <c r="E17" s="309">
        <v>2</v>
      </c>
      <c r="F17" s="315" t="s">
        <v>28</v>
      </c>
      <c r="G17" s="307"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7" s="316"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8" spans="1:8" ht="16.5" thickTop="1" thickBot="1">
      <c r="A18" s="308">
        <v>3</v>
      </c>
      <c r="B18" s="9" t="s">
        <v>14</v>
      </c>
      <c r="C18" s="318"/>
      <c r="D18" s="9" t="s">
        <v>9</v>
      </c>
      <c r="E18" s="309">
        <v>2</v>
      </c>
      <c r="F18" s="315" t="s">
        <v>28</v>
      </c>
      <c r="G18" s="307"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8" s="316"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19" spans="1:8" ht="16.5" thickTop="1" thickBot="1">
      <c r="A19" s="308">
        <v>4</v>
      </c>
      <c r="B19" s="9" t="s">
        <v>15</v>
      </c>
      <c r="C19" s="318" t="s">
        <v>16</v>
      </c>
      <c r="D19" s="9" t="s">
        <v>9</v>
      </c>
      <c r="E19" s="309">
        <v>2</v>
      </c>
      <c r="F19" s="315" t="s">
        <v>28</v>
      </c>
      <c r="G19" s="307" t="e">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#N/A</v>
      </c>
      <c r="H19" s="316" t="e">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#N/A</v>
      </c>
    </row>
    <row r="20" spans="1:8" ht="16.5" thickTop="1" thickBot="1">
      <c r="A20" s="308">
        <v>5</v>
      </c>
      <c r="B20" s="9" t="s">
        <v>17</v>
      </c>
      <c r="C20" s="318" t="s">
        <v>18</v>
      </c>
      <c r="D20" s="9" t="s">
        <v>19</v>
      </c>
      <c r="E20" s="309">
        <v>2</v>
      </c>
      <c r="F20" s="315" t="s">
        <v>28</v>
      </c>
      <c r="G20"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16239</v>
      </c>
      <c r="H20"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4.2308335963298308E-5</v>
      </c>
    </row>
    <row r="21" spans="1:8" ht="16.5" thickTop="1" thickBot="1">
      <c r="A21" s="308">
        <v>6</v>
      </c>
      <c r="B21" s="9" t="s">
        <v>20</v>
      </c>
      <c r="C21" s="318" t="s">
        <v>18</v>
      </c>
      <c r="D21" s="9" t="s">
        <v>9</v>
      </c>
      <c r="E21" s="309">
        <v>2</v>
      </c>
      <c r="F21" s="315" t="s">
        <v>28</v>
      </c>
      <c r="G21"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294</v>
      </c>
      <c r="H21"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2.4755080477916634E-5</v>
      </c>
    </row>
    <row r="22" spans="1:8" ht="16.5" thickTop="1" thickBot="1">
      <c r="A22" s="308">
        <v>7</v>
      </c>
      <c r="B22" s="9" t="s">
        <v>21</v>
      </c>
      <c r="C22" s="318" t="s">
        <v>22</v>
      </c>
      <c r="D22" s="9" t="s">
        <v>19</v>
      </c>
      <c r="E22" s="309">
        <v>2</v>
      </c>
      <c r="F22" s="315" t="s">
        <v>28</v>
      </c>
      <c r="G22"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8757</v>
      </c>
      <c r="H22"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3" spans="1:8" ht="16.5" thickTop="1" thickBot="1">
      <c r="A23" s="308">
        <v>8</v>
      </c>
      <c r="B23" s="9" t="s">
        <v>23</v>
      </c>
      <c r="C23" s="318" t="s">
        <v>22</v>
      </c>
      <c r="D23" s="9" t="s">
        <v>9</v>
      </c>
      <c r="E23" s="309">
        <v>2</v>
      </c>
      <c r="F23" s="315" t="s">
        <v>28</v>
      </c>
      <c r="G23"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2542</v>
      </c>
      <c r="H23"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4" spans="1:8" ht="16.5" thickTop="1" thickBot="1">
      <c r="A24" s="308">
        <v>9</v>
      </c>
      <c r="B24" s="9" t="s">
        <v>24</v>
      </c>
      <c r="C24" s="318"/>
      <c r="D24" s="9" t="s">
        <v>9</v>
      </c>
      <c r="E24" s="309">
        <v>2</v>
      </c>
      <c r="F24" s="315" t="s">
        <v>28</v>
      </c>
      <c r="G24"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4"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5" spans="1:8" ht="16.5" thickTop="1" thickBot="1">
      <c r="A25" s="308">
        <v>10</v>
      </c>
      <c r="B25" s="9" t="s">
        <v>25</v>
      </c>
      <c r="C25" s="318"/>
      <c r="D25" s="9" t="s">
        <v>9</v>
      </c>
      <c r="E25" s="309">
        <v>2</v>
      </c>
      <c r="F25" s="315" t="s">
        <v>28</v>
      </c>
      <c r="G25"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0</v>
      </c>
      <c r="H25"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v>
      </c>
    </row>
    <row r="26" spans="1:8" ht="16.5" thickTop="1" thickBot="1">
      <c r="A26" s="308">
        <v>11</v>
      </c>
      <c r="B26" s="9" t="s">
        <v>26</v>
      </c>
      <c r="C26" s="318"/>
      <c r="D26" s="9" t="s">
        <v>9</v>
      </c>
      <c r="E26" s="309">
        <v>2</v>
      </c>
      <c r="F26" s="315" t="s">
        <v>28</v>
      </c>
      <c r="G26"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50086</v>
      </c>
      <c r="H26"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0.50086000000000008</v>
      </c>
    </row>
    <row r="27" spans="1:8" ht="14.25" thickTop="1" thickBot="1">
      <c r="A27" s="308">
        <v>12</v>
      </c>
      <c r="B27" s="9" t="s">
        <v>27</v>
      </c>
      <c r="C27" s="38"/>
      <c r="D27" s="9" t="s">
        <v>19</v>
      </c>
      <c r="E27" s="309">
        <v>2</v>
      </c>
      <c r="F27" s="315" t="s">
        <v>28</v>
      </c>
      <c r="G27" s="307">
        <f>IF(OR(BUReporting[[#This Row],[Period]]=1,OR(BUReporting[[#This Row],[Period]]=2,OR(BUReporting[[#This Row],[Period]]=2,OR(BUReporting[[#This Row],[Period]]=4,OR(BUReporting[[#This Row],[Period]]=5,BUReporting[[#This Row],[Period]]=6))))),VLOOKUP(BUReporting[[#This Row],[Program]],'Program MW '!$A$12:$S$22,5,FALSE),VLOOKUP(BUReporting[[#This Row],[Program]],'Program MW '!$A$34:$S$45,5,FALSE))</f>
        <v>23402</v>
      </c>
      <c r="H27" s="316">
        <f>IF(OR(BUReporting[[#This Row],[Period]]=1,OR(BUReporting[[#This Row],[Period]]=2,OR(BUReporting[[#This Row],[Period]]=3,OR(BUReporting[[#This Row],[Period]]=4,OR(BUReporting[[#This Row],[Period]]=5,BUReporting[[#This Row],[Period]]=6))))),VLOOKUP(BUReporting[[#This Row],[Program]],'Program MW '!$A$12:$S$22,6,FALSE),VLOOKUP(BUReporting[[#This Row],[Program]],'Program MW '!$A$34:$S$45,6,FALSE))</f>
        <v>0.80414936313033114</v>
      </c>
    </row>
    <row r="28" spans="1:8" ht="16.5" thickTop="1" thickBot="1">
      <c r="A28" s="317">
        <v>0</v>
      </c>
      <c r="B28" s="69" t="s">
        <v>8</v>
      </c>
      <c r="C28" s="318"/>
      <c r="D28" s="310" t="s">
        <v>9</v>
      </c>
      <c r="E28" s="313">
        <v>3</v>
      </c>
      <c r="F28" s="314" t="s">
        <v>29</v>
      </c>
      <c r="G28" s="307">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316">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308">
        <v>1</v>
      </c>
      <c r="B29" s="9" t="s">
        <v>11</v>
      </c>
      <c r="C29" s="318"/>
      <c r="D29" s="9" t="s">
        <v>9</v>
      </c>
      <c r="E29" s="309">
        <v>3</v>
      </c>
      <c r="F29" s="315" t="s">
        <v>29</v>
      </c>
      <c r="G29"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29"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0" spans="1:8" ht="16.5" thickTop="1" thickBot="1">
      <c r="A30" s="308">
        <v>2</v>
      </c>
      <c r="B30" s="9" t="s">
        <v>12</v>
      </c>
      <c r="C30" s="318" t="s">
        <v>13</v>
      </c>
      <c r="D30" s="9" t="s">
        <v>9</v>
      </c>
      <c r="E30" s="309">
        <v>3</v>
      </c>
      <c r="F30" s="315" t="s">
        <v>29</v>
      </c>
      <c r="G30"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0" s="316"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1" spans="1:8" ht="16.5" thickTop="1" thickBot="1">
      <c r="A31" s="308">
        <v>3</v>
      </c>
      <c r="B31" s="9" t="s">
        <v>14</v>
      </c>
      <c r="C31" s="318"/>
      <c r="D31" s="9" t="s">
        <v>9</v>
      </c>
      <c r="E31" s="309">
        <v>3</v>
      </c>
      <c r="F31" s="315" t="s">
        <v>29</v>
      </c>
      <c r="G31"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1" s="316"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2" spans="1:8" ht="16.5" thickTop="1" thickBot="1">
      <c r="A32" s="308">
        <v>4</v>
      </c>
      <c r="B32" s="9" t="s">
        <v>15</v>
      </c>
      <c r="C32" s="318" t="s">
        <v>16</v>
      </c>
      <c r="D32" s="9" t="s">
        <v>9</v>
      </c>
      <c r="E32" s="309">
        <v>3</v>
      </c>
      <c r="F32" s="315" t="s">
        <v>29</v>
      </c>
      <c r="G32"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32" s="316" t="e">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#N/A</v>
      </c>
    </row>
    <row r="33" spans="1:8" ht="16.5" thickTop="1" thickBot="1">
      <c r="A33" s="308">
        <v>5</v>
      </c>
      <c r="B33" s="9" t="s">
        <v>17</v>
      </c>
      <c r="C33" s="318" t="s">
        <v>18</v>
      </c>
      <c r="D33" s="9" t="s">
        <v>19</v>
      </c>
      <c r="E33" s="309">
        <v>3</v>
      </c>
      <c r="F33" s="315" t="s">
        <v>29</v>
      </c>
      <c r="G33"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3"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4" spans="1:8" ht="16.5" thickTop="1" thickBot="1">
      <c r="A34" s="308">
        <v>6</v>
      </c>
      <c r="B34" s="9" t="s">
        <v>20</v>
      </c>
      <c r="C34" s="318" t="s">
        <v>18</v>
      </c>
      <c r="D34" s="9" t="s">
        <v>9</v>
      </c>
      <c r="E34" s="309">
        <v>3</v>
      </c>
      <c r="F34" s="315" t="s">
        <v>29</v>
      </c>
      <c r="G34"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4"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5" spans="1:8" ht="16.5" thickTop="1" thickBot="1">
      <c r="A35" s="308">
        <v>7</v>
      </c>
      <c r="B35" s="9" t="s">
        <v>21</v>
      </c>
      <c r="C35" s="318" t="s">
        <v>22</v>
      </c>
      <c r="D35" s="9" t="s">
        <v>19</v>
      </c>
      <c r="E35" s="309">
        <v>3</v>
      </c>
      <c r="F35" s="315" t="s">
        <v>29</v>
      </c>
      <c r="G35"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5"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6" spans="1:8" ht="16.5" thickTop="1" thickBot="1">
      <c r="A36" s="308">
        <v>8</v>
      </c>
      <c r="B36" s="9" t="s">
        <v>23</v>
      </c>
      <c r="C36" s="318" t="s">
        <v>22</v>
      </c>
      <c r="D36" s="9" t="s">
        <v>9</v>
      </c>
      <c r="E36" s="309">
        <v>3</v>
      </c>
      <c r="F36" s="315" t="s">
        <v>29</v>
      </c>
      <c r="G36"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6"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7" spans="1:8" ht="16.5" thickTop="1" thickBot="1">
      <c r="A37" s="308">
        <v>9</v>
      </c>
      <c r="B37" s="9" t="s">
        <v>24</v>
      </c>
      <c r="C37" s="318"/>
      <c r="D37" s="9" t="s">
        <v>9</v>
      </c>
      <c r="E37" s="309">
        <v>3</v>
      </c>
      <c r="F37" s="315" t="s">
        <v>29</v>
      </c>
      <c r="G37"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7"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8" spans="1:8" ht="16.5" thickTop="1" thickBot="1">
      <c r="A38" s="308">
        <v>10</v>
      </c>
      <c r="B38" s="9" t="s">
        <v>25</v>
      </c>
      <c r="C38" s="318"/>
      <c r="D38" s="9" t="s">
        <v>9</v>
      </c>
      <c r="E38" s="309">
        <v>3</v>
      </c>
      <c r="F38" s="315" t="s">
        <v>29</v>
      </c>
      <c r="G38"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8"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39" spans="1:8" ht="16.5" thickTop="1" thickBot="1">
      <c r="A39" s="308">
        <v>11</v>
      </c>
      <c r="B39" s="9" t="s">
        <v>26</v>
      </c>
      <c r="C39" s="318"/>
      <c r="D39" s="9" t="s">
        <v>9</v>
      </c>
      <c r="E39" s="309">
        <v>3</v>
      </c>
      <c r="F39" s="315" t="s">
        <v>29</v>
      </c>
      <c r="G39"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39"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40" spans="1:8" ht="14.25" thickTop="1" thickBot="1">
      <c r="A40" s="308">
        <v>12</v>
      </c>
      <c r="B40" s="9" t="s">
        <v>27</v>
      </c>
      <c r="C40" s="38"/>
      <c r="D40" s="9" t="s">
        <v>19</v>
      </c>
      <c r="E40" s="309">
        <v>3</v>
      </c>
      <c r="F40" s="315" t="s">
        <v>29</v>
      </c>
      <c r="G40"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40" s="316">
        <f>IF(OR(BUReporting[[#This Row],[Period]]=1,OR(BUReporting[[#This Row],[Period]]=2,OR(BUReporting[[#This Row],[Period]]=3,OR(BUReporting[[#This Row],[Period]]=4,OR(BUReporting[[#This Row],[Period]]=5,BUReporting[[#This Row],[Period]]=6))))),VLOOKUP(BUReporting[[#This Row],[Program]],'Program MW '!$A$12:$S$22,9,FALSE),VLOOKUP(BUReporting[[#This Row],[Program]],'Program MW '!$A$34:$S$45,9,FALSE))</f>
        <v>0</v>
      </c>
    </row>
    <row r="41" spans="1:8" ht="16.5" thickTop="1" thickBot="1">
      <c r="A41" s="317">
        <v>0</v>
      </c>
      <c r="B41" s="69" t="s">
        <v>8</v>
      </c>
      <c r="C41" s="318"/>
      <c r="D41" s="310" t="s">
        <v>9</v>
      </c>
      <c r="E41" s="313">
        <v>4</v>
      </c>
      <c r="F41" s="314" t="s">
        <v>30</v>
      </c>
      <c r="G41" s="307">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316">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308">
        <v>1</v>
      </c>
      <c r="B42" s="9" t="s">
        <v>11</v>
      </c>
      <c r="C42" s="318"/>
      <c r="D42" s="9" t="s">
        <v>9</v>
      </c>
      <c r="E42" s="309">
        <v>4</v>
      </c>
      <c r="F42" s="315" t="s">
        <v>30</v>
      </c>
      <c r="G42"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2"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3" spans="1:8" ht="16.5" thickTop="1" thickBot="1">
      <c r="A43" s="308">
        <v>2</v>
      </c>
      <c r="B43" s="9" t="s">
        <v>12</v>
      </c>
      <c r="C43" s="318" t="s">
        <v>13</v>
      </c>
      <c r="D43" s="9" t="s">
        <v>9</v>
      </c>
      <c r="E43" s="309">
        <v>4</v>
      </c>
      <c r="F43" s="315" t="s">
        <v>30</v>
      </c>
      <c r="G43"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3" s="316"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4" spans="1:8" ht="16.5" thickTop="1" thickBot="1">
      <c r="A44" s="308">
        <v>3</v>
      </c>
      <c r="B44" s="9" t="s">
        <v>14</v>
      </c>
      <c r="C44" s="318"/>
      <c r="D44" s="9" t="s">
        <v>9</v>
      </c>
      <c r="E44" s="309">
        <v>4</v>
      </c>
      <c r="F44" s="315" t="s">
        <v>30</v>
      </c>
      <c r="G44"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4" s="316"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5" spans="1:8" ht="16.5" thickTop="1" thickBot="1">
      <c r="A45" s="308">
        <v>4</v>
      </c>
      <c r="B45" s="9" t="s">
        <v>15</v>
      </c>
      <c r="C45" s="318" t="s">
        <v>16</v>
      </c>
      <c r="D45" s="9" t="s">
        <v>9</v>
      </c>
      <c r="E45" s="309">
        <v>4</v>
      </c>
      <c r="F45" s="315" t="s">
        <v>30</v>
      </c>
      <c r="G45"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45" s="316" t="e">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#N/A</v>
      </c>
    </row>
    <row r="46" spans="1:8" ht="16.5" thickTop="1" thickBot="1">
      <c r="A46" s="308">
        <v>5</v>
      </c>
      <c r="B46" s="9" t="s">
        <v>17</v>
      </c>
      <c r="C46" s="318" t="s">
        <v>18</v>
      </c>
      <c r="D46" s="9" t="s">
        <v>19</v>
      </c>
      <c r="E46" s="309">
        <v>4</v>
      </c>
      <c r="F46" s="315" t="s">
        <v>30</v>
      </c>
      <c r="G46"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6"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7" spans="1:8" ht="16.5" thickTop="1" thickBot="1">
      <c r="A47" s="308">
        <v>6</v>
      </c>
      <c r="B47" s="9" t="s">
        <v>20</v>
      </c>
      <c r="C47" s="318" t="s">
        <v>18</v>
      </c>
      <c r="D47" s="9" t="s">
        <v>9</v>
      </c>
      <c r="E47" s="309">
        <v>4</v>
      </c>
      <c r="F47" s="315" t="s">
        <v>30</v>
      </c>
      <c r="G47"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7"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8" spans="1:8" ht="16.5" thickTop="1" thickBot="1">
      <c r="A48" s="308">
        <v>7</v>
      </c>
      <c r="B48" s="9" t="s">
        <v>21</v>
      </c>
      <c r="C48" s="318" t="s">
        <v>22</v>
      </c>
      <c r="D48" s="9" t="s">
        <v>19</v>
      </c>
      <c r="E48" s="309">
        <v>4</v>
      </c>
      <c r="F48" s="315" t="s">
        <v>30</v>
      </c>
      <c r="G48"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8"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49" spans="1:8" ht="16.5" thickTop="1" thickBot="1">
      <c r="A49" s="308">
        <v>8</v>
      </c>
      <c r="B49" s="9" t="s">
        <v>23</v>
      </c>
      <c r="C49" s="318" t="s">
        <v>22</v>
      </c>
      <c r="D49" s="9" t="s">
        <v>9</v>
      </c>
      <c r="E49" s="309">
        <v>4</v>
      </c>
      <c r="F49" s="315" t="s">
        <v>30</v>
      </c>
      <c r="G49"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49"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0" spans="1:8" ht="16.5" thickTop="1" thickBot="1">
      <c r="A50" s="308">
        <v>9</v>
      </c>
      <c r="B50" s="9" t="s">
        <v>24</v>
      </c>
      <c r="C50" s="318"/>
      <c r="D50" s="9" t="s">
        <v>9</v>
      </c>
      <c r="E50" s="309">
        <v>4</v>
      </c>
      <c r="F50" s="315" t="s">
        <v>30</v>
      </c>
      <c r="G50"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0"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1" spans="1:8" ht="16.5" thickTop="1" thickBot="1">
      <c r="A51" s="308">
        <v>10</v>
      </c>
      <c r="B51" s="9" t="s">
        <v>25</v>
      </c>
      <c r="C51" s="318"/>
      <c r="D51" s="9" t="s">
        <v>9</v>
      </c>
      <c r="E51" s="309">
        <v>4</v>
      </c>
      <c r="F51" s="315" t="s">
        <v>30</v>
      </c>
      <c r="G51"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1"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2" spans="1:8" ht="16.5" thickTop="1" thickBot="1">
      <c r="A52" s="308">
        <v>11</v>
      </c>
      <c r="B52" s="9" t="s">
        <v>26</v>
      </c>
      <c r="C52" s="318"/>
      <c r="D52" s="9" t="s">
        <v>9</v>
      </c>
      <c r="E52" s="309">
        <v>4</v>
      </c>
      <c r="F52" s="315" t="s">
        <v>30</v>
      </c>
      <c r="G52"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2"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3" spans="1:8" ht="14.25" thickTop="1" thickBot="1">
      <c r="A53" s="308">
        <v>12</v>
      </c>
      <c r="B53" s="9" t="s">
        <v>27</v>
      </c>
      <c r="C53" s="38"/>
      <c r="D53" s="9" t="s">
        <v>19</v>
      </c>
      <c r="E53" s="309">
        <v>4</v>
      </c>
      <c r="F53" s="315" t="s">
        <v>30</v>
      </c>
      <c r="G53"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53" s="316">
        <f>IF(OR(BUReporting[[#This Row],[Period]]=1,OR(BUReporting[[#This Row],[Period]]=2,OR(BUReporting[[#This Row],[Period]]=3,OR(BUReporting[[#This Row],[Period]]=4,OR(BUReporting[[#This Row],[Period]]=5,BUReporting[[#This Row],[Period]]=6))))),VLOOKUP(BUReporting[[#This Row],[Program]],'Program MW '!$A$12:$S$22,12,FALSE),VLOOKUP(BUReporting[[#This Row],[Program]],'Program MW '!$A$34:$S$45,12,FALSE))</f>
        <v>0</v>
      </c>
    </row>
    <row r="54" spans="1:8" ht="16.5" thickTop="1" thickBot="1">
      <c r="A54" s="317">
        <v>0</v>
      </c>
      <c r="B54" s="69" t="s">
        <v>8</v>
      </c>
      <c r="C54" s="318"/>
      <c r="D54" s="310" t="s">
        <v>9</v>
      </c>
      <c r="E54" s="313">
        <v>5</v>
      </c>
      <c r="F54" s="314" t="s">
        <v>31</v>
      </c>
      <c r="G54" s="307">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316">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308">
        <v>1</v>
      </c>
      <c r="B55" s="9" t="s">
        <v>11</v>
      </c>
      <c r="C55" s="318"/>
      <c r="D55" s="9" t="s">
        <v>9</v>
      </c>
      <c r="E55" s="309">
        <v>5</v>
      </c>
      <c r="F55" s="315" t="s">
        <v>31</v>
      </c>
      <c r="G55"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5"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56" spans="1:8" ht="16.5" thickTop="1" thickBot="1">
      <c r="A56" s="308">
        <v>2</v>
      </c>
      <c r="B56" s="9" t="s">
        <v>12</v>
      </c>
      <c r="C56" s="318" t="s">
        <v>13</v>
      </c>
      <c r="D56" s="9" t="s">
        <v>9</v>
      </c>
      <c r="E56" s="309">
        <v>5</v>
      </c>
      <c r="F56" s="315" t="s">
        <v>31</v>
      </c>
      <c r="G56"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6" s="316"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7" spans="1:8" ht="16.5" thickTop="1" thickBot="1">
      <c r="A57" s="308">
        <v>3</v>
      </c>
      <c r="B57" s="9" t="s">
        <v>14</v>
      </c>
      <c r="C57" s="318"/>
      <c r="D57" s="9" t="s">
        <v>9</v>
      </c>
      <c r="E57" s="309">
        <v>5</v>
      </c>
      <c r="F57" s="315" t="s">
        <v>31</v>
      </c>
      <c r="G57"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7" s="316"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8" spans="1:8" ht="16.5" thickTop="1" thickBot="1">
      <c r="A58" s="308">
        <v>4</v>
      </c>
      <c r="B58" s="9" t="s">
        <v>15</v>
      </c>
      <c r="C58" s="318" t="s">
        <v>16</v>
      </c>
      <c r="D58" s="9" t="s">
        <v>9</v>
      </c>
      <c r="E58" s="309">
        <v>5</v>
      </c>
      <c r="F58" s="315" t="s">
        <v>31</v>
      </c>
      <c r="G58"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58" s="316" t="e">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#N/A</v>
      </c>
    </row>
    <row r="59" spans="1:8" ht="16.5" thickTop="1" thickBot="1">
      <c r="A59" s="308">
        <v>5</v>
      </c>
      <c r="B59" s="9" t="s">
        <v>17</v>
      </c>
      <c r="C59" s="318" t="s">
        <v>18</v>
      </c>
      <c r="D59" s="9" t="s">
        <v>19</v>
      </c>
      <c r="E59" s="309">
        <v>5</v>
      </c>
      <c r="F59" s="315" t="s">
        <v>31</v>
      </c>
      <c r="G59"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59"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0" spans="1:8" ht="16.5" thickTop="1" thickBot="1">
      <c r="A60" s="308">
        <v>6</v>
      </c>
      <c r="B60" s="9" t="s">
        <v>20</v>
      </c>
      <c r="C60" s="318" t="s">
        <v>18</v>
      </c>
      <c r="D60" s="9" t="s">
        <v>9</v>
      </c>
      <c r="E60" s="309">
        <v>5</v>
      </c>
      <c r="F60" s="315" t="s">
        <v>31</v>
      </c>
      <c r="G60"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0"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1" spans="1:8" ht="16.5" thickTop="1" thickBot="1">
      <c r="A61" s="308">
        <v>7</v>
      </c>
      <c r="B61" s="9" t="s">
        <v>21</v>
      </c>
      <c r="C61" s="318" t="s">
        <v>22</v>
      </c>
      <c r="D61" s="9" t="s">
        <v>19</v>
      </c>
      <c r="E61" s="309">
        <v>5</v>
      </c>
      <c r="F61" s="315" t="s">
        <v>31</v>
      </c>
      <c r="G61"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1"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2" spans="1:8" ht="16.5" thickTop="1" thickBot="1">
      <c r="A62" s="308">
        <v>8</v>
      </c>
      <c r="B62" s="9" t="s">
        <v>23</v>
      </c>
      <c r="C62" s="318" t="s">
        <v>22</v>
      </c>
      <c r="D62" s="9" t="s">
        <v>9</v>
      </c>
      <c r="E62" s="309">
        <v>5</v>
      </c>
      <c r="F62" s="315" t="s">
        <v>31</v>
      </c>
      <c r="G62"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2"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3" spans="1:8" ht="16.5" thickTop="1" thickBot="1">
      <c r="A63" s="308">
        <v>9</v>
      </c>
      <c r="B63" s="9" t="s">
        <v>24</v>
      </c>
      <c r="C63" s="318"/>
      <c r="D63" s="9" t="s">
        <v>9</v>
      </c>
      <c r="E63" s="309">
        <v>5</v>
      </c>
      <c r="F63" s="315" t="s">
        <v>31</v>
      </c>
      <c r="G63"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3"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4" spans="1:8" ht="16.5" thickTop="1" thickBot="1">
      <c r="A64" s="308">
        <v>10</v>
      </c>
      <c r="B64" s="9" t="s">
        <v>25</v>
      </c>
      <c r="C64" s="318"/>
      <c r="D64" s="9" t="s">
        <v>9</v>
      </c>
      <c r="E64" s="309">
        <v>5</v>
      </c>
      <c r="F64" s="315" t="s">
        <v>31</v>
      </c>
      <c r="G64"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4"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5" spans="1:8" ht="16.5" thickTop="1" thickBot="1">
      <c r="A65" s="308">
        <v>11</v>
      </c>
      <c r="B65" s="9" t="s">
        <v>26</v>
      </c>
      <c r="C65" s="318"/>
      <c r="D65" s="9" t="s">
        <v>9</v>
      </c>
      <c r="E65" s="309">
        <v>5</v>
      </c>
      <c r="F65" s="315" t="s">
        <v>31</v>
      </c>
      <c r="G65"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5"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6" spans="1:8" ht="14.25" thickTop="1" thickBot="1">
      <c r="A66" s="308">
        <v>12</v>
      </c>
      <c r="B66" s="9" t="s">
        <v>27</v>
      </c>
      <c r="C66" s="38"/>
      <c r="D66" s="9" t="s">
        <v>19</v>
      </c>
      <c r="E66" s="309">
        <v>5</v>
      </c>
      <c r="F66" s="315" t="s">
        <v>31</v>
      </c>
      <c r="G66"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66" s="316">
        <f>IF(OR(BUReporting[[#This Row],[Period]]=1,OR(BUReporting[[#This Row],[Period]]=2,OR(BUReporting[[#This Row],[Period]]=3,OR(BUReporting[[#This Row],[Period]]=4,OR(BUReporting[[#This Row],[Period]]=5,BUReporting[[#This Row],[Period]]=6))))),VLOOKUP(BUReporting[[#This Row],[Program]],'Program MW '!$A$12:$S$22,15,FALSE),VLOOKUP(BUReporting[[#This Row],[Program]],'Program MW '!$A$34:$S$45,15,FALSE))</f>
        <v>0</v>
      </c>
    </row>
    <row r="67" spans="1:8" ht="16.5" thickTop="1" thickBot="1">
      <c r="A67" s="317">
        <v>0</v>
      </c>
      <c r="B67" s="69" t="s">
        <v>8</v>
      </c>
      <c r="C67" s="318"/>
      <c r="D67" s="310" t="s">
        <v>9</v>
      </c>
      <c r="E67" s="313">
        <v>6</v>
      </c>
      <c r="F67" s="314" t="s">
        <v>32</v>
      </c>
      <c r="G67" s="307">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316">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308">
        <v>1</v>
      </c>
      <c r="B68" s="9" t="s">
        <v>11</v>
      </c>
      <c r="C68" s="318"/>
      <c r="D68" s="9" t="s">
        <v>9</v>
      </c>
      <c r="E68" s="309">
        <v>6</v>
      </c>
      <c r="F68" s="315" t="s">
        <v>32</v>
      </c>
      <c r="G68"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68"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69" spans="1:8" ht="16.5" thickTop="1" thickBot="1">
      <c r="A69" s="308">
        <v>2</v>
      </c>
      <c r="B69" s="9" t="s">
        <v>12</v>
      </c>
      <c r="C69" s="318" t="s">
        <v>13</v>
      </c>
      <c r="D69" s="9" t="s">
        <v>9</v>
      </c>
      <c r="E69" s="309">
        <v>6</v>
      </c>
      <c r="F69" s="315" t="s">
        <v>32</v>
      </c>
      <c r="G69"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69" s="316"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0" spans="1:8" ht="16.5" thickTop="1" thickBot="1">
      <c r="A70" s="308">
        <v>3</v>
      </c>
      <c r="B70" s="9" t="s">
        <v>14</v>
      </c>
      <c r="C70" s="318"/>
      <c r="D70" s="9" t="s">
        <v>9</v>
      </c>
      <c r="E70" s="309">
        <v>6</v>
      </c>
      <c r="F70" s="315" t="s">
        <v>32</v>
      </c>
      <c r="G70"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0" s="316"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1" spans="1:8" ht="16.5" thickTop="1" thickBot="1">
      <c r="A71" s="308">
        <v>4</v>
      </c>
      <c r="B71" s="9" t="s">
        <v>15</v>
      </c>
      <c r="C71" s="318" t="s">
        <v>16</v>
      </c>
      <c r="D71" s="9" t="s">
        <v>9</v>
      </c>
      <c r="E71" s="309">
        <v>6</v>
      </c>
      <c r="F71" s="315" t="s">
        <v>32</v>
      </c>
      <c r="G71"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71" s="316" t="e">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#N/A</v>
      </c>
    </row>
    <row r="72" spans="1:8" ht="16.5" thickTop="1" thickBot="1">
      <c r="A72" s="308">
        <v>5</v>
      </c>
      <c r="B72" s="9" t="s">
        <v>17</v>
      </c>
      <c r="C72" s="318" t="s">
        <v>18</v>
      </c>
      <c r="D72" s="9" t="s">
        <v>19</v>
      </c>
      <c r="E72" s="309">
        <v>6</v>
      </c>
      <c r="F72" s="315" t="s">
        <v>32</v>
      </c>
      <c r="G72"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2"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3" spans="1:8" ht="16.5" thickTop="1" thickBot="1">
      <c r="A73" s="308">
        <v>6</v>
      </c>
      <c r="B73" s="9" t="s">
        <v>20</v>
      </c>
      <c r="C73" s="318" t="s">
        <v>18</v>
      </c>
      <c r="D73" s="9" t="s">
        <v>9</v>
      </c>
      <c r="E73" s="309">
        <v>6</v>
      </c>
      <c r="F73" s="315" t="s">
        <v>32</v>
      </c>
      <c r="G73"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3"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4" spans="1:8" ht="16.5" thickTop="1" thickBot="1">
      <c r="A74" s="308">
        <v>7</v>
      </c>
      <c r="B74" s="9" t="s">
        <v>21</v>
      </c>
      <c r="C74" s="318" t="s">
        <v>22</v>
      </c>
      <c r="D74" s="9" t="s">
        <v>19</v>
      </c>
      <c r="E74" s="309">
        <v>6</v>
      </c>
      <c r="F74" s="315" t="s">
        <v>32</v>
      </c>
      <c r="G74"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4"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5" spans="1:8" ht="16.5" thickTop="1" thickBot="1">
      <c r="A75" s="308">
        <v>8</v>
      </c>
      <c r="B75" s="9" t="s">
        <v>23</v>
      </c>
      <c r="C75" s="318" t="s">
        <v>22</v>
      </c>
      <c r="D75" s="9" t="s">
        <v>9</v>
      </c>
      <c r="E75" s="309">
        <v>6</v>
      </c>
      <c r="F75" s="315" t="s">
        <v>32</v>
      </c>
      <c r="G75"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5"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6" spans="1:8" ht="16.5" thickTop="1" thickBot="1">
      <c r="A76" s="308">
        <v>9</v>
      </c>
      <c r="B76" s="9" t="s">
        <v>24</v>
      </c>
      <c r="C76" s="318"/>
      <c r="D76" s="9" t="s">
        <v>9</v>
      </c>
      <c r="E76" s="309">
        <v>6</v>
      </c>
      <c r="F76" s="315" t="s">
        <v>32</v>
      </c>
      <c r="G76"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6"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7" spans="1:8" ht="16.5" thickTop="1" thickBot="1">
      <c r="A77" s="308">
        <v>10</v>
      </c>
      <c r="B77" s="9" t="s">
        <v>25</v>
      </c>
      <c r="C77" s="318"/>
      <c r="D77" s="9" t="s">
        <v>9</v>
      </c>
      <c r="E77" s="309">
        <v>6</v>
      </c>
      <c r="F77" s="315" t="s">
        <v>32</v>
      </c>
      <c r="G77"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7"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8" spans="1:8" ht="16.5" thickTop="1" thickBot="1">
      <c r="A78" s="308">
        <v>11</v>
      </c>
      <c r="B78" s="9" t="s">
        <v>26</v>
      </c>
      <c r="C78" s="318"/>
      <c r="D78" s="9" t="s">
        <v>9</v>
      </c>
      <c r="E78" s="309">
        <v>6</v>
      </c>
      <c r="F78" s="315" t="s">
        <v>32</v>
      </c>
      <c r="G78"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8"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79" spans="1:8" ht="14.25" thickTop="1" thickBot="1">
      <c r="A79" s="308">
        <v>12</v>
      </c>
      <c r="B79" s="9" t="s">
        <v>27</v>
      </c>
      <c r="C79" s="38"/>
      <c r="D79" s="9" t="s">
        <v>19</v>
      </c>
      <c r="E79" s="309">
        <v>6</v>
      </c>
      <c r="F79" s="315" t="s">
        <v>32</v>
      </c>
      <c r="G79"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79" s="316">
        <f>IF(OR(BUReporting[[#This Row],[Period]]=1,OR(BUReporting[[#This Row],[Period]]=2,OR(BUReporting[[#This Row],[Period]]=3,OR(BUReporting[[#This Row],[Period]]=4,OR(BUReporting[[#This Row],[Period]]=5,BUReporting[[#This Row],[Period]]=6))))),VLOOKUP(BUReporting[[#This Row],[Program]],'Program MW '!$A$12:$S$22,18,FALSE),VLOOKUP(BUReporting[[#This Row],[Program]],'Program MW '!$A$34:$S$45,18,FALSE))</f>
        <v>0</v>
      </c>
    </row>
    <row r="80" spans="1:8" ht="16.5" thickTop="1" thickBot="1">
      <c r="A80" s="317">
        <v>0</v>
      </c>
      <c r="B80" s="69" t="s">
        <v>8</v>
      </c>
      <c r="C80" s="318"/>
      <c r="D80" s="310" t="s">
        <v>9</v>
      </c>
      <c r="E80" s="313">
        <v>7</v>
      </c>
      <c r="F80" s="314" t="s">
        <v>33</v>
      </c>
      <c r="G80" s="307">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316">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308">
        <v>1</v>
      </c>
      <c r="B81" s="9" t="s">
        <v>11</v>
      </c>
      <c r="C81" s="318"/>
      <c r="D81" s="9" t="s">
        <v>9</v>
      </c>
      <c r="E81" s="309">
        <v>7</v>
      </c>
      <c r="F81" s="315" t="s">
        <v>33</v>
      </c>
      <c r="G81"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1" s="316">
        <f>VLOOKUP(BUReporting[[#This Row],[Program]],'Program MW '!$A$34:$S$45,3,FALSE)</f>
        <v>0</v>
      </c>
    </row>
    <row r="82" spans="1:8" ht="16.5" thickTop="1" thickBot="1">
      <c r="A82" s="308">
        <v>2</v>
      </c>
      <c r="B82" s="9" t="s">
        <v>12</v>
      </c>
      <c r="C82" s="318" t="s">
        <v>13</v>
      </c>
      <c r="D82" s="9" t="s">
        <v>9</v>
      </c>
      <c r="E82" s="309">
        <v>7</v>
      </c>
      <c r="F82" s="315" t="s">
        <v>33</v>
      </c>
      <c r="G82" s="307"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2" s="316" t="e">
        <f>VLOOKUP(BUReporting[[#This Row],[Program]],'Program MW '!$A$34:$S$45,3,FALSE)</f>
        <v>#N/A</v>
      </c>
    </row>
    <row r="83" spans="1:8" ht="16.5" thickTop="1" thickBot="1">
      <c r="A83" s="308">
        <v>3</v>
      </c>
      <c r="B83" s="9" t="s">
        <v>14</v>
      </c>
      <c r="C83" s="318"/>
      <c r="D83" s="9" t="s">
        <v>9</v>
      </c>
      <c r="E83" s="309">
        <v>7</v>
      </c>
      <c r="F83" s="315" t="s">
        <v>33</v>
      </c>
      <c r="G83" s="307"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3" s="316" t="e">
        <f>VLOOKUP(BUReporting[[#This Row],[Program]],'Program MW '!$A$34:$S$45,3,FALSE)</f>
        <v>#N/A</v>
      </c>
    </row>
    <row r="84" spans="1:8" ht="16.5" thickTop="1" thickBot="1">
      <c r="A84" s="308">
        <v>4</v>
      </c>
      <c r="B84" s="9" t="s">
        <v>15</v>
      </c>
      <c r="C84" s="318" t="s">
        <v>16</v>
      </c>
      <c r="D84" s="9" t="s">
        <v>9</v>
      </c>
      <c r="E84" s="309">
        <v>7</v>
      </c>
      <c r="F84" s="315" t="s">
        <v>33</v>
      </c>
      <c r="G84" s="307" t="e">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#N/A</v>
      </c>
      <c r="H84" s="316" t="e">
        <f>VLOOKUP(BUReporting[[#This Row],[Program]],'Program MW '!$A$34:$S$45,3,FALSE)</f>
        <v>#N/A</v>
      </c>
    </row>
    <row r="85" spans="1:8" ht="16.5" thickTop="1" thickBot="1">
      <c r="A85" s="308">
        <v>5</v>
      </c>
      <c r="B85" s="9" t="s">
        <v>17</v>
      </c>
      <c r="C85" s="318" t="s">
        <v>18</v>
      </c>
      <c r="D85" s="9" t="s">
        <v>19</v>
      </c>
      <c r="E85" s="309">
        <v>7</v>
      </c>
      <c r="F85" s="315" t="s">
        <v>33</v>
      </c>
      <c r="G85"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5" s="316">
        <f>VLOOKUP(BUReporting[[#This Row],[Program]],'Program MW '!$A$34:$S$45,3,FALSE)</f>
        <v>0</v>
      </c>
    </row>
    <row r="86" spans="1:8" ht="16.5" thickTop="1" thickBot="1">
      <c r="A86" s="308">
        <v>6</v>
      </c>
      <c r="B86" s="9" t="s">
        <v>20</v>
      </c>
      <c r="C86" s="318" t="s">
        <v>18</v>
      </c>
      <c r="D86" s="9" t="s">
        <v>9</v>
      </c>
      <c r="E86" s="309">
        <v>7</v>
      </c>
      <c r="F86" s="315" t="s">
        <v>33</v>
      </c>
      <c r="G86"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6" s="316">
        <f>VLOOKUP(BUReporting[[#This Row],[Program]],'Program MW '!$A$34:$S$45,3,FALSE)</f>
        <v>0</v>
      </c>
    </row>
    <row r="87" spans="1:8" ht="16.5" thickTop="1" thickBot="1">
      <c r="A87" s="308">
        <v>7</v>
      </c>
      <c r="B87" s="9" t="s">
        <v>21</v>
      </c>
      <c r="C87" s="318" t="s">
        <v>22</v>
      </c>
      <c r="D87" s="9" t="s">
        <v>19</v>
      </c>
      <c r="E87" s="309">
        <v>7</v>
      </c>
      <c r="F87" s="315" t="s">
        <v>33</v>
      </c>
      <c r="G87"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7" s="316">
        <f>VLOOKUP(BUReporting[[#This Row],[Program]],'Program MW '!$A$34:$S$45,3,FALSE)</f>
        <v>0</v>
      </c>
    </row>
    <row r="88" spans="1:8" ht="16.5" thickTop="1" thickBot="1">
      <c r="A88" s="308">
        <v>8</v>
      </c>
      <c r="B88" s="9" t="s">
        <v>23</v>
      </c>
      <c r="C88" s="318" t="s">
        <v>22</v>
      </c>
      <c r="D88" s="9" t="s">
        <v>9</v>
      </c>
      <c r="E88" s="309">
        <v>7</v>
      </c>
      <c r="F88" s="315" t="s">
        <v>33</v>
      </c>
      <c r="G88"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8" s="316">
        <f>VLOOKUP(BUReporting[[#This Row],[Program]],'Program MW '!$A$34:$S$45,3,FALSE)</f>
        <v>0</v>
      </c>
    </row>
    <row r="89" spans="1:8" ht="16.5" thickTop="1" thickBot="1">
      <c r="A89" s="308">
        <v>9</v>
      </c>
      <c r="B89" s="9" t="s">
        <v>24</v>
      </c>
      <c r="C89" s="318"/>
      <c r="D89" s="9" t="s">
        <v>9</v>
      </c>
      <c r="E89" s="309">
        <v>7</v>
      </c>
      <c r="F89" s="315" t="s">
        <v>33</v>
      </c>
      <c r="G89"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89" s="316">
        <f>VLOOKUP(BUReporting[[#This Row],[Program]],'Program MW '!$A$34:$S$45,3,FALSE)</f>
        <v>0</v>
      </c>
    </row>
    <row r="90" spans="1:8" ht="16.5" thickTop="1" thickBot="1">
      <c r="A90" s="308">
        <v>10</v>
      </c>
      <c r="B90" s="9" t="s">
        <v>25</v>
      </c>
      <c r="C90" s="318"/>
      <c r="D90" s="9" t="s">
        <v>9</v>
      </c>
      <c r="E90" s="309">
        <v>7</v>
      </c>
      <c r="F90" s="315" t="s">
        <v>33</v>
      </c>
      <c r="G90"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0" s="316">
        <f>VLOOKUP(BUReporting[[#This Row],[Program]],'Program MW '!$A$34:$S$45,3,FALSE)</f>
        <v>0</v>
      </c>
    </row>
    <row r="91" spans="1:8" ht="16.5" thickTop="1" thickBot="1">
      <c r="A91" s="308">
        <v>11</v>
      </c>
      <c r="B91" s="9" t="s">
        <v>26</v>
      </c>
      <c r="C91" s="318"/>
      <c r="D91" s="9" t="s">
        <v>9</v>
      </c>
      <c r="E91" s="309">
        <v>7</v>
      </c>
      <c r="F91" s="315" t="s">
        <v>33</v>
      </c>
      <c r="G91"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1" s="316">
        <f>VLOOKUP(BUReporting[[#This Row],[Program]],'Program MW '!$A$34:$S$45,3,FALSE)</f>
        <v>0</v>
      </c>
    </row>
    <row r="92" spans="1:8" ht="14.25" thickTop="1" thickBot="1">
      <c r="A92" s="308">
        <v>12</v>
      </c>
      <c r="B92" s="9" t="s">
        <v>27</v>
      </c>
      <c r="C92" s="38"/>
      <c r="D92" s="9" t="s">
        <v>19</v>
      </c>
      <c r="E92" s="309">
        <v>7</v>
      </c>
      <c r="F92" s="315" t="s">
        <v>33</v>
      </c>
      <c r="G92" s="307">
        <f>IF(OR(BUReporting[[#This Row],[Period]]=1,OR(BUReporting[[#This Row],[Period]]=2,OR(BUReporting[[#This Row],[Period]]=3,OR(BUReporting[[#This Row],[Period]]=4,OR(BUReporting[[#This Row],[Period]]=5,BUReporting[[#This Row],[Period]]=6))))),VLOOKUP(BUReporting[[#This Row],[Program]],'Program MW '!$A$12:$S$22,2,FALSE),VLOOKUP(BUReporting[[#This Row],[Program]],'Program MW '!$A$34:$S$45,2,FALSE))</f>
        <v>0</v>
      </c>
      <c r="H92" s="316">
        <f>VLOOKUP(BUReporting[[#This Row],[Program]],'Program MW '!$A$34:$S$45,3,FALSE)</f>
        <v>0</v>
      </c>
    </row>
    <row r="93" spans="1:8" ht="16.5" thickTop="1" thickBot="1">
      <c r="A93" s="317">
        <v>0</v>
      </c>
      <c r="B93" s="69" t="s">
        <v>8</v>
      </c>
      <c r="C93" s="318"/>
      <c r="D93" s="310" t="s">
        <v>9</v>
      </c>
      <c r="E93" s="313">
        <v>8</v>
      </c>
      <c r="F93" s="314" t="s">
        <v>34</v>
      </c>
      <c r="G93" s="307">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316">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308">
        <v>1</v>
      </c>
      <c r="B94" s="9" t="s">
        <v>11</v>
      </c>
      <c r="C94" s="318"/>
      <c r="D94" s="9" t="s">
        <v>9</v>
      </c>
      <c r="E94" s="309">
        <v>8</v>
      </c>
      <c r="F94" s="315" t="s">
        <v>34</v>
      </c>
      <c r="G94"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4" s="316">
        <f>VLOOKUP(BUReporting[[#This Row],[Program]],'Program MW '!$A$34:$S$45,6,FALSE)</f>
        <v>0</v>
      </c>
    </row>
    <row r="95" spans="1:8" ht="16.5" thickTop="1" thickBot="1">
      <c r="A95" s="308">
        <v>2</v>
      </c>
      <c r="B95" s="9" t="s">
        <v>12</v>
      </c>
      <c r="C95" s="318" t="s">
        <v>13</v>
      </c>
      <c r="D95" s="9" t="s">
        <v>9</v>
      </c>
      <c r="E95" s="309">
        <v>8</v>
      </c>
      <c r="F95" s="315" t="s">
        <v>34</v>
      </c>
      <c r="G95" s="307"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5" s="316" t="e">
        <f>VLOOKUP(BUReporting[[#This Row],[Program]],'Program MW '!$A$34:$S$45,6,FALSE)</f>
        <v>#N/A</v>
      </c>
    </row>
    <row r="96" spans="1:8" ht="16.5" thickTop="1" thickBot="1">
      <c r="A96" s="308">
        <v>3</v>
      </c>
      <c r="B96" s="9" t="s">
        <v>14</v>
      </c>
      <c r="C96" s="318"/>
      <c r="D96" s="9" t="s">
        <v>9</v>
      </c>
      <c r="E96" s="309">
        <v>8</v>
      </c>
      <c r="F96" s="315" t="s">
        <v>34</v>
      </c>
      <c r="G96" s="307"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6" s="316" t="e">
        <f>VLOOKUP(BUReporting[[#This Row],[Program]],'Program MW '!$A$34:$S$45,6,FALSE)</f>
        <v>#N/A</v>
      </c>
    </row>
    <row r="97" spans="1:8" ht="16.5" thickTop="1" thickBot="1">
      <c r="A97" s="308">
        <v>4</v>
      </c>
      <c r="B97" s="9" t="s">
        <v>15</v>
      </c>
      <c r="C97" s="318" t="s">
        <v>16</v>
      </c>
      <c r="D97" s="9" t="s">
        <v>9</v>
      </c>
      <c r="E97" s="309">
        <v>8</v>
      </c>
      <c r="F97" s="315" t="s">
        <v>34</v>
      </c>
      <c r="G97" s="307" t="e">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#N/A</v>
      </c>
      <c r="H97" s="316" t="e">
        <f>VLOOKUP(BUReporting[[#This Row],[Program]],'Program MW '!$A$34:$S$45,6,FALSE)</f>
        <v>#N/A</v>
      </c>
    </row>
    <row r="98" spans="1:8" ht="16.5" thickTop="1" thickBot="1">
      <c r="A98" s="308">
        <v>5</v>
      </c>
      <c r="B98" s="9" t="s">
        <v>17</v>
      </c>
      <c r="C98" s="318" t="s">
        <v>18</v>
      </c>
      <c r="D98" s="9" t="s">
        <v>19</v>
      </c>
      <c r="E98" s="309">
        <v>8</v>
      </c>
      <c r="F98" s="315" t="s">
        <v>34</v>
      </c>
      <c r="G98"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8" s="316">
        <f>VLOOKUP(BUReporting[[#This Row],[Program]],'Program MW '!$A$34:$S$45,6,FALSE)</f>
        <v>0</v>
      </c>
    </row>
    <row r="99" spans="1:8" ht="16.5" thickTop="1" thickBot="1">
      <c r="A99" s="308">
        <v>6</v>
      </c>
      <c r="B99" s="9" t="s">
        <v>20</v>
      </c>
      <c r="C99" s="318" t="s">
        <v>18</v>
      </c>
      <c r="D99" s="9" t="s">
        <v>9</v>
      </c>
      <c r="E99" s="309">
        <v>8</v>
      </c>
      <c r="F99" s="315" t="s">
        <v>34</v>
      </c>
      <c r="G99"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99" s="316">
        <f>VLOOKUP(BUReporting[[#This Row],[Program]],'Program MW '!$A$34:$S$45,6,FALSE)</f>
        <v>0</v>
      </c>
    </row>
    <row r="100" spans="1:8" ht="16.5" thickTop="1" thickBot="1">
      <c r="A100" s="308">
        <v>7</v>
      </c>
      <c r="B100" s="9" t="s">
        <v>21</v>
      </c>
      <c r="C100" s="318" t="s">
        <v>22</v>
      </c>
      <c r="D100" s="9" t="s">
        <v>19</v>
      </c>
      <c r="E100" s="309">
        <v>8</v>
      </c>
      <c r="F100" s="315" t="s">
        <v>34</v>
      </c>
      <c r="G100"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0" s="316">
        <f>VLOOKUP(BUReporting[[#This Row],[Program]],'Program MW '!$A$34:$S$45,6,FALSE)</f>
        <v>0</v>
      </c>
    </row>
    <row r="101" spans="1:8" ht="16.5" thickTop="1" thickBot="1">
      <c r="A101" s="308">
        <v>8</v>
      </c>
      <c r="B101" s="9" t="s">
        <v>23</v>
      </c>
      <c r="C101" s="318" t="s">
        <v>22</v>
      </c>
      <c r="D101" s="9" t="s">
        <v>9</v>
      </c>
      <c r="E101" s="309">
        <v>8</v>
      </c>
      <c r="F101" s="315" t="s">
        <v>34</v>
      </c>
      <c r="G101"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1" s="316">
        <f>VLOOKUP(BUReporting[[#This Row],[Program]],'Program MW '!$A$34:$S$45,6,FALSE)</f>
        <v>0</v>
      </c>
    </row>
    <row r="102" spans="1:8" ht="16.5" thickTop="1" thickBot="1">
      <c r="A102" s="308">
        <v>9</v>
      </c>
      <c r="B102" s="9" t="s">
        <v>24</v>
      </c>
      <c r="C102" s="318"/>
      <c r="D102" s="9" t="s">
        <v>9</v>
      </c>
      <c r="E102" s="309">
        <v>8</v>
      </c>
      <c r="F102" s="315" t="s">
        <v>34</v>
      </c>
      <c r="G102"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2" s="316">
        <f>VLOOKUP(BUReporting[[#This Row],[Program]],'Program MW '!$A$34:$S$45,6,FALSE)</f>
        <v>0</v>
      </c>
    </row>
    <row r="103" spans="1:8" ht="16.5" thickTop="1" thickBot="1">
      <c r="A103" s="308">
        <v>10</v>
      </c>
      <c r="B103" s="9" t="s">
        <v>25</v>
      </c>
      <c r="C103" s="318"/>
      <c r="D103" s="9" t="s">
        <v>9</v>
      </c>
      <c r="E103" s="309">
        <v>8</v>
      </c>
      <c r="F103" s="315" t="s">
        <v>34</v>
      </c>
      <c r="G103"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3" s="316">
        <f>VLOOKUP(BUReporting[[#This Row],[Program]],'Program MW '!$A$34:$S$45,6,FALSE)</f>
        <v>0</v>
      </c>
    </row>
    <row r="104" spans="1:8" ht="16.5" thickTop="1" thickBot="1">
      <c r="A104" s="308">
        <v>11</v>
      </c>
      <c r="B104" s="9" t="s">
        <v>26</v>
      </c>
      <c r="C104" s="318"/>
      <c r="D104" s="9" t="s">
        <v>9</v>
      </c>
      <c r="E104" s="309">
        <v>8</v>
      </c>
      <c r="F104" s="315" t="s">
        <v>34</v>
      </c>
      <c r="G104"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4" s="316">
        <f>VLOOKUP(BUReporting[[#This Row],[Program]],'Program MW '!$A$34:$S$45,6,FALSE)</f>
        <v>0</v>
      </c>
    </row>
    <row r="105" spans="1:8" ht="14.25" thickTop="1" thickBot="1">
      <c r="A105" s="308">
        <v>12</v>
      </c>
      <c r="B105" s="9" t="s">
        <v>27</v>
      </c>
      <c r="C105" s="38"/>
      <c r="D105" s="9" t="s">
        <v>19</v>
      </c>
      <c r="E105" s="309">
        <v>8</v>
      </c>
      <c r="F105" s="315" t="s">
        <v>34</v>
      </c>
      <c r="G105" s="307">
        <f>IF(OR(BUReporting[[#This Row],[Period]]=1,OR(BUReporting[[#This Row],[Period]]=2,OR(BUReporting[[#This Row],[Period]]=3,OR(BUReporting[[#This Row],[Period]]=4,OR(BUReporting[[#This Row],[Period]]=5,BUReporting[[#This Row],[Period]]=6))))),VLOOKUP(BUReporting[[#This Row],[Program]],'Program MW '!$A$12:$S$22,5,FALSE),VLOOKUP(BUReporting[[#This Row],[Program]],'Program MW '!$A$34:$S$45,5,FALSE))</f>
        <v>0</v>
      </c>
      <c r="H105" s="316">
        <f>VLOOKUP(BUReporting[[#This Row],[Program]],'Program MW '!$A$34:$S$45,6,FALSE)</f>
        <v>0</v>
      </c>
    </row>
    <row r="106" spans="1:8" ht="16.5" thickTop="1" thickBot="1">
      <c r="A106" s="317">
        <v>0</v>
      </c>
      <c r="B106" s="69" t="s">
        <v>8</v>
      </c>
      <c r="C106" s="318"/>
      <c r="D106" s="310" t="s">
        <v>9</v>
      </c>
      <c r="E106" s="313">
        <v>9</v>
      </c>
      <c r="F106" s="314" t="s">
        <v>35</v>
      </c>
      <c r="G106" s="307">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316">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308">
        <v>1</v>
      </c>
      <c r="B107" s="9" t="s">
        <v>11</v>
      </c>
      <c r="C107" s="318"/>
      <c r="D107" s="9" t="s">
        <v>9</v>
      </c>
      <c r="E107" s="309">
        <v>9</v>
      </c>
      <c r="F107" s="315" t="s">
        <v>35</v>
      </c>
      <c r="G107"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07" s="316">
        <f>VLOOKUP(BUReporting[[#This Row],[Program]],'Program MW '!$A$34:$S$45,9,FALSE)</f>
        <v>0</v>
      </c>
    </row>
    <row r="108" spans="1:8" ht="16.5" thickTop="1" thickBot="1">
      <c r="A108" s="308">
        <v>2</v>
      </c>
      <c r="B108" s="9" t="s">
        <v>12</v>
      </c>
      <c r="C108" s="318" t="s">
        <v>13</v>
      </c>
      <c r="D108" s="9" t="s">
        <v>9</v>
      </c>
      <c r="E108" s="309">
        <v>9</v>
      </c>
      <c r="F108" s="315" t="s">
        <v>35</v>
      </c>
      <c r="G108"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8" s="316" t="e">
        <f>VLOOKUP(BUReporting[[#This Row],[Program]],'Program MW '!$A$34:$S$45,9,FALSE)</f>
        <v>#N/A</v>
      </c>
    </row>
    <row r="109" spans="1:8" ht="16.5" thickTop="1" thickBot="1">
      <c r="A109" s="308">
        <v>3</v>
      </c>
      <c r="B109" s="9" t="s">
        <v>14</v>
      </c>
      <c r="C109" s="318"/>
      <c r="D109" s="9" t="s">
        <v>9</v>
      </c>
      <c r="E109" s="309">
        <v>9</v>
      </c>
      <c r="F109" s="315" t="s">
        <v>35</v>
      </c>
      <c r="G109"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09" s="316" t="e">
        <f>VLOOKUP(BUReporting[[#This Row],[Program]],'Program MW '!$A$34:$S$45,9,FALSE)</f>
        <v>#N/A</v>
      </c>
    </row>
    <row r="110" spans="1:8" ht="16.5" thickTop="1" thickBot="1">
      <c r="A110" s="308">
        <v>4</v>
      </c>
      <c r="B110" s="9" t="s">
        <v>15</v>
      </c>
      <c r="C110" s="318" t="s">
        <v>16</v>
      </c>
      <c r="D110" s="9" t="s">
        <v>9</v>
      </c>
      <c r="E110" s="309">
        <v>9</v>
      </c>
      <c r="F110" s="315" t="s">
        <v>35</v>
      </c>
      <c r="G110" s="307" t="e">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#N/A</v>
      </c>
      <c r="H110" s="316" t="e">
        <f>VLOOKUP(BUReporting[[#This Row],[Program]],'Program MW '!$A$34:$S$45,9,FALSE)</f>
        <v>#N/A</v>
      </c>
    </row>
    <row r="111" spans="1:8" ht="16.5" thickTop="1" thickBot="1">
      <c r="A111" s="308">
        <v>5</v>
      </c>
      <c r="B111" s="9" t="s">
        <v>17</v>
      </c>
      <c r="C111" s="318" t="s">
        <v>18</v>
      </c>
      <c r="D111" s="9" t="s">
        <v>19</v>
      </c>
      <c r="E111" s="309">
        <v>9</v>
      </c>
      <c r="F111" s="315" t="s">
        <v>35</v>
      </c>
      <c r="G111"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1" s="316">
        <f>VLOOKUP(BUReporting[[#This Row],[Program]],'Program MW '!$A$34:$S$45,9,FALSE)</f>
        <v>0</v>
      </c>
    </row>
    <row r="112" spans="1:8" ht="16.5" thickTop="1" thickBot="1">
      <c r="A112" s="308">
        <v>6</v>
      </c>
      <c r="B112" s="9" t="s">
        <v>20</v>
      </c>
      <c r="C112" s="318" t="s">
        <v>18</v>
      </c>
      <c r="D112" s="9" t="s">
        <v>9</v>
      </c>
      <c r="E112" s="309">
        <v>9</v>
      </c>
      <c r="F112" s="315" t="s">
        <v>35</v>
      </c>
      <c r="G112"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2" s="316">
        <f>VLOOKUP(BUReporting[[#This Row],[Program]],'Program MW '!$A$34:$S$45,9,FALSE)</f>
        <v>0</v>
      </c>
    </row>
    <row r="113" spans="1:8" ht="16.5" thickTop="1" thickBot="1">
      <c r="A113" s="308">
        <v>7</v>
      </c>
      <c r="B113" s="9" t="s">
        <v>21</v>
      </c>
      <c r="C113" s="318" t="s">
        <v>22</v>
      </c>
      <c r="D113" s="9" t="s">
        <v>19</v>
      </c>
      <c r="E113" s="309">
        <v>9</v>
      </c>
      <c r="F113" s="315" t="s">
        <v>35</v>
      </c>
      <c r="G113"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3" s="316">
        <f>VLOOKUP(BUReporting[[#This Row],[Program]],'Program MW '!$A$34:$S$45,9,FALSE)</f>
        <v>0</v>
      </c>
    </row>
    <row r="114" spans="1:8" ht="16.5" thickTop="1" thickBot="1">
      <c r="A114" s="308">
        <v>8</v>
      </c>
      <c r="B114" s="9" t="s">
        <v>23</v>
      </c>
      <c r="C114" s="318" t="s">
        <v>22</v>
      </c>
      <c r="D114" s="9" t="s">
        <v>9</v>
      </c>
      <c r="E114" s="309">
        <v>9</v>
      </c>
      <c r="F114" s="315" t="s">
        <v>35</v>
      </c>
      <c r="G114"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4" s="316">
        <f>VLOOKUP(BUReporting[[#This Row],[Program]],'Program MW '!$A$34:$S$45,9,FALSE)</f>
        <v>0</v>
      </c>
    </row>
    <row r="115" spans="1:8" ht="16.5" thickTop="1" thickBot="1">
      <c r="A115" s="308">
        <v>9</v>
      </c>
      <c r="B115" s="9" t="s">
        <v>24</v>
      </c>
      <c r="C115" s="318"/>
      <c r="D115" s="9" t="s">
        <v>9</v>
      </c>
      <c r="E115" s="309">
        <v>9</v>
      </c>
      <c r="F115" s="315" t="s">
        <v>35</v>
      </c>
      <c r="G115"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5" s="316">
        <f>VLOOKUP(BUReporting[[#This Row],[Program]],'Program MW '!$A$34:$S$45,9,FALSE)</f>
        <v>0</v>
      </c>
    </row>
    <row r="116" spans="1:8" ht="16.5" thickTop="1" thickBot="1">
      <c r="A116" s="308">
        <v>10</v>
      </c>
      <c r="B116" s="9" t="s">
        <v>25</v>
      </c>
      <c r="C116" s="318"/>
      <c r="D116" s="9" t="s">
        <v>9</v>
      </c>
      <c r="E116" s="309">
        <v>9</v>
      </c>
      <c r="F116" s="315" t="s">
        <v>35</v>
      </c>
      <c r="G116"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6" s="316">
        <f>VLOOKUP(BUReporting[[#This Row],[Program]],'Program MW '!$A$34:$S$45,9,FALSE)</f>
        <v>0</v>
      </c>
    </row>
    <row r="117" spans="1:8" ht="16.5" thickTop="1" thickBot="1">
      <c r="A117" s="308">
        <v>11</v>
      </c>
      <c r="B117" s="9" t="s">
        <v>26</v>
      </c>
      <c r="C117" s="318"/>
      <c r="D117" s="9" t="s">
        <v>9</v>
      </c>
      <c r="E117" s="309">
        <v>9</v>
      </c>
      <c r="F117" s="315" t="s">
        <v>35</v>
      </c>
      <c r="G117"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7" s="316">
        <f>VLOOKUP(BUReporting[[#This Row],[Program]],'Program MW '!$A$34:$S$45,9,FALSE)</f>
        <v>0</v>
      </c>
    </row>
    <row r="118" spans="1:8" ht="14.25" thickTop="1" thickBot="1">
      <c r="A118" s="308">
        <v>12</v>
      </c>
      <c r="B118" s="9" t="s">
        <v>27</v>
      </c>
      <c r="C118" s="38"/>
      <c r="D118" s="9" t="s">
        <v>19</v>
      </c>
      <c r="E118" s="309">
        <v>9</v>
      </c>
      <c r="F118" s="315" t="s">
        <v>35</v>
      </c>
      <c r="G118" s="307">
        <f>IF(OR(BUReporting[[#This Row],[Period]]=1,OR(BUReporting[[#This Row],[Period]]=2,OR(BUReporting[[#This Row],[Period]]=3,OR(BUReporting[[#This Row],[Period]]=4,OR(BUReporting[[#This Row],[Period]]=5,BUReporting[[#This Row],[Period]]=6))))),VLOOKUP(BUReporting[[#This Row],[Program]],'Program MW '!$A$12:$S$22,8,FALSE),VLOOKUP(BUReporting[[#This Row],[Program]],'Program MW '!$A$34:$S$45,8,FALSE))</f>
        <v>0</v>
      </c>
      <c r="H118" s="316">
        <f>VLOOKUP(BUReporting[[#This Row],[Program]],'Program MW '!$A$34:$S$45,9,FALSE)</f>
        <v>0</v>
      </c>
    </row>
    <row r="119" spans="1:8" ht="16.5" thickTop="1" thickBot="1">
      <c r="A119" s="317">
        <v>0</v>
      </c>
      <c r="B119" s="69" t="s">
        <v>8</v>
      </c>
      <c r="C119" s="318"/>
      <c r="D119" s="310" t="s">
        <v>9</v>
      </c>
      <c r="E119" s="313">
        <v>10</v>
      </c>
      <c r="F119" s="314" t="s">
        <v>36</v>
      </c>
      <c r="G119" s="307">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316">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308">
        <v>1</v>
      </c>
      <c r="B120" s="9" t="s">
        <v>11</v>
      </c>
      <c r="C120" s="318"/>
      <c r="D120" s="9" t="s">
        <v>9</v>
      </c>
      <c r="E120" s="309">
        <v>10</v>
      </c>
      <c r="F120" s="315" t="s">
        <v>36</v>
      </c>
      <c r="G120"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0" s="316">
        <f>VLOOKUP(BUReporting[[#This Row],[Program]],'Program MW '!$A$34:$S$45,12,FALSE)</f>
        <v>0</v>
      </c>
    </row>
    <row r="121" spans="1:8" ht="16.5" thickTop="1" thickBot="1">
      <c r="A121" s="308">
        <v>2</v>
      </c>
      <c r="B121" s="9" t="s">
        <v>12</v>
      </c>
      <c r="C121" s="318" t="s">
        <v>13</v>
      </c>
      <c r="D121" s="9" t="s">
        <v>9</v>
      </c>
      <c r="E121" s="309">
        <v>10</v>
      </c>
      <c r="F121" s="315" t="s">
        <v>36</v>
      </c>
      <c r="G121"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1" s="316" t="e">
        <f>VLOOKUP(BUReporting[[#This Row],[Program]],'Program MW '!$A$34:$S$45,12,FALSE)</f>
        <v>#N/A</v>
      </c>
    </row>
    <row r="122" spans="1:8" ht="16.5" thickTop="1" thickBot="1">
      <c r="A122" s="308">
        <v>3</v>
      </c>
      <c r="B122" s="9" t="s">
        <v>14</v>
      </c>
      <c r="C122" s="318"/>
      <c r="D122" s="9" t="s">
        <v>9</v>
      </c>
      <c r="E122" s="309">
        <v>10</v>
      </c>
      <c r="F122" s="315" t="s">
        <v>36</v>
      </c>
      <c r="G122"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2" s="316" t="e">
        <f>VLOOKUP(BUReporting[[#This Row],[Program]],'Program MW '!$A$34:$S$45,12,FALSE)</f>
        <v>#N/A</v>
      </c>
    </row>
    <row r="123" spans="1:8" ht="16.5" thickTop="1" thickBot="1">
      <c r="A123" s="308">
        <v>4</v>
      </c>
      <c r="B123" s="9" t="s">
        <v>15</v>
      </c>
      <c r="C123" s="318" t="s">
        <v>16</v>
      </c>
      <c r="D123" s="9" t="s">
        <v>9</v>
      </c>
      <c r="E123" s="309">
        <v>10</v>
      </c>
      <c r="F123" s="315" t="s">
        <v>36</v>
      </c>
      <c r="G123" s="307" t="e">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#N/A</v>
      </c>
      <c r="H123" s="316" t="e">
        <f>VLOOKUP(BUReporting[[#This Row],[Program]],'Program MW '!$A$34:$S$45,12,FALSE)</f>
        <v>#N/A</v>
      </c>
    </row>
    <row r="124" spans="1:8" ht="16.5" thickTop="1" thickBot="1">
      <c r="A124" s="308">
        <v>5</v>
      </c>
      <c r="B124" s="9" t="s">
        <v>17</v>
      </c>
      <c r="C124" s="318" t="s">
        <v>18</v>
      </c>
      <c r="D124" s="9" t="s">
        <v>19</v>
      </c>
      <c r="E124" s="309">
        <v>10</v>
      </c>
      <c r="F124" s="315" t="s">
        <v>36</v>
      </c>
      <c r="G124"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4" s="316">
        <f>VLOOKUP(BUReporting[[#This Row],[Program]],'Program MW '!$A$34:$S$45,12,FALSE)</f>
        <v>0</v>
      </c>
    </row>
    <row r="125" spans="1:8" ht="16.5" thickTop="1" thickBot="1">
      <c r="A125" s="308">
        <v>6</v>
      </c>
      <c r="B125" s="9" t="s">
        <v>20</v>
      </c>
      <c r="C125" s="318" t="s">
        <v>18</v>
      </c>
      <c r="D125" s="9" t="s">
        <v>9</v>
      </c>
      <c r="E125" s="309">
        <v>10</v>
      </c>
      <c r="F125" s="315" t="s">
        <v>36</v>
      </c>
      <c r="G125"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5" s="316">
        <f>VLOOKUP(BUReporting[[#This Row],[Program]],'Program MW '!$A$34:$S$45,12,FALSE)</f>
        <v>0</v>
      </c>
    </row>
    <row r="126" spans="1:8" ht="16.5" thickTop="1" thickBot="1">
      <c r="A126" s="308">
        <v>7</v>
      </c>
      <c r="B126" s="9" t="s">
        <v>21</v>
      </c>
      <c r="C126" s="318" t="s">
        <v>22</v>
      </c>
      <c r="D126" s="9" t="s">
        <v>19</v>
      </c>
      <c r="E126" s="309">
        <v>10</v>
      </c>
      <c r="F126" s="315" t="s">
        <v>36</v>
      </c>
      <c r="G126"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6" s="316">
        <f>VLOOKUP(BUReporting[[#This Row],[Program]],'Program MW '!$A$34:$S$45,12,FALSE)</f>
        <v>0</v>
      </c>
    </row>
    <row r="127" spans="1:8" ht="16.5" thickTop="1" thickBot="1">
      <c r="A127" s="308">
        <v>8</v>
      </c>
      <c r="B127" s="9" t="s">
        <v>23</v>
      </c>
      <c r="C127" s="318" t="s">
        <v>22</v>
      </c>
      <c r="D127" s="9" t="s">
        <v>9</v>
      </c>
      <c r="E127" s="309">
        <v>10</v>
      </c>
      <c r="F127" s="315" t="s">
        <v>36</v>
      </c>
      <c r="G127"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7" s="316">
        <f>VLOOKUP(BUReporting[[#This Row],[Program]],'Program MW '!$A$34:$S$45,12,FALSE)</f>
        <v>0</v>
      </c>
    </row>
    <row r="128" spans="1:8" ht="16.5" thickTop="1" thickBot="1">
      <c r="A128" s="308">
        <v>9</v>
      </c>
      <c r="B128" s="9" t="s">
        <v>24</v>
      </c>
      <c r="C128" s="318"/>
      <c r="D128" s="9" t="s">
        <v>9</v>
      </c>
      <c r="E128" s="309">
        <v>10</v>
      </c>
      <c r="F128" s="315" t="s">
        <v>36</v>
      </c>
      <c r="G128"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8" s="316">
        <f>VLOOKUP(BUReporting[[#This Row],[Program]],'Program MW '!$A$34:$S$45,12,FALSE)</f>
        <v>0</v>
      </c>
    </row>
    <row r="129" spans="1:8" ht="16.5" thickTop="1" thickBot="1">
      <c r="A129" s="308">
        <v>10</v>
      </c>
      <c r="B129" s="9" t="s">
        <v>25</v>
      </c>
      <c r="C129" s="318"/>
      <c r="D129" s="9" t="s">
        <v>9</v>
      </c>
      <c r="E129" s="309">
        <v>10</v>
      </c>
      <c r="F129" s="315" t="s">
        <v>36</v>
      </c>
      <c r="G129"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29" s="316">
        <f>VLOOKUP(BUReporting[[#This Row],[Program]],'Program MW '!$A$34:$S$45,12,FALSE)</f>
        <v>0</v>
      </c>
    </row>
    <row r="130" spans="1:8" ht="16.5" thickTop="1" thickBot="1">
      <c r="A130" s="308">
        <v>11</v>
      </c>
      <c r="B130" s="9" t="s">
        <v>26</v>
      </c>
      <c r="C130" s="318"/>
      <c r="D130" s="9" t="s">
        <v>9</v>
      </c>
      <c r="E130" s="309">
        <v>10</v>
      </c>
      <c r="F130" s="315" t="s">
        <v>36</v>
      </c>
      <c r="G130"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0" s="316">
        <f>VLOOKUP(BUReporting[[#This Row],[Program]],'Program MW '!$A$34:$S$45,12,FALSE)</f>
        <v>0</v>
      </c>
    </row>
    <row r="131" spans="1:8" ht="14.25" thickTop="1" thickBot="1">
      <c r="A131" s="308">
        <v>12</v>
      </c>
      <c r="B131" s="9" t="s">
        <v>27</v>
      </c>
      <c r="C131" s="38"/>
      <c r="D131" s="9" t="s">
        <v>19</v>
      </c>
      <c r="E131" s="309">
        <v>10</v>
      </c>
      <c r="F131" s="315" t="s">
        <v>36</v>
      </c>
      <c r="G131" s="307">
        <f>IF(OR(BUReporting[[#This Row],[Period]]=1,OR(BUReporting[[#This Row],[Period]]=2,OR(BUReporting[[#This Row],[Period]]=3,OR(BUReporting[[#This Row],[Period]]=4,OR(BUReporting[[#This Row],[Period]]=5,BUReporting[[#This Row],[Period]]=6))))),VLOOKUP(BUReporting[[#This Row],[Program]],'Program MW '!$A$12:$S$22,11,FALSE),VLOOKUP(BUReporting[[#This Row],[Program]],'Program MW '!$A$34:$S$45,11,FALSE))</f>
        <v>0</v>
      </c>
      <c r="H131" s="316">
        <f>VLOOKUP(BUReporting[[#This Row],[Program]],'Program MW '!$A$34:$S$45,12,FALSE)</f>
        <v>0</v>
      </c>
    </row>
    <row r="132" spans="1:8" ht="16.5" thickTop="1" thickBot="1">
      <c r="A132" s="317">
        <v>0</v>
      </c>
      <c r="B132" s="69" t="s">
        <v>8</v>
      </c>
      <c r="C132" s="318"/>
      <c r="D132" s="310" t="s">
        <v>9</v>
      </c>
      <c r="E132" s="313">
        <v>11</v>
      </c>
      <c r="F132" s="314" t="s">
        <v>37</v>
      </c>
      <c r="G132" s="307">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316">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308">
        <v>1</v>
      </c>
      <c r="B133" s="9" t="s">
        <v>11</v>
      </c>
      <c r="C133" s="318"/>
      <c r="D133" s="9" t="s">
        <v>9</v>
      </c>
      <c r="E133" s="309">
        <v>11</v>
      </c>
      <c r="F133" s="315" t="s">
        <v>37</v>
      </c>
      <c r="G133"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3" s="316">
        <f>VLOOKUP(BUReporting[[#This Row],[Program]],'Program MW '!$A$34:$S$45,15,FALSE)</f>
        <v>0</v>
      </c>
    </row>
    <row r="134" spans="1:8" ht="16.5" thickTop="1" thickBot="1">
      <c r="A134" s="308">
        <v>2</v>
      </c>
      <c r="B134" s="9" t="s">
        <v>12</v>
      </c>
      <c r="C134" s="318" t="s">
        <v>13</v>
      </c>
      <c r="D134" s="9" t="s">
        <v>9</v>
      </c>
      <c r="E134" s="309">
        <v>11</v>
      </c>
      <c r="F134" s="315" t="s">
        <v>37</v>
      </c>
      <c r="G134"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4" s="316" t="e">
        <f>VLOOKUP(BUReporting[[#This Row],[Program]],'Program MW '!$A$34:$S$45,15,FALSE)</f>
        <v>#N/A</v>
      </c>
    </row>
    <row r="135" spans="1:8" ht="16.5" thickTop="1" thickBot="1">
      <c r="A135" s="308">
        <v>3</v>
      </c>
      <c r="B135" s="9" t="s">
        <v>14</v>
      </c>
      <c r="C135" s="318"/>
      <c r="D135" s="9" t="s">
        <v>9</v>
      </c>
      <c r="E135" s="309">
        <v>11</v>
      </c>
      <c r="F135" s="315" t="s">
        <v>37</v>
      </c>
      <c r="G135"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5" s="316" t="e">
        <f>VLOOKUP(BUReporting[[#This Row],[Program]],'Program MW '!$A$34:$S$45,15,FALSE)</f>
        <v>#N/A</v>
      </c>
    </row>
    <row r="136" spans="1:8" ht="16.5" thickTop="1" thickBot="1">
      <c r="A136" s="308">
        <v>4</v>
      </c>
      <c r="B136" s="9" t="s">
        <v>15</v>
      </c>
      <c r="C136" s="318" t="s">
        <v>16</v>
      </c>
      <c r="D136" s="9" t="s">
        <v>9</v>
      </c>
      <c r="E136" s="309">
        <v>11</v>
      </c>
      <c r="F136" s="315" t="s">
        <v>37</v>
      </c>
      <c r="G136" s="307" t="e">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#N/A</v>
      </c>
      <c r="H136" s="316" t="e">
        <f>VLOOKUP(BUReporting[[#This Row],[Program]],'Program MW '!$A$34:$S$45,15,FALSE)</f>
        <v>#N/A</v>
      </c>
    </row>
    <row r="137" spans="1:8" ht="16.5" thickTop="1" thickBot="1">
      <c r="A137" s="308">
        <v>5</v>
      </c>
      <c r="B137" s="9" t="s">
        <v>17</v>
      </c>
      <c r="C137" s="318" t="s">
        <v>18</v>
      </c>
      <c r="D137" s="9" t="s">
        <v>19</v>
      </c>
      <c r="E137" s="309">
        <v>11</v>
      </c>
      <c r="F137" s="315" t="s">
        <v>37</v>
      </c>
      <c r="G137"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7" s="316">
        <f>VLOOKUP(BUReporting[[#This Row],[Program]],'Program MW '!$A$34:$S$45,15,FALSE)</f>
        <v>0</v>
      </c>
    </row>
    <row r="138" spans="1:8" ht="16.5" thickTop="1" thickBot="1">
      <c r="A138" s="308">
        <v>6</v>
      </c>
      <c r="B138" s="9" t="s">
        <v>20</v>
      </c>
      <c r="C138" s="318" t="s">
        <v>18</v>
      </c>
      <c r="D138" s="9" t="s">
        <v>9</v>
      </c>
      <c r="E138" s="309">
        <v>11</v>
      </c>
      <c r="F138" s="315" t="s">
        <v>37</v>
      </c>
      <c r="G138"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8" s="316">
        <f>VLOOKUP(BUReporting[[#This Row],[Program]],'Program MW '!$A$34:$S$45,15,FALSE)</f>
        <v>0</v>
      </c>
    </row>
    <row r="139" spans="1:8" ht="16.5" thickTop="1" thickBot="1">
      <c r="A139" s="308">
        <v>7</v>
      </c>
      <c r="B139" s="9" t="s">
        <v>21</v>
      </c>
      <c r="C139" s="318" t="s">
        <v>22</v>
      </c>
      <c r="D139" s="9" t="s">
        <v>19</v>
      </c>
      <c r="E139" s="309">
        <v>11</v>
      </c>
      <c r="F139" s="315" t="s">
        <v>37</v>
      </c>
      <c r="G139"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39" s="316">
        <f>VLOOKUP(BUReporting[[#This Row],[Program]],'Program MW '!$A$34:$S$45,15,FALSE)</f>
        <v>0</v>
      </c>
    </row>
    <row r="140" spans="1:8" ht="16.5" thickTop="1" thickBot="1">
      <c r="A140" s="308">
        <v>8</v>
      </c>
      <c r="B140" s="9" t="s">
        <v>23</v>
      </c>
      <c r="C140" s="318" t="s">
        <v>22</v>
      </c>
      <c r="D140" s="9" t="s">
        <v>9</v>
      </c>
      <c r="E140" s="309">
        <v>11</v>
      </c>
      <c r="F140" s="315" t="s">
        <v>37</v>
      </c>
      <c r="G140"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0" s="316">
        <f>VLOOKUP(BUReporting[[#This Row],[Program]],'Program MW '!$A$34:$S$45,15,FALSE)</f>
        <v>0</v>
      </c>
    </row>
    <row r="141" spans="1:8" ht="16.5" thickTop="1" thickBot="1">
      <c r="A141" s="308">
        <v>9</v>
      </c>
      <c r="B141" s="9" t="s">
        <v>24</v>
      </c>
      <c r="C141" s="318"/>
      <c r="D141" s="9" t="s">
        <v>9</v>
      </c>
      <c r="E141" s="309">
        <v>11</v>
      </c>
      <c r="F141" s="315" t="s">
        <v>37</v>
      </c>
      <c r="G141"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1" s="316">
        <f>VLOOKUP(BUReporting[[#This Row],[Program]],'Program MW '!$A$34:$S$45,15,FALSE)</f>
        <v>0</v>
      </c>
    </row>
    <row r="142" spans="1:8" ht="16.5" thickTop="1" thickBot="1">
      <c r="A142" s="308">
        <v>10</v>
      </c>
      <c r="B142" s="9" t="s">
        <v>25</v>
      </c>
      <c r="C142" s="318"/>
      <c r="D142" s="9" t="s">
        <v>9</v>
      </c>
      <c r="E142" s="309">
        <v>11</v>
      </c>
      <c r="F142" s="315" t="s">
        <v>37</v>
      </c>
      <c r="G142"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2" s="316">
        <f>VLOOKUP(BUReporting[[#This Row],[Program]],'Program MW '!$A$34:$S$45,15,FALSE)</f>
        <v>0</v>
      </c>
    </row>
    <row r="143" spans="1:8" ht="16.5" thickTop="1" thickBot="1">
      <c r="A143" s="308">
        <v>11</v>
      </c>
      <c r="B143" s="9" t="s">
        <v>26</v>
      </c>
      <c r="C143" s="318"/>
      <c r="D143" s="9" t="s">
        <v>9</v>
      </c>
      <c r="E143" s="309">
        <v>11</v>
      </c>
      <c r="F143" s="315" t="s">
        <v>37</v>
      </c>
      <c r="G143"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3" s="316">
        <f>VLOOKUP(BUReporting[[#This Row],[Program]],'Program MW '!$A$34:$S$45,15,FALSE)</f>
        <v>0</v>
      </c>
    </row>
    <row r="144" spans="1:8" ht="14.25" thickTop="1" thickBot="1">
      <c r="A144" s="308">
        <v>12</v>
      </c>
      <c r="B144" s="9" t="s">
        <v>27</v>
      </c>
      <c r="C144" s="38"/>
      <c r="D144" s="9" t="s">
        <v>19</v>
      </c>
      <c r="E144" s="309">
        <v>11</v>
      </c>
      <c r="F144" s="315" t="s">
        <v>37</v>
      </c>
      <c r="G144" s="307">
        <f>IF(OR(BUReporting[[#This Row],[Period]]=1,OR(BUReporting[[#This Row],[Period]]=2,OR(BUReporting[[#This Row],[Period]]=3,OR(BUReporting[[#This Row],[Period]]=4,OR(BUReporting[[#This Row],[Period]]=5,BUReporting[[#This Row],[Period]]=6))))),VLOOKUP(BUReporting[[#This Row],[Program]],'Program MW '!$A$12:$S$22,14,FALSE),VLOOKUP(BUReporting[[#This Row],[Program]],'Program MW '!$A$34:$S$45,14,FALSE))</f>
        <v>0</v>
      </c>
      <c r="H144" s="316">
        <f>VLOOKUP(BUReporting[[#This Row],[Program]],'Program MW '!$A$34:$S$45,15,FALSE)</f>
        <v>0</v>
      </c>
    </row>
    <row r="145" spans="1:8" ht="16.5" thickTop="1" thickBot="1">
      <c r="A145" s="317">
        <v>0</v>
      </c>
      <c r="B145" s="69" t="s">
        <v>8</v>
      </c>
      <c r="C145" s="318"/>
      <c r="D145" s="310" t="s">
        <v>9</v>
      </c>
      <c r="E145" s="313">
        <v>12</v>
      </c>
      <c r="F145" s="314" t="s">
        <v>38</v>
      </c>
      <c r="G145" s="307">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316">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308">
        <v>1</v>
      </c>
      <c r="B146" s="9" t="s">
        <v>11</v>
      </c>
      <c r="C146" s="318"/>
      <c r="D146" s="9" t="s">
        <v>9</v>
      </c>
      <c r="E146" s="309">
        <v>12</v>
      </c>
      <c r="F146" s="315" t="s">
        <v>38</v>
      </c>
      <c r="G146"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46" s="316">
        <f>VLOOKUP(BUReporting[[#This Row],[Program]],'Program MW '!$A$34:$S$45,18,FALSE)</f>
        <v>0</v>
      </c>
    </row>
    <row r="147" spans="1:8" ht="16.5" thickTop="1" thickBot="1">
      <c r="A147" s="308">
        <v>2</v>
      </c>
      <c r="B147" s="9" t="s">
        <v>12</v>
      </c>
      <c r="C147" s="318" t="s">
        <v>13</v>
      </c>
      <c r="D147" s="9" t="s">
        <v>9</v>
      </c>
      <c r="E147" s="309">
        <v>12</v>
      </c>
      <c r="F147" s="315" t="s">
        <v>38</v>
      </c>
      <c r="G147"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7" s="316" t="e">
        <f>VLOOKUP(BUReporting[[#This Row],[Program]],'Program MW '!$A$34:$S$45,18,FALSE)</f>
        <v>#N/A</v>
      </c>
    </row>
    <row r="148" spans="1:8" ht="16.5" thickTop="1" thickBot="1">
      <c r="A148" s="308">
        <v>3</v>
      </c>
      <c r="B148" s="9" t="s">
        <v>14</v>
      </c>
      <c r="C148" s="318"/>
      <c r="D148" s="9" t="s">
        <v>9</v>
      </c>
      <c r="E148" s="309">
        <v>12</v>
      </c>
      <c r="F148" s="315" t="s">
        <v>38</v>
      </c>
      <c r="G148"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8" s="316" t="e">
        <f>VLOOKUP(BUReporting[[#This Row],[Program]],'Program MW '!$A$34:$S$45,18,FALSE)</f>
        <v>#N/A</v>
      </c>
    </row>
    <row r="149" spans="1:8" ht="16.5" thickTop="1" thickBot="1">
      <c r="A149" s="308">
        <v>4</v>
      </c>
      <c r="B149" s="9" t="s">
        <v>15</v>
      </c>
      <c r="C149" s="318" t="s">
        <v>16</v>
      </c>
      <c r="D149" s="9" t="s">
        <v>9</v>
      </c>
      <c r="E149" s="309">
        <v>12</v>
      </c>
      <c r="F149" s="315" t="s">
        <v>38</v>
      </c>
      <c r="G149" s="307" t="e">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#N/A</v>
      </c>
      <c r="H149" s="316" t="e">
        <f>VLOOKUP(BUReporting[[#This Row],[Program]],'Program MW '!$A$34:$S$45,18,FALSE)</f>
        <v>#N/A</v>
      </c>
    </row>
    <row r="150" spans="1:8" ht="16.5" thickTop="1" thickBot="1">
      <c r="A150" s="308">
        <v>5</v>
      </c>
      <c r="B150" s="9" t="s">
        <v>17</v>
      </c>
      <c r="C150" s="318" t="s">
        <v>18</v>
      </c>
      <c r="D150" s="9" t="s">
        <v>19</v>
      </c>
      <c r="E150" s="309">
        <v>12</v>
      </c>
      <c r="F150" s="315" t="s">
        <v>38</v>
      </c>
      <c r="G150"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0" s="316">
        <f>VLOOKUP(BUReporting[[#This Row],[Program]],'Program MW '!$A$34:$S$45,18,FALSE)</f>
        <v>0</v>
      </c>
    </row>
    <row r="151" spans="1:8" ht="16.5" thickTop="1" thickBot="1">
      <c r="A151" s="308">
        <v>6</v>
      </c>
      <c r="B151" s="9" t="s">
        <v>20</v>
      </c>
      <c r="C151" s="318" t="s">
        <v>18</v>
      </c>
      <c r="D151" s="9" t="s">
        <v>9</v>
      </c>
      <c r="E151" s="309">
        <v>12</v>
      </c>
      <c r="F151" s="315" t="s">
        <v>38</v>
      </c>
      <c r="G151"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1" s="316">
        <f>VLOOKUP(BUReporting[[#This Row],[Program]],'Program MW '!$A$34:$S$45,18,FALSE)</f>
        <v>0</v>
      </c>
    </row>
    <row r="152" spans="1:8" ht="16.5" thickTop="1" thickBot="1">
      <c r="A152" s="308">
        <v>7</v>
      </c>
      <c r="B152" s="9" t="s">
        <v>21</v>
      </c>
      <c r="C152" s="318" t="s">
        <v>22</v>
      </c>
      <c r="D152" s="9" t="s">
        <v>19</v>
      </c>
      <c r="E152" s="309">
        <v>12</v>
      </c>
      <c r="F152" s="315" t="s">
        <v>38</v>
      </c>
      <c r="G152"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2" s="316">
        <f>VLOOKUP(BUReporting[[#This Row],[Program]],'Program MW '!$A$34:$S$45,18,FALSE)</f>
        <v>0</v>
      </c>
    </row>
    <row r="153" spans="1:8" ht="16.5" thickTop="1" thickBot="1">
      <c r="A153" s="308">
        <v>8</v>
      </c>
      <c r="B153" s="9" t="s">
        <v>23</v>
      </c>
      <c r="C153" s="318" t="s">
        <v>22</v>
      </c>
      <c r="D153" s="9" t="s">
        <v>9</v>
      </c>
      <c r="E153" s="309">
        <v>12</v>
      </c>
      <c r="F153" s="315" t="s">
        <v>38</v>
      </c>
      <c r="G153"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3" s="316">
        <f>VLOOKUP(BUReporting[[#This Row],[Program]],'Program MW '!$A$34:$S$45,18,FALSE)</f>
        <v>0</v>
      </c>
    </row>
    <row r="154" spans="1:8" ht="16.5" thickTop="1" thickBot="1">
      <c r="A154" s="308">
        <v>9</v>
      </c>
      <c r="B154" s="9" t="s">
        <v>24</v>
      </c>
      <c r="C154" s="318"/>
      <c r="D154" s="9" t="s">
        <v>9</v>
      </c>
      <c r="E154" s="309">
        <v>12</v>
      </c>
      <c r="F154" s="315" t="s">
        <v>38</v>
      </c>
      <c r="G154"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4" s="316">
        <f>VLOOKUP(BUReporting[[#This Row],[Program]],'Program MW '!$A$34:$S$45,18,FALSE)</f>
        <v>0</v>
      </c>
    </row>
    <row r="155" spans="1:8" ht="16.5" thickTop="1" thickBot="1">
      <c r="A155" s="308">
        <v>10</v>
      </c>
      <c r="B155" s="9" t="s">
        <v>25</v>
      </c>
      <c r="C155" s="318"/>
      <c r="D155" s="9" t="s">
        <v>9</v>
      </c>
      <c r="E155" s="309">
        <v>12</v>
      </c>
      <c r="F155" s="315" t="s">
        <v>38</v>
      </c>
      <c r="G155"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5" s="316">
        <f>VLOOKUP(BUReporting[[#This Row],[Program]],'Program MW '!$A$34:$S$45,18,FALSE)</f>
        <v>0</v>
      </c>
    </row>
    <row r="156" spans="1:8" ht="16.5" thickTop="1" thickBot="1">
      <c r="A156" s="308">
        <v>11</v>
      </c>
      <c r="B156" s="9" t="s">
        <v>26</v>
      </c>
      <c r="C156" s="318"/>
      <c r="D156" s="9" t="s">
        <v>9</v>
      </c>
      <c r="E156" s="309">
        <v>12</v>
      </c>
      <c r="F156" s="315" t="s">
        <v>38</v>
      </c>
      <c r="G156"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6" s="316">
        <f>VLOOKUP(BUReporting[[#This Row],[Program]],'Program MW '!$A$34:$S$45,18,FALSE)</f>
        <v>0</v>
      </c>
    </row>
    <row r="157" spans="1:8" ht="13.5" thickTop="1">
      <c r="A157" s="308">
        <v>12</v>
      </c>
      <c r="B157" s="9" t="s">
        <v>27</v>
      </c>
      <c r="C157" s="38"/>
      <c r="D157" s="9" t="s">
        <v>19</v>
      </c>
      <c r="E157" s="309">
        <v>12</v>
      </c>
      <c r="F157" s="315" t="s">
        <v>38</v>
      </c>
      <c r="G157" s="307">
        <f>IF(OR(BUReporting[[#This Row],[Period]]=1,OR(BUReporting[[#This Row],[Period]]=2,OR(BUReporting[[#This Row],[Period]]=3,OR(BUReporting[[#This Row],[Period]]=4,OR(BUReporting[[#This Row],[Period]]=5,BUReporting[[#This Row],[Period]]=6))))),VLOOKUP(BUReporting[[#This Row],[Program]],'Program MW '!$A$12:$S$22,17,FALSE),VLOOKUP(BUReporting[[#This Row],[Program]],'Program MW '!$A$34:$S$45,17,FALSE))</f>
        <v>0</v>
      </c>
      <c r="H157" s="316">
        <f>VLOOKUP(BUReporting[[#This Row],[Program]],'Program MW '!$A$34:$S$45,18,FALSE)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C2" sqref="C2"/>
    </sheetView>
  </sheetViews>
  <sheetFormatPr defaultColWidth="9.28515625" defaultRowHeight="12.75"/>
  <cols>
    <col min="1" max="1" width="29.28515625" style="108" customWidth="1"/>
    <col min="2" max="2" width="22.5703125" style="108" bestFit="1" customWidth="1"/>
    <col min="3" max="3" width="49.7109375" style="108" customWidth="1"/>
    <col min="4" max="4" width="11.28515625" style="108" customWidth="1"/>
    <col min="5" max="5" width="57" style="108" customWidth="1"/>
    <col min="6" max="13" width="9.28515625" style="108"/>
    <col min="14" max="14" width="23.7109375" style="108" bestFit="1" customWidth="1"/>
    <col min="15" max="16384" width="9.28515625" style="108"/>
  </cols>
  <sheetData>
    <row r="1" spans="1:5">
      <c r="C1" s="114" t="s">
        <v>39</v>
      </c>
    </row>
    <row r="2" spans="1:5">
      <c r="C2" s="114" t="s">
        <v>201</v>
      </c>
    </row>
    <row r="3" spans="1:5">
      <c r="C3" s="145" t="s">
        <v>313</v>
      </c>
    </row>
    <row r="4" spans="1:5">
      <c r="C4" s="16"/>
    </row>
    <row r="5" spans="1:5">
      <c r="C5" s="16"/>
      <c r="D5" s="143"/>
    </row>
    <row r="6" spans="1:5" s="16" customFormat="1">
      <c r="A6" s="213"/>
      <c r="B6" s="213"/>
    </row>
    <row r="7" spans="1:5" s="16" customFormat="1"/>
    <row r="8" spans="1:5" s="18" customFormat="1">
      <c r="A8" s="17" t="s">
        <v>126</v>
      </c>
      <c r="B8" s="17" t="s">
        <v>202</v>
      </c>
      <c r="C8" s="17" t="s">
        <v>203</v>
      </c>
      <c r="D8" s="17" t="s">
        <v>128</v>
      </c>
      <c r="E8" s="17" t="s">
        <v>204</v>
      </c>
    </row>
    <row r="9" spans="1:5" s="18" customFormat="1" ht="51">
      <c r="A9" s="270" t="s">
        <v>175</v>
      </c>
      <c r="B9" s="271">
        <v>-234498</v>
      </c>
      <c r="C9" s="278" t="s">
        <v>205</v>
      </c>
      <c r="D9" s="273">
        <v>43302</v>
      </c>
      <c r="E9" s="272" t="s">
        <v>206</v>
      </c>
    </row>
    <row r="10" spans="1:5" s="18" customFormat="1" ht="51">
      <c r="A10" s="270" t="s">
        <v>207</v>
      </c>
      <c r="B10" s="271">
        <v>-700000</v>
      </c>
      <c r="C10" s="278" t="s">
        <v>208</v>
      </c>
      <c r="D10" s="273">
        <v>43302</v>
      </c>
      <c r="E10" s="272" t="s">
        <v>209</v>
      </c>
    </row>
    <row r="11" spans="1:5" s="18" customFormat="1" ht="63.75">
      <c r="A11" s="270" t="s">
        <v>210</v>
      </c>
      <c r="B11" s="271">
        <v>-194400</v>
      </c>
      <c r="C11" s="278" t="s">
        <v>211</v>
      </c>
      <c r="D11" s="273">
        <v>43304</v>
      </c>
      <c r="E11" s="272" t="s">
        <v>212</v>
      </c>
    </row>
    <row r="12" spans="1:5" s="18" customFormat="1" ht="140.25">
      <c r="A12" s="270" t="s">
        <v>213</v>
      </c>
      <c r="B12" s="271">
        <v>1128898</v>
      </c>
      <c r="C12" s="278" t="s">
        <v>214</v>
      </c>
      <c r="D12" s="273">
        <v>43302</v>
      </c>
      <c r="E12" s="272" t="s">
        <v>215</v>
      </c>
    </row>
    <row r="13" spans="1:5" s="274" customFormat="1" ht="51">
      <c r="A13" s="270" t="s">
        <v>195</v>
      </c>
      <c r="B13" s="271">
        <v>-166000</v>
      </c>
      <c r="C13" s="278" t="s">
        <v>216</v>
      </c>
      <c r="D13" s="273">
        <v>44061</v>
      </c>
      <c r="E13" s="272" t="s">
        <v>217</v>
      </c>
    </row>
    <row r="14" spans="1:5" s="277" customFormat="1" ht="51">
      <c r="A14" s="270" t="s">
        <v>195</v>
      </c>
      <c r="B14" s="276">
        <v>-400000</v>
      </c>
      <c r="C14" s="278" t="s">
        <v>197</v>
      </c>
      <c r="D14" s="273">
        <v>44061</v>
      </c>
      <c r="E14" s="272" t="s">
        <v>217</v>
      </c>
    </row>
    <row r="15" spans="1:5" s="277" customFormat="1" ht="51">
      <c r="A15" s="270" t="s">
        <v>195</v>
      </c>
      <c r="B15" s="276">
        <v>566000</v>
      </c>
      <c r="C15" s="279" t="s">
        <v>218</v>
      </c>
      <c r="D15" s="273">
        <v>44061</v>
      </c>
      <c r="E15" s="272" t="s">
        <v>217</v>
      </c>
    </row>
    <row r="16" spans="1:5" s="277" customFormat="1">
      <c r="A16" s="275" t="s">
        <v>56</v>
      </c>
      <c r="B16" s="276" t="s">
        <v>56</v>
      </c>
      <c r="C16" s="279" t="s">
        <v>56</v>
      </c>
      <c r="D16" s="273"/>
      <c r="E16" s="272"/>
    </row>
    <row r="17" spans="1:5">
      <c r="A17" s="110" t="s">
        <v>103</v>
      </c>
      <c r="B17" s="174">
        <f>SUM(B9:B16)</f>
        <v>0</v>
      </c>
      <c r="C17" s="109"/>
      <c r="D17" s="109"/>
      <c r="E17" s="109"/>
    </row>
    <row r="18" spans="1:5">
      <c r="A18" s="109"/>
      <c r="B18" s="109"/>
      <c r="C18" s="109"/>
      <c r="D18" s="109"/>
      <c r="E18" s="109"/>
    </row>
    <row r="20" spans="1:5" ht="14.25">
      <c r="A20" s="338" t="s">
        <v>67</v>
      </c>
    </row>
    <row r="21" spans="1:5" ht="14.25">
      <c r="A21" s="339" t="s">
        <v>219</v>
      </c>
    </row>
    <row r="22" spans="1:5" ht="14.25">
      <c r="A22" s="338"/>
    </row>
    <row r="23" spans="1:5" ht="15">
      <c r="A23" s="340" t="s">
        <v>77</v>
      </c>
      <c r="E23" s="111"/>
    </row>
    <row r="34" spans="8:8">
      <c r="H34" s="108" t="s">
        <v>56</v>
      </c>
    </row>
  </sheetData>
  <phoneticPr fontId="45" type="noConversion"/>
  <printOptions horizontalCentered="1"/>
  <pageMargins left="0" right="0" top="0.55000000000000004" bottom="0.17" header="0.3" footer="0.15"/>
  <pageSetup paperSize="5" scale="82"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9"/>
  <sheetViews>
    <sheetView zoomScaleNormal="100" zoomScaleSheetLayoutView="75" workbookViewId="0">
      <pane xSplit="1" ySplit="8" topLeftCell="B9" activePane="bottomRight" state="frozen"/>
      <selection pane="topRight" activeCell="O33" sqref="O33"/>
      <selection pane="bottomLeft" activeCell="O33" sqref="O33"/>
      <selection pane="bottomRight" activeCell="A19" sqref="A19"/>
    </sheetView>
  </sheetViews>
  <sheetFormatPr defaultColWidth="17" defaultRowHeight="12"/>
  <cols>
    <col min="1" max="1" width="46.28515625" style="158" customWidth="1"/>
    <col min="2" max="9" width="11.5703125" style="158" customWidth="1"/>
    <col min="10" max="10" width="11.5703125" style="159" customWidth="1"/>
    <col min="11" max="14" width="11.5703125" style="158" customWidth="1"/>
    <col min="15" max="16" width="0" style="158" hidden="1" customWidth="1"/>
    <col min="17" max="17" width="21.7109375" style="158" bestFit="1" customWidth="1"/>
    <col min="18" max="18" width="24.28515625" style="158" bestFit="1" customWidth="1"/>
    <col min="19" max="16384" width="17" style="158"/>
  </cols>
  <sheetData>
    <row r="1" spans="1:19">
      <c r="A1" s="158" t="s">
        <v>56</v>
      </c>
      <c r="E1" s="156" t="s">
        <v>39</v>
      </c>
    </row>
    <row r="2" spans="1:19">
      <c r="E2" s="156" t="s">
        <v>220</v>
      </c>
    </row>
    <row r="3" spans="1:19">
      <c r="A3" s="620"/>
      <c r="D3" s="160"/>
      <c r="E3" s="161">
        <f>'Program MW '!H3</f>
        <v>44593</v>
      </c>
      <c r="F3" s="160"/>
      <c r="N3" s="449"/>
    </row>
    <row r="4" spans="1:19" ht="12.75" thickBot="1"/>
    <row r="5" spans="1:19">
      <c r="A5" s="162"/>
      <c r="B5" s="163"/>
      <c r="C5" s="163"/>
      <c r="D5" s="163"/>
      <c r="E5" s="163"/>
      <c r="F5" s="163"/>
      <c r="G5" s="163"/>
      <c r="H5" s="163"/>
      <c r="I5" s="163"/>
      <c r="J5" s="164"/>
      <c r="K5" s="163"/>
      <c r="L5" s="163"/>
      <c r="M5" s="163"/>
      <c r="N5" s="350"/>
    </row>
    <row r="6" spans="1:19" ht="24">
      <c r="A6" s="165" t="s">
        <v>221</v>
      </c>
      <c r="B6" s="580" t="s">
        <v>41</v>
      </c>
      <c r="C6" s="580" t="s">
        <v>42</v>
      </c>
      <c r="D6" s="580" t="s">
        <v>43</v>
      </c>
      <c r="E6" s="580" t="s">
        <v>44</v>
      </c>
      <c r="F6" s="580" t="s">
        <v>31</v>
      </c>
      <c r="G6" s="580" t="s">
        <v>45</v>
      </c>
      <c r="H6" s="580" t="s">
        <v>59</v>
      </c>
      <c r="I6" s="580" t="s">
        <v>60</v>
      </c>
      <c r="J6" s="581" t="s">
        <v>61</v>
      </c>
      <c r="K6" s="580" t="s">
        <v>62</v>
      </c>
      <c r="L6" s="580" t="s">
        <v>63</v>
      </c>
      <c r="M6" s="580" t="s">
        <v>64</v>
      </c>
      <c r="N6" s="396" t="s">
        <v>222</v>
      </c>
    </row>
    <row r="7" spans="1:19">
      <c r="A7" s="166"/>
      <c r="B7" s="167"/>
      <c r="C7" s="167"/>
      <c r="D7" s="167"/>
      <c r="E7" s="167"/>
      <c r="F7" s="450"/>
      <c r="G7" s="450"/>
      <c r="H7" s="451"/>
      <c r="I7" s="450"/>
      <c r="J7" s="452"/>
      <c r="K7" s="450"/>
      <c r="L7" s="450"/>
      <c r="M7" s="450"/>
      <c r="N7" s="453"/>
    </row>
    <row r="8" spans="1:19">
      <c r="A8" s="168" t="s">
        <v>223</v>
      </c>
      <c r="B8" s="167"/>
      <c r="C8" s="167"/>
      <c r="D8" s="167"/>
      <c r="E8" s="167"/>
      <c r="F8" s="450"/>
      <c r="G8" s="450"/>
      <c r="H8" s="451"/>
      <c r="I8" s="450"/>
      <c r="J8" s="452"/>
      <c r="K8" s="450"/>
      <c r="L8" s="450"/>
      <c r="M8" s="450"/>
      <c r="N8" s="453"/>
    </row>
    <row r="9" spans="1:19">
      <c r="A9" s="243" t="s">
        <v>224</v>
      </c>
      <c r="B9" s="666">
        <v>11.9</v>
      </c>
      <c r="C9" s="667">
        <v>13.621</v>
      </c>
      <c r="D9" s="667">
        <v>0</v>
      </c>
      <c r="E9" s="667">
        <v>0</v>
      </c>
      <c r="F9" s="667">
        <v>0</v>
      </c>
      <c r="G9" s="667">
        <v>0</v>
      </c>
      <c r="H9" s="667">
        <v>0</v>
      </c>
      <c r="I9" s="667">
        <v>0</v>
      </c>
      <c r="J9" s="667">
        <v>0</v>
      </c>
      <c r="K9" s="667">
        <v>0</v>
      </c>
      <c r="L9" s="667">
        <v>0</v>
      </c>
      <c r="M9" s="668">
        <v>0</v>
      </c>
      <c r="N9" s="631">
        <f t="shared" ref="N9:N34" si="0">SUM(B9:M9)</f>
        <v>25.521000000000001</v>
      </c>
      <c r="O9" s="582">
        <v>0</v>
      </c>
      <c r="P9" s="582">
        <v>0</v>
      </c>
      <c r="R9" s="635"/>
    </row>
    <row r="10" spans="1:19" ht="13.5">
      <c r="A10" s="243" t="s">
        <v>225</v>
      </c>
      <c r="B10" s="669">
        <v>43.835000000000001</v>
      </c>
      <c r="C10" s="670">
        <v>41.576999999999998</v>
      </c>
      <c r="D10" s="670">
        <v>0</v>
      </c>
      <c r="E10" s="670">
        <v>0</v>
      </c>
      <c r="F10" s="670">
        <v>0</v>
      </c>
      <c r="G10" s="670">
        <v>0</v>
      </c>
      <c r="H10" s="670">
        <v>0</v>
      </c>
      <c r="I10" s="670">
        <v>0</v>
      </c>
      <c r="J10" s="670">
        <v>0</v>
      </c>
      <c r="K10" s="670">
        <v>0</v>
      </c>
      <c r="L10" s="670">
        <v>0</v>
      </c>
      <c r="M10" s="671">
        <v>0</v>
      </c>
      <c r="N10" s="631">
        <f t="shared" si="0"/>
        <v>85.412000000000006</v>
      </c>
    </row>
    <row r="11" spans="1:19" ht="14.25" customHeight="1">
      <c r="A11" s="243" t="s">
        <v>226</v>
      </c>
      <c r="B11" s="669">
        <v>1.2969999999999999</v>
      </c>
      <c r="C11" s="670">
        <v>1.44</v>
      </c>
      <c r="D11" s="670">
        <v>0</v>
      </c>
      <c r="E11" s="670">
        <v>0</v>
      </c>
      <c r="F11" s="670">
        <v>0</v>
      </c>
      <c r="G11" s="670">
        <v>0</v>
      </c>
      <c r="H11" s="670">
        <v>0</v>
      </c>
      <c r="I11" s="670">
        <v>0</v>
      </c>
      <c r="J11" s="670">
        <v>0</v>
      </c>
      <c r="K11" s="670">
        <v>0</v>
      </c>
      <c r="L11" s="670">
        <v>0</v>
      </c>
      <c r="M11" s="671">
        <v>0</v>
      </c>
      <c r="N11" s="631">
        <f t="shared" si="0"/>
        <v>2.7370000000000001</v>
      </c>
      <c r="R11" s="632"/>
    </row>
    <row r="12" spans="1:19">
      <c r="A12" s="243" t="s">
        <v>227</v>
      </c>
      <c r="B12" s="669">
        <v>0</v>
      </c>
      <c r="C12" s="670">
        <v>0</v>
      </c>
      <c r="D12" s="670">
        <v>0</v>
      </c>
      <c r="E12" s="670">
        <v>0</v>
      </c>
      <c r="F12" s="670">
        <v>0</v>
      </c>
      <c r="G12" s="670">
        <v>0</v>
      </c>
      <c r="H12" s="670">
        <v>0</v>
      </c>
      <c r="I12" s="670">
        <v>0</v>
      </c>
      <c r="J12" s="670">
        <v>0</v>
      </c>
      <c r="K12" s="670">
        <v>0</v>
      </c>
      <c r="L12" s="670">
        <v>0</v>
      </c>
      <c r="M12" s="671">
        <v>0</v>
      </c>
      <c r="N12" s="631">
        <f t="shared" si="0"/>
        <v>0</v>
      </c>
      <c r="R12" s="636"/>
      <c r="S12" s="633"/>
    </row>
    <row r="13" spans="1:19">
      <c r="A13" s="243" t="s">
        <v>176</v>
      </c>
      <c r="B13" s="669">
        <v>8.2850000000000001</v>
      </c>
      <c r="C13" s="670">
        <v>9.16</v>
      </c>
      <c r="D13" s="670">
        <v>0</v>
      </c>
      <c r="E13" s="670">
        <v>0</v>
      </c>
      <c r="F13" s="670">
        <v>0</v>
      </c>
      <c r="G13" s="670">
        <v>0</v>
      </c>
      <c r="H13" s="670">
        <v>0</v>
      </c>
      <c r="I13" s="670">
        <v>0</v>
      </c>
      <c r="J13" s="670">
        <v>0</v>
      </c>
      <c r="K13" s="670">
        <v>0</v>
      </c>
      <c r="L13" s="670">
        <v>0</v>
      </c>
      <c r="M13" s="671">
        <v>0</v>
      </c>
      <c r="N13" s="631">
        <f t="shared" si="0"/>
        <v>17.445</v>
      </c>
      <c r="R13" s="632"/>
    </row>
    <row r="14" spans="1:19">
      <c r="A14" s="243" t="s">
        <v>228</v>
      </c>
      <c r="B14" s="669">
        <v>11.39</v>
      </c>
      <c r="C14" s="670">
        <v>43.307000000000002</v>
      </c>
      <c r="D14" s="670">
        <v>0</v>
      </c>
      <c r="E14" s="670">
        <v>0</v>
      </c>
      <c r="F14" s="670">
        <v>0</v>
      </c>
      <c r="G14" s="670">
        <v>0</v>
      </c>
      <c r="H14" s="670">
        <v>0</v>
      </c>
      <c r="I14" s="670">
        <v>0</v>
      </c>
      <c r="J14" s="670">
        <v>0</v>
      </c>
      <c r="K14" s="670">
        <v>0</v>
      </c>
      <c r="L14" s="670">
        <v>0</v>
      </c>
      <c r="M14" s="671">
        <v>0</v>
      </c>
      <c r="N14" s="631">
        <f t="shared" si="0"/>
        <v>54.697000000000003</v>
      </c>
      <c r="R14" s="632"/>
    </row>
    <row r="15" spans="1:19">
      <c r="A15" s="243" t="s">
        <v>229</v>
      </c>
      <c r="B15" s="669">
        <v>25.422000000000001</v>
      </c>
      <c r="C15" s="670">
        <v>16.079000000000001</v>
      </c>
      <c r="D15" s="670">
        <v>0</v>
      </c>
      <c r="E15" s="670">
        <v>0</v>
      </c>
      <c r="F15" s="670">
        <v>0</v>
      </c>
      <c r="G15" s="670">
        <v>0</v>
      </c>
      <c r="H15" s="670">
        <v>0</v>
      </c>
      <c r="I15" s="670">
        <v>0</v>
      </c>
      <c r="J15" s="670">
        <v>0</v>
      </c>
      <c r="K15" s="670">
        <v>0</v>
      </c>
      <c r="L15" s="670">
        <v>0</v>
      </c>
      <c r="M15" s="671">
        <v>0</v>
      </c>
      <c r="N15" s="631">
        <f t="shared" si="0"/>
        <v>41.501000000000005</v>
      </c>
      <c r="R15" s="632"/>
    </row>
    <row r="16" spans="1:19">
      <c r="A16" s="243" t="s">
        <v>185</v>
      </c>
      <c r="B16" s="669">
        <v>12.194000000000001</v>
      </c>
      <c r="C16" s="670">
        <v>12.827999999999999</v>
      </c>
      <c r="D16" s="670">
        <v>0</v>
      </c>
      <c r="E16" s="670">
        <v>0</v>
      </c>
      <c r="F16" s="670">
        <v>0</v>
      </c>
      <c r="G16" s="670">
        <v>0</v>
      </c>
      <c r="H16" s="670">
        <v>0</v>
      </c>
      <c r="I16" s="670">
        <v>0</v>
      </c>
      <c r="J16" s="670">
        <v>0</v>
      </c>
      <c r="K16" s="670">
        <v>0</v>
      </c>
      <c r="L16" s="670">
        <v>0</v>
      </c>
      <c r="M16" s="671">
        <v>0</v>
      </c>
      <c r="N16" s="631">
        <f t="shared" si="0"/>
        <v>25.021999999999998</v>
      </c>
    </row>
    <row r="17" spans="1:18">
      <c r="A17" s="243" t="s">
        <v>186</v>
      </c>
      <c r="B17" s="669">
        <v>8.3819999999999997</v>
      </c>
      <c r="C17" s="670">
        <v>10.196</v>
      </c>
      <c r="D17" s="670">
        <v>0</v>
      </c>
      <c r="E17" s="670">
        <v>0</v>
      </c>
      <c r="F17" s="670">
        <v>0</v>
      </c>
      <c r="G17" s="670">
        <v>0</v>
      </c>
      <c r="H17" s="670">
        <v>0</v>
      </c>
      <c r="I17" s="670">
        <v>0</v>
      </c>
      <c r="J17" s="670">
        <v>0</v>
      </c>
      <c r="K17" s="670">
        <v>0</v>
      </c>
      <c r="L17" s="670">
        <v>0</v>
      </c>
      <c r="M17" s="671">
        <v>0</v>
      </c>
      <c r="N17" s="631">
        <f t="shared" si="0"/>
        <v>18.577999999999999</v>
      </c>
      <c r="Q17" s="632"/>
    </row>
    <row r="18" spans="1:18">
      <c r="A18" s="243" t="s">
        <v>230</v>
      </c>
      <c r="B18" s="669">
        <v>0</v>
      </c>
      <c r="C18" s="670">
        <v>0</v>
      </c>
      <c r="D18" s="670">
        <v>0</v>
      </c>
      <c r="E18" s="670">
        <v>0</v>
      </c>
      <c r="F18" s="670">
        <v>0</v>
      </c>
      <c r="G18" s="670">
        <v>0</v>
      </c>
      <c r="H18" s="670">
        <v>0</v>
      </c>
      <c r="I18" s="670">
        <v>0</v>
      </c>
      <c r="J18" s="670">
        <v>0</v>
      </c>
      <c r="K18" s="670">
        <v>0</v>
      </c>
      <c r="L18" s="670">
        <v>0</v>
      </c>
      <c r="M18" s="671">
        <v>0</v>
      </c>
      <c r="N18" s="631">
        <f t="shared" si="0"/>
        <v>0</v>
      </c>
    </row>
    <row r="19" spans="1:18" ht="13.5">
      <c r="A19" s="243" t="s">
        <v>323</v>
      </c>
      <c r="B19" s="669">
        <v>0</v>
      </c>
      <c r="C19" s="670">
        <v>0</v>
      </c>
      <c r="D19" s="670">
        <v>0</v>
      </c>
      <c r="E19" s="670">
        <v>0</v>
      </c>
      <c r="F19" s="670">
        <v>0</v>
      </c>
      <c r="G19" s="670">
        <v>0</v>
      </c>
      <c r="H19" s="670">
        <v>0</v>
      </c>
      <c r="I19" s="670">
        <v>0</v>
      </c>
      <c r="J19" s="670">
        <v>0</v>
      </c>
      <c r="K19" s="670">
        <v>0</v>
      </c>
      <c r="L19" s="670">
        <v>0</v>
      </c>
      <c r="M19" s="671">
        <v>0</v>
      </c>
      <c r="N19" s="631">
        <f t="shared" si="0"/>
        <v>0</v>
      </c>
    </row>
    <row r="20" spans="1:18" s="160" customFormat="1">
      <c r="A20" s="320" t="s">
        <v>156</v>
      </c>
      <c r="B20" s="669">
        <v>0</v>
      </c>
      <c r="C20" s="670">
        <v>0</v>
      </c>
      <c r="D20" s="670">
        <v>0</v>
      </c>
      <c r="E20" s="670">
        <v>0</v>
      </c>
      <c r="F20" s="670">
        <v>0</v>
      </c>
      <c r="G20" s="670">
        <v>0</v>
      </c>
      <c r="H20" s="670">
        <v>0</v>
      </c>
      <c r="I20" s="670">
        <v>0</v>
      </c>
      <c r="J20" s="670">
        <v>0</v>
      </c>
      <c r="K20" s="670">
        <v>0</v>
      </c>
      <c r="L20" s="670">
        <v>0</v>
      </c>
      <c r="M20" s="671">
        <v>0</v>
      </c>
      <c r="N20" s="631">
        <f t="shared" si="0"/>
        <v>0</v>
      </c>
      <c r="R20" s="634"/>
    </row>
    <row r="21" spans="1:18" s="160" customFormat="1">
      <c r="A21" s="320" t="s">
        <v>322</v>
      </c>
      <c r="B21" s="669">
        <v>0</v>
      </c>
      <c r="C21" s="670">
        <v>17.693000000000001</v>
      </c>
      <c r="D21" s="670">
        <v>0</v>
      </c>
      <c r="E21" s="670">
        <v>0</v>
      </c>
      <c r="F21" s="670">
        <v>0</v>
      </c>
      <c r="G21" s="670">
        <v>0</v>
      </c>
      <c r="H21" s="670">
        <v>0</v>
      </c>
      <c r="I21" s="670">
        <v>0</v>
      </c>
      <c r="J21" s="670">
        <v>0</v>
      </c>
      <c r="K21" s="670">
        <v>0</v>
      </c>
      <c r="L21" s="670">
        <v>0</v>
      </c>
      <c r="M21" s="671">
        <v>0</v>
      </c>
      <c r="N21" s="631">
        <f>SUM(B21:M21)</f>
        <v>17.693000000000001</v>
      </c>
    </row>
    <row r="22" spans="1:18">
      <c r="A22" s="320" t="s">
        <v>231</v>
      </c>
      <c r="B22" s="669">
        <v>52.804000000000002</v>
      </c>
      <c r="C22" s="670">
        <v>2.57</v>
      </c>
      <c r="D22" s="670">
        <v>0</v>
      </c>
      <c r="E22" s="670">
        <v>0</v>
      </c>
      <c r="F22" s="670">
        <v>0</v>
      </c>
      <c r="G22" s="670">
        <v>0</v>
      </c>
      <c r="H22" s="670">
        <v>0</v>
      </c>
      <c r="I22" s="670">
        <v>0</v>
      </c>
      <c r="J22" s="670">
        <v>0</v>
      </c>
      <c r="K22" s="670">
        <v>0</v>
      </c>
      <c r="L22" s="670">
        <v>0</v>
      </c>
      <c r="M22" s="671">
        <v>0</v>
      </c>
      <c r="N22" s="631">
        <f t="shared" si="0"/>
        <v>55.374000000000002</v>
      </c>
    </row>
    <row r="23" spans="1:18" ht="14.25">
      <c r="A23" s="243" t="s">
        <v>232</v>
      </c>
      <c r="B23" s="672">
        <v>4.2999999999999997E-2</v>
      </c>
      <c r="C23" s="670">
        <v>13.542999999999999</v>
      </c>
      <c r="D23" s="670">
        <v>0</v>
      </c>
      <c r="E23" s="670">
        <v>0</v>
      </c>
      <c r="F23" s="670">
        <v>0</v>
      </c>
      <c r="G23" s="670">
        <v>0</v>
      </c>
      <c r="H23" s="670">
        <v>0</v>
      </c>
      <c r="I23" s="670">
        <v>0</v>
      </c>
      <c r="J23" s="670">
        <v>0</v>
      </c>
      <c r="K23" s="670">
        <v>0</v>
      </c>
      <c r="L23" s="670">
        <v>0</v>
      </c>
      <c r="M23" s="671">
        <v>0</v>
      </c>
      <c r="N23" s="631">
        <f t="shared" si="0"/>
        <v>13.585999999999999</v>
      </c>
    </row>
    <row r="24" spans="1:18">
      <c r="A24" s="243" t="s">
        <v>233</v>
      </c>
      <c r="B24" s="669">
        <v>34.704000000000001</v>
      </c>
      <c r="C24" s="670">
        <v>52.957999999999998</v>
      </c>
      <c r="D24" s="670">
        <v>0</v>
      </c>
      <c r="E24" s="670">
        <v>0</v>
      </c>
      <c r="F24" s="670">
        <v>0</v>
      </c>
      <c r="G24" s="670">
        <v>0</v>
      </c>
      <c r="H24" s="670">
        <v>0</v>
      </c>
      <c r="I24" s="670">
        <v>0</v>
      </c>
      <c r="J24" s="670">
        <v>0</v>
      </c>
      <c r="K24" s="670">
        <v>0</v>
      </c>
      <c r="L24" s="670">
        <v>0</v>
      </c>
      <c r="M24" s="671">
        <v>0</v>
      </c>
      <c r="N24" s="631">
        <f t="shared" si="0"/>
        <v>87.662000000000006</v>
      </c>
    </row>
    <row r="25" spans="1:18">
      <c r="A25" s="243" t="s">
        <v>321</v>
      </c>
      <c r="B25" s="669">
        <v>4.1840000000000002</v>
      </c>
      <c r="C25" s="670">
        <v>22.571999999999999</v>
      </c>
      <c r="D25" s="670">
        <v>0</v>
      </c>
      <c r="E25" s="670">
        <v>0</v>
      </c>
      <c r="F25" s="670">
        <v>0</v>
      </c>
      <c r="G25" s="670">
        <v>0</v>
      </c>
      <c r="H25" s="670">
        <v>0</v>
      </c>
      <c r="I25" s="670">
        <v>0</v>
      </c>
      <c r="J25" s="670">
        <v>0</v>
      </c>
      <c r="K25" s="670">
        <v>0</v>
      </c>
      <c r="L25" s="670">
        <v>0</v>
      </c>
      <c r="M25" s="671">
        <v>0</v>
      </c>
      <c r="N25" s="631">
        <f t="shared" si="0"/>
        <v>26.756</v>
      </c>
    </row>
    <row r="26" spans="1:18" ht="13.5">
      <c r="A26" s="243" t="s">
        <v>324</v>
      </c>
      <c r="B26" s="669">
        <v>-9.5389999999999997</v>
      </c>
      <c r="C26" s="670">
        <v>68.260999999999996</v>
      </c>
      <c r="D26" s="670">
        <v>0</v>
      </c>
      <c r="E26" s="670">
        <v>0</v>
      </c>
      <c r="F26" s="670">
        <v>0</v>
      </c>
      <c r="G26" s="670">
        <v>0</v>
      </c>
      <c r="H26" s="670">
        <v>0</v>
      </c>
      <c r="I26" s="670">
        <v>0</v>
      </c>
      <c r="J26" s="670">
        <v>0</v>
      </c>
      <c r="K26" s="670">
        <v>0</v>
      </c>
      <c r="L26" s="670">
        <v>0</v>
      </c>
      <c r="M26" s="671">
        <v>0</v>
      </c>
      <c r="N26" s="631">
        <f t="shared" si="0"/>
        <v>58.721999999999994</v>
      </c>
      <c r="Q26" s="592"/>
    </row>
    <row r="27" spans="1:18" s="170" customFormat="1">
      <c r="A27" s="243" t="s">
        <v>198</v>
      </c>
      <c r="B27" s="669">
        <v>0</v>
      </c>
      <c r="C27" s="670">
        <v>0</v>
      </c>
      <c r="D27" s="670">
        <v>0</v>
      </c>
      <c r="E27" s="670">
        <v>0</v>
      </c>
      <c r="F27" s="670">
        <v>0</v>
      </c>
      <c r="G27" s="670">
        <v>0</v>
      </c>
      <c r="H27" s="670">
        <v>0</v>
      </c>
      <c r="I27" s="670">
        <v>0</v>
      </c>
      <c r="J27" s="670">
        <v>0</v>
      </c>
      <c r="K27" s="670">
        <v>0</v>
      </c>
      <c r="L27" s="670">
        <v>0</v>
      </c>
      <c r="M27" s="671">
        <v>0</v>
      </c>
      <c r="N27" s="631">
        <f t="shared" si="0"/>
        <v>0</v>
      </c>
      <c r="O27" s="158"/>
      <c r="Q27" s="593"/>
    </row>
    <row r="28" spans="1:18" s="170" customFormat="1">
      <c r="A28" s="321" t="s">
        <v>320</v>
      </c>
      <c r="B28" s="669">
        <v>6.734</v>
      </c>
      <c r="C28" s="670">
        <v>0</v>
      </c>
      <c r="D28" s="670">
        <v>0</v>
      </c>
      <c r="E28" s="670">
        <v>0</v>
      </c>
      <c r="F28" s="670">
        <v>0</v>
      </c>
      <c r="G28" s="670">
        <v>0</v>
      </c>
      <c r="H28" s="670">
        <v>0</v>
      </c>
      <c r="I28" s="670">
        <v>0</v>
      </c>
      <c r="J28" s="670">
        <v>0</v>
      </c>
      <c r="K28" s="670">
        <v>0</v>
      </c>
      <c r="L28" s="670">
        <v>0</v>
      </c>
      <c r="M28" s="671">
        <v>0</v>
      </c>
      <c r="N28" s="631">
        <f t="shared" si="0"/>
        <v>6.734</v>
      </c>
      <c r="O28" s="158"/>
      <c r="Q28" s="593"/>
    </row>
    <row r="29" spans="1:18" s="170" customFormat="1" ht="15" customHeight="1">
      <c r="A29" s="243" t="s">
        <v>319</v>
      </c>
      <c r="B29" s="669">
        <v>0.13600000000000001</v>
      </c>
      <c r="C29" s="670">
        <v>0.32300000000000001</v>
      </c>
      <c r="D29" s="670">
        <v>0</v>
      </c>
      <c r="E29" s="670">
        <v>0</v>
      </c>
      <c r="F29" s="670">
        <v>0</v>
      </c>
      <c r="G29" s="670">
        <v>0</v>
      </c>
      <c r="H29" s="670">
        <v>0</v>
      </c>
      <c r="I29" s="670">
        <v>0</v>
      </c>
      <c r="J29" s="670">
        <v>0</v>
      </c>
      <c r="K29" s="670">
        <v>0</v>
      </c>
      <c r="L29" s="670">
        <v>0</v>
      </c>
      <c r="M29" s="671">
        <v>0</v>
      </c>
      <c r="N29" s="631">
        <f t="shared" si="0"/>
        <v>0.45900000000000002</v>
      </c>
      <c r="Q29" s="593"/>
    </row>
    <row r="30" spans="1:18" s="170" customFormat="1" ht="13.5">
      <c r="A30" s="243" t="s">
        <v>335</v>
      </c>
      <c r="B30" s="669">
        <v>0.71099999999999997</v>
      </c>
      <c r="C30" s="670">
        <v>-0.59</v>
      </c>
      <c r="D30" s="670">
        <v>0</v>
      </c>
      <c r="E30" s="670">
        <v>0</v>
      </c>
      <c r="F30" s="670">
        <v>0</v>
      </c>
      <c r="G30" s="670">
        <v>0</v>
      </c>
      <c r="H30" s="670">
        <v>0</v>
      </c>
      <c r="I30" s="670">
        <v>0</v>
      </c>
      <c r="J30" s="670">
        <v>0</v>
      </c>
      <c r="K30" s="670">
        <v>0</v>
      </c>
      <c r="L30" s="670">
        <v>0</v>
      </c>
      <c r="M30" s="671">
        <v>0</v>
      </c>
      <c r="N30" s="631">
        <f t="shared" si="0"/>
        <v>0.121</v>
      </c>
      <c r="Q30" s="593"/>
    </row>
    <row r="31" spans="1:18" s="170" customFormat="1" ht="13.5">
      <c r="A31" s="243" t="s">
        <v>234</v>
      </c>
      <c r="B31" s="669">
        <v>0.24199999999999999</v>
      </c>
      <c r="C31" s="670">
        <v>0.19400000000000001</v>
      </c>
      <c r="D31" s="670">
        <v>0</v>
      </c>
      <c r="E31" s="670">
        <v>0</v>
      </c>
      <c r="F31" s="670">
        <v>0</v>
      </c>
      <c r="G31" s="670">
        <v>0</v>
      </c>
      <c r="H31" s="670">
        <v>0</v>
      </c>
      <c r="I31" s="670">
        <v>0</v>
      </c>
      <c r="J31" s="670">
        <v>0</v>
      </c>
      <c r="K31" s="670">
        <v>0</v>
      </c>
      <c r="L31" s="670">
        <v>0</v>
      </c>
      <c r="M31" s="671">
        <v>0</v>
      </c>
      <c r="N31" s="631">
        <f t="shared" si="0"/>
        <v>0.436</v>
      </c>
      <c r="Q31" s="593"/>
    </row>
    <row r="32" spans="1:18" s="170" customFormat="1" ht="13.5">
      <c r="A32" s="243" t="s">
        <v>325</v>
      </c>
      <c r="B32" s="669">
        <v>-0.32300000000000001</v>
      </c>
      <c r="C32" s="670">
        <v>0</v>
      </c>
      <c r="D32" s="670">
        <v>0</v>
      </c>
      <c r="E32" s="670">
        <v>0</v>
      </c>
      <c r="F32" s="670">
        <v>0</v>
      </c>
      <c r="G32" s="670">
        <v>0</v>
      </c>
      <c r="H32" s="670">
        <v>0</v>
      </c>
      <c r="I32" s="670">
        <v>0</v>
      </c>
      <c r="J32" s="670">
        <v>0</v>
      </c>
      <c r="K32" s="670">
        <v>0</v>
      </c>
      <c r="L32" s="670">
        <v>0</v>
      </c>
      <c r="M32" s="671">
        <v>0</v>
      </c>
      <c r="N32" s="631">
        <f t="shared" si="0"/>
        <v>-0.32300000000000001</v>
      </c>
      <c r="Q32" s="593"/>
    </row>
    <row r="33" spans="1:18" s="170" customFormat="1" ht="13.5">
      <c r="A33" s="243" t="s">
        <v>336</v>
      </c>
      <c r="B33" s="669">
        <v>9.7639999999999993</v>
      </c>
      <c r="C33" s="670">
        <v>-0.19800000000000001</v>
      </c>
      <c r="D33" s="670">
        <v>0</v>
      </c>
      <c r="E33" s="670">
        <v>0</v>
      </c>
      <c r="F33" s="670">
        <v>0</v>
      </c>
      <c r="G33" s="670">
        <v>0</v>
      </c>
      <c r="H33" s="670">
        <v>0</v>
      </c>
      <c r="I33" s="670">
        <v>0</v>
      </c>
      <c r="J33" s="670">
        <v>0</v>
      </c>
      <c r="K33" s="670">
        <v>0</v>
      </c>
      <c r="L33" s="670">
        <v>0</v>
      </c>
      <c r="M33" s="671">
        <v>0</v>
      </c>
      <c r="N33" s="631">
        <f t="shared" si="0"/>
        <v>9.5659999999999989</v>
      </c>
      <c r="Q33" s="593"/>
    </row>
    <row r="34" spans="1:18" s="170" customFormat="1">
      <c r="A34" s="243" t="s">
        <v>318</v>
      </c>
      <c r="B34" s="673">
        <v>248.40100000000001</v>
      </c>
      <c r="C34" s="674">
        <v>248.40100000000001</v>
      </c>
      <c r="D34" s="674">
        <v>0</v>
      </c>
      <c r="E34" s="674">
        <v>0</v>
      </c>
      <c r="F34" s="674">
        <v>0</v>
      </c>
      <c r="G34" s="674">
        <v>0</v>
      </c>
      <c r="H34" s="674">
        <v>0</v>
      </c>
      <c r="I34" s="674">
        <v>0</v>
      </c>
      <c r="J34" s="674">
        <v>0</v>
      </c>
      <c r="K34" s="674">
        <v>0</v>
      </c>
      <c r="L34" s="674">
        <v>0</v>
      </c>
      <c r="M34" s="675">
        <v>0</v>
      </c>
      <c r="N34" s="631">
        <f t="shared" si="0"/>
        <v>496.80200000000002</v>
      </c>
      <c r="Q34" s="593"/>
    </row>
    <row r="35" spans="1:18" ht="12.75" thickBot="1">
      <c r="A35" s="250" t="s">
        <v>235</v>
      </c>
      <c r="B35" s="427">
        <f t="shared" ref="B35:M35" si="1">SUM(B9:B34)</f>
        <v>470.56600000000003</v>
      </c>
      <c r="C35" s="418">
        <f t="shared" si="1"/>
        <v>573.93499999999995</v>
      </c>
      <c r="D35" s="418">
        <f t="shared" si="1"/>
        <v>0</v>
      </c>
      <c r="E35" s="418">
        <f t="shared" si="1"/>
        <v>0</v>
      </c>
      <c r="F35" s="454">
        <f t="shared" si="1"/>
        <v>0</v>
      </c>
      <c r="G35" s="454">
        <f t="shared" si="1"/>
        <v>0</v>
      </c>
      <c r="H35" s="454">
        <f t="shared" si="1"/>
        <v>0</v>
      </c>
      <c r="I35" s="454">
        <f t="shared" si="1"/>
        <v>0</v>
      </c>
      <c r="J35" s="454">
        <f t="shared" si="1"/>
        <v>0</v>
      </c>
      <c r="K35" s="454">
        <f t="shared" si="1"/>
        <v>0</v>
      </c>
      <c r="L35" s="454">
        <f t="shared" si="1"/>
        <v>0</v>
      </c>
      <c r="M35" s="454">
        <f t="shared" si="1"/>
        <v>0</v>
      </c>
      <c r="N35" s="455">
        <f>SUM(N9:N34)</f>
        <v>1044.5010000000002</v>
      </c>
      <c r="Q35" s="592"/>
    </row>
    <row r="36" spans="1:18">
      <c r="A36" s="243"/>
      <c r="B36" s="416"/>
      <c r="C36" s="417"/>
      <c r="D36" s="417"/>
      <c r="E36" s="417"/>
      <c r="F36" s="417"/>
      <c r="G36" s="417"/>
      <c r="H36" s="417"/>
      <c r="I36" s="417"/>
      <c r="J36" s="417"/>
      <c r="K36" s="417"/>
      <c r="L36" s="417"/>
      <c r="M36" s="417"/>
      <c r="N36" s="420"/>
      <c r="Q36" s="592"/>
    </row>
    <row r="37" spans="1:18" s="170" customFormat="1">
      <c r="A37" s="242" t="s">
        <v>236</v>
      </c>
      <c r="B37" s="416"/>
      <c r="C37" s="417"/>
      <c r="D37" s="417"/>
      <c r="E37" s="417"/>
      <c r="F37" s="417"/>
      <c r="G37" s="417"/>
      <c r="H37" s="417"/>
      <c r="I37" s="417"/>
      <c r="J37" s="417"/>
      <c r="K37" s="417"/>
      <c r="L37" s="417"/>
      <c r="M37" s="417"/>
      <c r="N37" s="420"/>
      <c r="O37" s="158"/>
    </row>
    <row r="38" spans="1:18" ht="13.5">
      <c r="A38" s="619" t="s">
        <v>314</v>
      </c>
      <c r="B38" s="676">
        <v>0.04</v>
      </c>
      <c r="C38" s="686">
        <v>0.04</v>
      </c>
      <c r="D38" s="667">
        <v>0</v>
      </c>
      <c r="E38" s="667">
        <v>0</v>
      </c>
      <c r="F38" s="667">
        <v>0</v>
      </c>
      <c r="G38" s="667">
        <v>0</v>
      </c>
      <c r="H38" s="667">
        <v>0</v>
      </c>
      <c r="I38" s="667">
        <v>0</v>
      </c>
      <c r="J38" s="667">
        <v>0</v>
      </c>
      <c r="K38" s="667">
        <v>0</v>
      </c>
      <c r="L38" s="667">
        <v>0</v>
      </c>
      <c r="M38" s="668">
        <v>0</v>
      </c>
      <c r="N38" s="637">
        <f t="shared" ref="N38:N47" si="2">SUM(B38:M38)</f>
        <v>0.08</v>
      </c>
      <c r="R38" s="632"/>
    </row>
    <row r="39" spans="1:18" s="160" customFormat="1" ht="14.25">
      <c r="A39" s="619" t="s">
        <v>315</v>
      </c>
      <c r="B39" s="669">
        <v>0</v>
      </c>
      <c r="C39" s="670">
        <v>0</v>
      </c>
      <c r="D39" s="670">
        <v>0</v>
      </c>
      <c r="E39" s="670">
        <v>0</v>
      </c>
      <c r="F39" s="670">
        <v>0</v>
      </c>
      <c r="G39" s="670">
        <v>0</v>
      </c>
      <c r="H39" s="670">
        <v>0</v>
      </c>
      <c r="I39" s="670">
        <v>0</v>
      </c>
      <c r="J39" s="670">
        <v>0</v>
      </c>
      <c r="K39" s="670">
        <v>0</v>
      </c>
      <c r="L39" s="670">
        <v>0</v>
      </c>
      <c r="M39" s="671">
        <v>0</v>
      </c>
      <c r="N39" s="631">
        <f t="shared" si="2"/>
        <v>0</v>
      </c>
    </row>
    <row r="40" spans="1:18" ht="13.5">
      <c r="A40" s="619" t="s">
        <v>316</v>
      </c>
      <c r="B40" s="669">
        <v>0</v>
      </c>
      <c r="C40" s="670">
        <v>0</v>
      </c>
      <c r="D40" s="670">
        <v>0</v>
      </c>
      <c r="E40" s="670">
        <v>0</v>
      </c>
      <c r="F40" s="670">
        <v>0</v>
      </c>
      <c r="G40" s="670">
        <v>0</v>
      </c>
      <c r="H40" s="670">
        <v>0</v>
      </c>
      <c r="I40" s="670">
        <v>0</v>
      </c>
      <c r="J40" s="670">
        <v>0</v>
      </c>
      <c r="K40" s="670">
        <v>0</v>
      </c>
      <c r="L40" s="670">
        <v>0</v>
      </c>
      <c r="M40" s="671">
        <v>0</v>
      </c>
      <c r="N40" s="631">
        <f t="shared" si="2"/>
        <v>0</v>
      </c>
    </row>
    <row r="41" spans="1:18">
      <c r="A41" s="243" t="s">
        <v>205</v>
      </c>
      <c r="B41" s="669">
        <v>48.863999999999997</v>
      </c>
      <c r="C41" s="670">
        <v>0</v>
      </c>
      <c r="D41" s="670">
        <v>0</v>
      </c>
      <c r="E41" s="670">
        <v>0</v>
      </c>
      <c r="F41" s="670">
        <v>0</v>
      </c>
      <c r="G41" s="670">
        <v>0</v>
      </c>
      <c r="H41" s="670">
        <v>0</v>
      </c>
      <c r="I41" s="670">
        <v>0</v>
      </c>
      <c r="J41" s="670">
        <v>0</v>
      </c>
      <c r="K41" s="670">
        <v>0</v>
      </c>
      <c r="L41" s="670">
        <v>0</v>
      </c>
      <c r="M41" s="671">
        <v>0</v>
      </c>
      <c r="N41" s="631">
        <f t="shared" si="2"/>
        <v>48.863999999999997</v>
      </c>
    </row>
    <row r="42" spans="1:18" ht="13.5">
      <c r="A42" s="243" t="s">
        <v>333</v>
      </c>
      <c r="B42" s="669">
        <v>0.871</v>
      </c>
      <c r="C42" s="670">
        <v>-15.92</v>
      </c>
      <c r="D42" s="670">
        <v>0</v>
      </c>
      <c r="E42" s="670">
        <v>0</v>
      </c>
      <c r="F42" s="670">
        <v>0</v>
      </c>
      <c r="G42" s="670">
        <v>0</v>
      </c>
      <c r="H42" s="670">
        <v>0</v>
      </c>
      <c r="I42" s="670">
        <v>0</v>
      </c>
      <c r="J42" s="670">
        <v>0</v>
      </c>
      <c r="K42" s="670">
        <v>0</v>
      </c>
      <c r="L42" s="670">
        <v>0</v>
      </c>
      <c r="M42" s="671">
        <v>0</v>
      </c>
      <c r="N42" s="631">
        <f t="shared" si="2"/>
        <v>-15.048999999999999</v>
      </c>
    </row>
    <row r="43" spans="1:18">
      <c r="A43" s="244" t="s">
        <v>237</v>
      </c>
      <c r="B43" s="669">
        <v>23.6</v>
      </c>
      <c r="C43" s="670">
        <v>46.6</v>
      </c>
      <c r="D43" s="670">
        <v>0</v>
      </c>
      <c r="E43" s="670">
        <v>0</v>
      </c>
      <c r="F43" s="670">
        <v>0</v>
      </c>
      <c r="G43" s="670">
        <v>0</v>
      </c>
      <c r="H43" s="670">
        <v>0</v>
      </c>
      <c r="I43" s="670">
        <v>0</v>
      </c>
      <c r="J43" s="670">
        <v>0</v>
      </c>
      <c r="K43" s="670">
        <v>0</v>
      </c>
      <c r="L43" s="670">
        <v>0</v>
      </c>
      <c r="M43" s="671">
        <v>0</v>
      </c>
      <c r="N43" s="631">
        <f t="shared" si="2"/>
        <v>70.2</v>
      </c>
    </row>
    <row r="44" spans="1:18" ht="13.5">
      <c r="A44" s="243" t="s">
        <v>317</v>
      </c>
      <c r="B44" s="669">
        <v>0</v>
      </c>
      <c r="C44" s="670">
        <v>0</v>
      </c>
      <c r="D44" s="670">
        <v>0</v>
      </c>
      <c r="E44" s="670">
        <v>0</v>
      </c>
      <c r="F44" s="670">
        <v>0</v>
      </c>
      <c r="G44" s="670">
        <v>0</v>
      </c>
      <c r="H44" s="670">
        <v>0</v>
      </c>
      <c r="I44" s="670">
        <v>0</v>
      </c>
      <c r="J44" s="670">
        <v>0</v>
      </c>
      <c r="K44" s="670">
        <v>0</v>
      </c>
      <c r="L44" s="670">
        <v>0</v>
      </c>
      <c r="M44" s="671">
        <v>0</v>
      </c>
      <c r="N44" s="631">
        <f t="shared" si="2"/>
        <v>0</v>
      </c>
    </row>
    <row r="45" spans="1:18">
      <c r="A45" s="243" t="s">
        <v>230</v>
      </c>
      <c r="B45" s="669">
        <v>0</v>
      </c>
      <c r="C45" s="670">
        <v>0</v>
      </c>
      <c r="D45" s="670">
        <v>0</v>
      </c>
      <c r="E45" s="670">
        <v>0</v>
      </c>
      <c r="F45" s="670">
        <v>0</v>
      </c>
      <c r="G45" s="670">
        <v>0</v>
      </c>
      <c r="H45" s="670">
        <v>0</v>
      </c>
      <c r="I45" s="670">
        <v>0</v>
      </c>
      <c r="J45" s="670">
        <v>0</v>
      </c>
      <c r="K45" s="670">
        <v>0</v>
      </c>
      <c r="L45" s="670">
        <v>0</v>
      </c>
      <c r="M45" s="671">
        <v>0</v>
      </c>
      <c r="N45" s="631">
        <f t="shared" si="2"/>
        <v>0</v>
      </c>
    </row>
    <row r="46" spans="1:18">
      <c r="A46" s="320" t="s">
        <v>238</v>
      </c>
      <c r="B46" s="669">
        <v>0</v>
      </c>
      <c r="C46" s="670">
        <v>0</v>
      </c>
      <c r="D46" s="670">
        <v>0</v>
      </c>
      <c r="E46" s="670">
        <v>0</v>
      </c>
      <c r="F46" s="670">
        <v>0</v>
      </c>
      <c r="G46" s="670">
        <v>0</v>
      </c>
      <c r="H46" s="670">
        <v>0</v>
      </c>
      <c r="I46" s="670">
        <v>0</v>
      </c>
      <c r="J46" s="670">
        <v>0</v>
      </c>
      <c r="K46" s="670">
        <v>0</v>
      </c>
      <c r="L46" s="670">
        <v>0</v>
      </c>
      <c r="M46" s="671">
        <v>0</v>
      </c>
      <c r="N46" s="631">
        <f t="shared" si="2"/>
        <v>0</v>
      </c>
    </row>
    <row r="47" spans="1:18">
      <c r="A47" s="243" t="s">
        <v>239</v>
      </c>
      <c r="B47" s="673">
        <v>0</v>
      </c>
      <c r="C47" s="674">
        <v>0</v>
      </c>
      <c r="D47" s="674">
        <v>0</v>
      </c>
      <c r="E47" s="674">
        <v>0</v>
      </c>
      <c r="F47" s="674">
        <v>0</v>
      </c>
      <c r="G47" s="674">
        <v>0</v>
      </c>
      <c r="H47" s="674">
        <v>0</v>
      </c>
      <c r="I47" s="674">
        <v>0</v>
      </c>
      <c r="J47" s="674">
        <v>0</v>
      </c>
      <c r="K47" s="674">
        <v>0</v>
      </c>
      <c r="L47" s="674">
        <v>0</v>
      </c>
      <c r="M47" s="675">
        <v>0</v>
      </c>
      <c r="N47" s="631">
        <f t="shared" si="2"/>
        <v>0</v>
      </c>
    </row>
    <row r="48" spans="1:18">
      <c r="A48" s="322" t="s">
        <v>240</v>
      </c>
      <c r="B48" s="454">
        <f t="shared" ref="B48:N48" si="3">SUM(B38:B47)</f>
        <v>73.375</v>
      </c>
      <c r="C48" s="454">
        <f t="shared" si="3"/>
        <v>30.72</v>
      </c>
      <c r="D48" s="454">
        <f t="shared" si="3"/>
        <v>0</v>
      </c>
      <c r="E48" s="454">
        <f t="shared" si="3"/>
        <v>0</v>
      </c>
      <c r="F48" s="454">
        <f t="shared" si="3"/>
        <v>0</v>
      </c>
      <c r="G48" s="454">
        <f t="shared" si="3"/>
        <v>0</v>
      </c>
      <c r="H48" s="454">
        <f t="shared" si="3"/>
        <v>0</v>
      </c>
      <c r="I48" s="454">
        <f t="shared" si="3"/>
        <v>0</v>
      </c>
      <c r="J48" s="454">
        <f t="shared" si="3"/>
        <v>0</v>
      </c>
      <c r="K48" s="454">
        <f t="shared" si="3"/>
        <v>0</v>
      </c>
      <c r="L48" s="454">
        <f t="shared" si="3"/>
        <v>0</v>
      </c>
      <c r="M48" s="454">
        <f t="shared" si="3"/>
        <v>0</v>
      </c>
      <c r="N48" s="455">
        <f t="shared" si="3"/>
        <v>104.095</v>
      </c>
    </row>
    <row r="49" spans="1:14" ht="20.25" customHeight="1" thickBot="1">
      <c r="A49" s="171" t="s">
        <v>241</v>
      </c>
      <c r="B49" s="428">
        <f t="shared" ref="B49:N49" si="4">B48+B35</f>
        <v>543.94100000000003</v>
      </c>
      <c r="C49" s="419">
        <f t="shared" si="4"/>
        <v>604.65499999999997</v>
      </c>
      <c r="D49" s="419">
        <f t="shared" si="4"/>
        <v>0</v>
      </c>
      <c r="E49" s="419">
        <f t="shared" si="4"/>
        <v>0</v>
      </c>
      <c r="F49" s="456">
        <f t="shared" si="4"/>
        <v>0</v>
      </c>
      <c r="G49" s="456">
        <f t="shared" si="4"/>
        <v>0</v>
      </c>
      <c r="H49" s="456">
        <f t="shared" si="4"/>
        <v>0</v>
      </c>
      <c r="I49" s="456">
        <f t="shared" si="4"/>
        <v>0</v>
      </c>
      <c r="J49" s="456">
        <f t="shared" si="4"/>
        <v>0</v>
      </c>
      <c r="K49" s="456">
        <f t="shared" si="4"/>
        <v>0</v>
      </c>
      <c r="L49" s="456">
        <f t="shared" si="4"/>
        <v>0</v>
      </c>
      <c r="M49" s="456">
        <f t="shared" si="4"/>
        <v>0</v>
      </c>
      <c r="N49" s="457">
        <f t="shared" si="4"/>
        <v>1148.5960000000002</v>
      </c>
    </row>
    <row r="50" spans="1:14" ht="16.5" customHeight="1">
      <c r="A50" s="583"/>
      <c r="B50" s="614"/>
      <c r="C50" s="614"/>
      <c r="D50" s="614"/>
      <c r="E50" s="614"/>
      <c r="F50" s="615"/>
      <c r="G50" s="615"/>
      <c r="H50" s="615"/>
      <c r="I50" s="615"/>
      <c r="J50" s="616"/>
      <c r="K50" s="615"/>
      <c r="L50" s="615"/>
      <c r="M50" s="615"/>
      <c r="N50" s="458"/>
    </row>
    <row r="51" spans="1:14" s="160" customFormat="1" ht="30.75" customHeight="1" thickBot="1">
      <c r="A51" s="613" t="s">
        <v>242</v>
      </c>
      <c r="B51" s="622">
        <f>B49+0.032</f>
        <v>543.97300000000007</v>
      </c>
      <c r="C51" s="622">
        <f>C49+0.113</f>
        <v>604.76800000000003</v>
      </c>
      <c r="D51" s="622">
        <v>0</v>
      </c>
      <c r="E51" s="622">
        <v>0</v>
      </c>
      <c r="F51" s="622">
        <v>0</v>
      </c>
      <c r="G51" s="622">
        <v>0</v>
      </c>
      <c r="H51" s="622">
        <v>0</v>
      </c>
      <c r="I51" s="622">
        <v>0</v>
      </c>
      <c r="J51" s="622">
        <v>0</v>
      </c>
      <c r="K51" s="622">
        <v>0</v>
      </c>
      <c r="L51" s="622">
        <v>0</v>
      </c>
      <c r="M51" s="622">
        <v>0</v>
      </c>
      <c r="N51" s="623">
        <f>SUM(B51:M51)</f>
        <v>1148.741</v>
      </c>
    </row>
    <row r="52" spans="1:14" ht="12.75" customHeight="1">
      <c r="A52" s="196"/>
      <c r="B52" s="197"/>
      <c r="C52" s="197"/>
      <c r="D52" s="197"/>
      <c r="E52" s="197"/>
      <c r="F52" s="197"/>
      <c r="G52" s="197"/>
      <c r="H52" s="197"/>
      <c r="I52" s="197"/>
      <c r="J52" s="197"/>
      <c r="K52" s="197"/>
      <c r="L52" s="197"/>
      <c r="M52" s="197"/>
      <c r="N52" s="198"/>
    </row>
    <row r="53" spans="1:14" ht="12.75" customHeight="1">
      <c r="A53" s="325" t="s">
        <v>92</v>
      </c>
      <c r="B53" s="197"/>
      <c r="C53" s="197"/>
      <c r="D53" s="197"/>
      <c r="E53" s="197"/>
      <c r="F53" s="197"/>
      <c r="G53" s="197"/>
      <c r="H53" s="197"/>
      <c r="I53" s="197"/>
      <c r="J53" s="197"/>
      <c r="K53" s="197"/>
      <c r="L53" s="197"/>
      <c r="M53" s="197"/>
      <c r="N53" s="198"/>
    </row>
    <row r="54" spans="1:14" ht="16.5">
      <c r="A54" s="618" t="s">
        <v>332</v>
      </c>
    </row>
    <row r="55" spans="1:14" s="170" customFormat="1" ht="16.5" customHeight="1">
      <c r="A55" s="247" t="s">
        <v>312</v>
      </c>
      <c r="G55" s="169"/>
      <c r="H55" s="169"/>
      <c r="J55" s="221"/>
    </row>
    <row r="56" spans="1:14" ht="16.5">
      <c r="A56" s="247" t="s">
        <v>334</v>
      </c>
    </row>
    <row r="57" spans="1:14" ht="16.5">
      <c r="A57" s="247" t="s">
        <v>337</v>
      </c>
    </row>
    <row r="59" spans="1:14" ht="15">
      <c r="A59" s="181" t="s">
        <v>77</v>
      </c>
    </row>
  </sheetData>
  <printOptions horizontalCentered="1"/>
  <pageMargins left="0" right="0" top="0.55000000000000004" bottom="0" header="0.3" footer="0.15"/>
  <pageSetup paperSize="5" scale="50"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E3" sqref="E3"/>
    </sheetView>
  </sheetViews>
  <sheetFormatPr defaultColWidth="9.28515625" defaultRowHeight="12.75"/>
  <cols>
    <col min="1" max="1" width="39.285156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114" t="s">
        <v>39</v>
      </c>
    </row>
    <row r="3" spans="1:14">
      <c r="C3" s="125"/>
      <c r="D3" s="125"/>
      <c r="E3" s="126" t="s">
        <v>243</v>
      </c>
      <c r="F3" s="125"/>
      <c r="G3" s="125"/>
    </row>
    <row r="4" spans="1:14">
      <c r="A4" s="21"/>
      <c r="D4" s="125"/>
      <c r="E4" s="117">
        <f>'Program MW '!H3</f>
        <v>44593</v>
      </c>
      <c r="F4" s="125"/>
    </row>
    <row r="5" spans="1:14">
      <c r="A5" s="21"/>
      <c r="E5" s="117"/>
    </row>
    <row r="6" spans="1:14" ht="13.5" thickBot="1">
      <c r="A6" s="21"/>
      <c r="E6" s="117"/>
    </row>
    <row r="7" spans="1:14" ht="32.25" customHeight="1">
      <c r="A7" s="22" t="s">
        <v>221</v>
      </c>
      <c r="B7" s="23" t="s">
        <v>41</v>
      </c>
      <c r="C7" s="23" t="s">
        <v>42</v>
      </c>
      <c r="D7" s="23" t="s">
        <v>43</v>
      </c>
      <c r="E7" s="23" t="s">
        <v>44</v>
      </c>
      <c r="F7" s="23" t="s">
        <v>31</v>
      </c>
      <c r="G7" s="23" t="s">
        <v>45</v>
      </c>
      <c r="H7" s="23" t="s">
        <v>59</v>
      </c>
      <c r="I7" s="23" t="s">
        <v>60</v>
      </c>
      <c r="J7" s="23" t="s">
        <v>61</v>
      </c>
      <c r="K7" s="23" t="s">
        <v>62</v>
      </c>
      <c r="L7" s="23" t="s">
        <v>63</v>
      </c>
      <c r="M7" s="23" t="s">
        <v>64</v>
      </c>
      <c r="N7" s="349" t="s">
        <v>244</v>
      </c>
    </row>
    <row r="8" spans="1:14" ht="16.5">
      <c r="A8" s="24" t="s">
        <v>245</v>
      </c>
      <c r="N8" s="253"/>
    </row>
    <row r="9" spans="1:14" ht="6" customHeight="1">
      <c r="A9" s="25"/>
      <c r="N9" s="253"/>
    </row>
    <row r="10" spans="1:14">
      <c r="A10" s="25" t="s">
        <v>223</v>
      </c>
      <c r="N10" s="253"/>
    </row>
    <row r="11" spans="1:14" ht="14.25" customHeight="1">
      <c r="A11" s="26" t="s">
        <v>101</v>
      </c>
      <c r="B11" s="677">
        <v>1.89</v>
      </c>
      <c r="C11" s="677">
        <v>2.3210000000000002</v>
      </c>
      <c r="D11" s="677">
        <v>0</v>
      </c>
      <c r="E11" s="677">
        <v>0</v>
      </c>
      <c r="F11" s="677">
        <v>0</v>
      </c>
      <c r="G11" s="677">
        <v>0</v>
      </c>
      <c r="H11" s="677">
        <v>0</v>
      </c>
      <c r="I11" s="677">
        <v>0</v>
      </c>
      <c r="J11" s="677">
        <v>0</v>
      </c>
      <c r="K11" s="677">
        <v>0</v>
      </c>
      <c r="L11" s="677">
        <v>0</v>
      </c>
      <c r="M11" s="677">
        <v>0</v>
      </c>
      <c r="N11" s="422">
        <f>SUM(B11:M11)</f>
        <v>4.2110000000000003</v>
      </c>
    </row>
    <row r="12" spans="1:14">
      <c r="A12" s="26" t="s">
        <v>105</v>
      </c>
      <c r="B12" s="677">
        <v>0</v>
      </c>
      <c r="C12" s="677">
        <v>0</v>
      </c>
      <c r="D12" s="677">
        <v>0</v>
      </c>
      <c r="E12" s="677">
        <v>0</v>
      </c>
      <c r="F12" s="677">
        <v>0</v>
      </c>
      <c r="G12" s="677">
        <v>0</v>
      </c>
      <c r="H12" s="677">
        <v>0</v>
      </c>
      <c r="I12" s="677">
        <v>0</v>
      </c>
      <c r="J12" s="677">
        <v>0</v>
      </c>
      <c r="K12" s="677">
        <v>0</v>
      </c>
      <c r="L12" s="677">
        <v>0</v>
      </c>
      <c r="M12" s="677">
        <v>0</v>
      </c>
      <c r="N12" s="422">
        <f>SUM(B12:M12)</f>
        <v>0</v>
      </c>
    </row>
    <row r="13" spans="1:14">
      <c r="A13" s="26" t="s">
        <v>246</v>
      </c>
      <c r="B13" s="677">
        <v>0</v>
      </c>
      <c r="C13" s="677">
        <v>0</v>
      </c>
      <c r="D13" s="677">
        <v>0</v>
      </c>
      <c r="E13" s="677">
        <v>0</v>
      </c>
      <c r="F13" s="677">
        <v>0</v>
      </c>
      <c r="G13" s="677">
        <v>0</v>
      </c>
      <c r="H13" s="677">
        <v>0</v>
      </c>
      <c r="I13" s="677">
        <v>0</v>
      </c>
      <c r="J13" s="677">
        <v>0</v>
      </c>
      <c r="K13" s="677">
        <v>0</v>
      </c>
      <c r="L13" s="677">
        <v>0</v>
      </c>
      <c r="M13" s="677">
        <v>0</v>
      </c>
      <c r="N13" s="422">
        <f>SUM(B13:M13)</f>
        <v>0</v>
      </c>
    </row>
    <row r="14" spans="1:14">
      <c r="A14" s="19" t="s">
        <v>247</v>
      </c>
      <c r="B14" s="584">
        <f t="shared" ref="B14:M14" si="0">SUM(B11:B13)</f>
        <v>1.89</v>
      </c>
      <c r="C14" s="584">
        <f t="shared" si="0"/>
        <v>2.3210000000000002</v>
      </c>
      <c r="D14" s="584">
        <f t="shared" si="0"/>
        <v>0</v>
      </c>
      <c r="E14" s="584">
        <f t="shared" si="0"/>
        <v>0</v>
      </c>
      <c r="F14" s="584">
        <f t="shared" si="0"/>
        <v>0</v>
      </c>
      <c r="G14" s="584">
        <f t="shared" si="0"/>
        <v>0</v>
      </c>
      <c r="H14" s="584">
        <f t="shared" si="0"/>
        <v>0</v>
      </c>
      <c r="I14" s="584">
        <f t="shared" si="0"/>
        <v>0</v>
      </c>
      <c r="J14" s="584">
        <f t="shared" si="0"/>
        <v>0</v>
      </c>
      <c r="K14" s="584">
        <f t="shared" si="0"/>
        <v>0</v>
      </c>
      <c r="L14" s="584">
        <f t="shared" si="0"/>
        <v>0</v>
      </c>
      <c r="M14" s="584">
        <f t="shared" si="0"/>
        <v>0</v>
      </c>
      <c r="N14" s="585">
        <f>SUM(B14:M14)</f>
        <v>4.2110000000000003</v>
      </c>
    </row>
    <row r="15" spans="1:14">
      <c r="A15" s="26"/>
      <c r="B15" s="421"/>
      <c r="C15" s="421"/>
      <c r="D15" s="421"/>
      <c r="E15" s="421"/>
      <c r="F15" s="421"/>
      <c r="G15" s="421"/>
      <c r="H15" s="421"/>
      <c r="I15" s="421"/>
      <c r="J15" s="421"/>
      <c r="K15" s="421"/>
      <c r="L15" s="421"/>
      <c r="M15" s="421"/>
      <c r="N15" s="422"/>
    </row>
    <row r="16" spans="1:14">
      <c r="A16" s="25" t="s">
        <v>248</v>
      </c>
      <c r="B16" s="421"/>
      <c r="C16" s="421"/>
      <c r="D16" s="421"/>
      <c r="E16" s="421"/>
      <c r="F16" s="421"/>
      <c r="G16" s="421"/>
      <c r="H16" s="421"/>
      <c r="I16" s="421"/>
      <c r="J16" s="421"/>
      <c r="K16" s="421"/>
      <c r="L16" s="421"/>
      <c r="M16" s="421"/>
      <c r="N16" s="422"/>
    </row>
    <row r="17" spans="1:19" ht="14.25">
      <c r="A17" s="26" t="s">
        <v>249</v>
      </c>
      <c r="B17" s="677">
        <v>0</v>
      </c>
      <c r="C17" s="677">
        <v>0</v>
      </c>
      <c r="D17" s="677">
        <v>0</v>
      </c>
      <c r="E17" s="677">
        <v>0</v>
      </c>
      <c r="F17" s="677">
        <v>0</v>
      </c>
      <c r="G17" s="677">
        <v>0</v>
      </c>
      <c r="H17" s="678">
        <v>0</v>
      </c>
      <c r="I17" s="678">
        <v>0</v>
      </c>
      <c r="J17" s="678">
        <v>0</v>
      </c>
      <c r="K17" s="678">
        <v>0</v>
      </c>
      <c r="L17" s="678">
        <v>0</v>
      </c>
      <c r="M17" s="678">
        <v>0</v>
      </c>
      <c r="N17" s="422">
        <f>SUM(B17:M17)</f>
        <v>0</v>
      </c>
    </row>
    <row r="18" spans="1:19">
      <c r="A18" s="19" t="s">
        <v>250</v>
      </c>
      <c r="B18" s="584">
        <f t="shared" ref="B18:M18" si="1">SUM(B17:B17)</f>
        <v>0</v>
      </c>
      <c r="C18" s="584">
        <f t="shared" si="1"/>
        <v>0</v>
      </c>
      <c r="D18" s="584">
        <f t="shared" si="1"/>
        <v>0</v>
      </c>
      <c r="E18" s="584">
        <f t="shared" si="1"/>
        <v>0</v>
      </c>
      <c r="F18" s="584">
        <f t="shared" si="1"/>
        <v>0</v>
      </c>
      <c r="G18" s="584">
        <f t="shared" si="1"/>
        <v>0</v>
      </c>
      <c r="H18" s="584">
        <f t="shared" si="1"/>
        <v>0</v>
      </c>
      <c r="I18" s="584">
        <f t="shared" si="1"/>
        <v>0</v>
      </c>
      <c r="J18" s="584">
        <f t="shared" si="1"/>
        <v>0</v>
      </c>
      <c r="K18" s="584">
        <f t="shared" si="1"/>
        <v>0</v>
      </c>
      <c r="L18" s="584">
        <f t="shared" si="1"/>
        <v>0</v>
      </c>
      <c r="M18" s="584">
        <f t="shared" si="1"/>
        <v>0</v>
      </c>
      <c r="N18" s="585">
        <f>SUM(B18:M18)</f>
        <v>0</v>
      </c>
    </row>
    <row r="19" spans="1:19">
      <c r="A19" s="28"/>
      <c r="B19" s="421"/>
      <c r="C19" s="421"/>
      <c r="D19" s="421"/>
      <c r="E19" s="421"/>
      <c r="F19" s="421"/>
      <c r="G19" s="421"/>
      <c r="H19" s="421"/>
      <c r="I19" s="421"/>
      <c r="J19" s="421"/>
      <c r="K19" s="421"/>
      <c r="L19" s="421"/>
      <c r="M19" s="421"/>
      <c r="N19" s="422"/>
    </row>
    <row r="20" spans="1:19">
      <c r="A20" s="25" t="s">
        <v>251</v>
      </c>
      <c r="B20" s="421" t="s">
        <v>56</v>
      </c>
      <c r="C20" s="421" t="s">
        <v>56</v>
      </c>
      <c r="D20" s="421" t="s">
        <v>56</v>
      </c>
      <c r="E20" s="421"/>
      <c r="F20" s="421" t="s">
        <v>56</v>
      </c>
      <c r="G20" s="421"/>
      <c r="H20" s="421" t="s">
        <v>56</v>
      </c>
      <c r="I20" s="421" t="s">
        <v>56</v>
      </c>
      <c r="J20" s="421" t="s">
        <v>56</v>
      </c>
      <c r="K20" s="421" t="s">
        <v>56</v>
      </c>
      <c r="L20" s="421" t="s">
        <v>56</v>
      </c>
      <c r="M20" s="421" t="s">
        <v>56</v>
      </c>
      <c r="N20" s="422" t="s">
        <v>56</v>
      </c>
    </row>
    <row r="21" spans="1:19">
      <c r="A21" s="26" t="s">
        <v>252</v>
      </c>
      <c r="B21" s="677">
        <v>0</v>
      </c>
      <c r="C21" s="677">
        <v>0</v>
      </c>
      <c r="D21" s="677">
        <v>0</v>
      </c>
      <c r="E21" s="677">
        <v>0</v>
      </c>
      <c r="F21" s="677">
        <v>0</v>
      </c>
      <c r="G21" s="677">
        <v>0</v>
      </c>
      <c r="H21" s="678">
        <v>0</v>
      </c>
      <c r="I21" s="678">
        <v>0</v>
      </c>
      <c r="J21" s="678">
        <v>0</v>
      </c>
      <c r="K21" s="678">
        <v>0</v>
      </c>
      <c r="L21" s="678">
        <v>0</v>
      </c>
      <c r="M21" s="678">
        <v>0</v>
      </c>
      <c r="N21" s="422">
        <f>SUM(B21:M21)</f>
        <v>0</v>
      </c>
    </row>
    <row r="22" spans="1:19">
      <c r="A22" s="154" t="s">
        <v>253</v>
      </c>
      <c r="B22" s="584">
        <f t="shared" ref="B22:M22" si="2">SUM(B21:B21)</f>
        <v>0</v>
      </c>
      <c r="C22" s="584">
        <f t="shared" si="2"/>
        <v>0</v>
      </c>
      <c r="D22" s="584">
        <f t="shared" si="2"/>
        <v>0</v>
      </c>
      <c r="E22" s="584">
        <f t="shared" si="2"/>
        <v>0</v>
      </c>
      <c r="F22" s="584">
        <f t="shared" si="2"/>
        <v>0</v>
      </c>
      <c r="G22" s="584">
        <f t="shared" si="2"/>
        <v>0</v>
      </c>
      <c r="H22" s="584">
        <f t="shared" si="2"/>
        <v>0</v>
      </c>
      <c r="I22" s="584">
        <f t="shared" si="2"/>
        <v>0</v>
      </c>
      <c r="J22" s="584">
        <f t="shared" si="2"/>
        <v>0</v>
      </c>
      <c r="K22" s="584">
        <f t="shared" si="2"/>
        <v>0</v>
      </c>
      <c r="L22" s="584">
        <f t="shared" si="2"/>
        <v>0</v>
      </c>
      <c r="M22" s="584">
        <f t="shared" si="2"/>
        <v>0</v>
      </c>
      <c r="N22" s="585">
        <f>SUM(B22:M22)</f>
        <v>0</v>
      </c>
    </row>
    <row r="23" spans="1:19">
      <c r="A23" s="30"/>
      <c r="B23" s="421"/>
      <c r="C23" s="421"/>
      <c r="D23" s="421"/>
      <c r="E23" s="421"/>
      <c r="F23" s="421"/>
      <c r="G23" s="586"/>
      <c r="H23" s="421"/>
      <c r="I23" s="586"/>
      <c r="J23" s="421"/>
      <c r="K23" s="421"/>
      <c r="L23" s="586"/>
      <c r="M23" s="421"/>
      <c r="N23" s="422"/>
    </row>
    <row r="24" spans="1:19">
      <c r="A24" s="31" t="s">
        <v>236</v>
      </c>
      <c r="B24" s="421"/>
      <c r="C24" s="421"/>
      <c r="D24" s="421"/>
      <c r="E24" s="421"/>
      <c r="F24" s="421"/>
      <c r="G24" s="421"/>
      <c r="H24" s="421"/>
      <c r="I24" s="421"/>
      <c r="J24" s="421"/>
      <c r="K24" s="421"/>
      <c r="L24" s="421"/>
      <c r="M24" s="421"/>
      <c r="N24" s="422"/>
    </row>
    <row r="25" spans="1:19">
      <c r="A25" s="26" t="s">
        <v>104</v>
      </c>
      <c r="B25" s="677">
        <v>0</v>
      </c>
      <c r="C25" s="677">
        <v>0</v>
      </c>
      <c r="D25" s="677">
        <v>0</v>
      </c>
      <c r="E25" s="677">
        <v>0</v>
      </c>
      <c r="F25" s="677">
        <v>0</v>
      </c>
      <c r="G25" s="677">
        <v>0</v>
      </c>
      <c r="H25" s="678">
        <v>0</v>
      </c>
      <c r="I25" s="678">
        <v>0</v>
      </c>
      <c r="J25" s="678">
        <v>0</v>
      </c>
      <c r="K25" s="678">
        <v>0</v>
      </c>
      <c r="L25" s="678">
        <v>0</v>
      </c>
      <c r="M25" s="678">
        <v>0</v>
      </c>
      <c r="N25" s="422">
        <f>SUM(B25:M25)</f>
        <v>0</v>
      </c>
    </row>
    <row r="26" spans="1:19">
      <c r="A26" s="26" t="s">
        <v>105</v>
      </c>
      <c r="B26" s="677">
        <v>0</v>
      </c>
      <c r="C26" s="677">
        <v>0</v>
      </c>
      <c r="D26" s="677">
        <v>0</v>
      </c>
      <c r="E26" s="677">
        <v>0</v>
      </c>
      <c r="F26" s="677">
        <v>0</v>
      </c>
      <c r="G26" s="677">
        <v>0</v>
      </c>
      <c r="H26" s="678">
        <v>0</v>
      </c>
      <c r="I26" s="678">
        <v>0</v>
      </c>
      <c r="J26" s="678">
        <v>0</v>
      </c>
      <c r="K26" s="678">
        <v>0</v>
      </c>
      <c r="L26" s="678">
        <v>0</v>
      </c>
      <c r="M26" s="678">
        <v>0</v>
      </c>
      <c r="N26" s="422">
        <f>SUM(B26:M26)</f>
        <v>0</v>
      </c>
    </row>
    <row r="27" spans="1:19">
      <c r="A27" s="26" t="s">
        <v>246</v>
      </c>
      <c r="B27" s="677">
        <v>0</v>
      </c>
      <c r="C27" s="677">
        <v>0</v>
      </c>
      <c r="D27" s="677">
        <v>0</v>
      </c>
      <c r="E27" s="677">
        <v>0</v>
      </c>
      <c r="F27" s="677">
        <v>0</v>
      </c>
      <c r="G27" s="677">
        <v>0</v>
      </c>
      <c r="H27" s="678">
        <v>0</v>
      </c>
      <c r="I27" s="678">
        <v>0</v>
      </c>
      <c r="J27" s="678">
        <v>0</v>
      </c>
      <c r="K27" s="678">
        <v>0</v>
      </c>
      <c r="L27" s="678">
        <v>0</v>
      </c>
      <c r="M27" s="679">
        <v>0</v>
      </c>
      <c r="N27" s="422">
        <f>SUM(B27:M27)</f>
        <v>0</v>
      </c>
    </row>
    <row r="28" spans="1:19">
      <c r="A28" s="32" t="s">
        <v>240</v>
      </c>
      <c r="B28" s="584">
        <f t="shared" ref="B28:H28" si="3">SUM(B25:B27)</f>
        <v>0</v>
      </c>
      <c r="C28" s="584">
        <f t="shared" si="3"/>
        <v>0</v>
      </c>
      <c r="D28" s="584">
        <f t="shared" si="3"/>
        <v>0</v>
      </c>
      <c r="E28" s="584">
        <f t="shared" si="3"/>
        <v>0</v>
      </c>
      <c r="F28" s="584">
        <f t="shared" si="3"/>
        <v>0</v>
      </c>
      <c r="G28" s="584">
        <f t="shared" si="3"/>
        <v>0</v>
      </c>
      <c r="H28" s="584">
        <f t="shared" si="3"/>
        <v>0</v>
      </c>
      <c r="I28" s="584">
        <f>SUM(I24:I27)</f>
        <v>0</v>
      </c>
      <c r="J28" s="584">
        <f>SUM(J25:J27)</f>
        <v>0</v>
      </c>
      <c r="K28" s="584">
        <f>SUM(K25:K27)</f>
        <v>0</v>
      </c>
      <c r="L28" s="584">
        <f>SUM(L25:L27)</f>
        <v>0</v>
      </c>
      <c r="M28" s="584">
        <f>SUM(M25:M27)</f>
        <v>0</v>
      </c>
      <c r="N28" s="585">
        <f>SUM(B28:M28)</f>
        <v>0</v>
      </c>
      <c r="O28" s="27"/>
    </row>
    <row r="29" spans="1:19" ht="10.5" customHeight="1">
      <c r="A29" s="587"/>
      <c r="B29" s="586"/>
      <c r="C29" s="586"/>
      <c r="D29" s="586"/>
      <c r="E29" s="586"/>
      <c r="F29" s="586"/>
      <c r="G29" s="586"/>
      <c r="H29" s="586"/>
      <c r="I29" s="586"/>
      <c r="J29" s="586"/>
      <c r="K29" s="586"/>
      <c r="L29" s="586"/>
      <c r="M29" s="586"/>
      <c r="N29" s="588"/>
    </row>
    <row r="30" spans="1:19" ht="15" customHeight="1">
      <c r="A30" s="19" t="s">
        <v>254</v>
      </c>
      <c r="B30" s="680">
        <v>0</v>
      </c>
      <c r="C30" s="680">
        <v>0</v>
      </c>
      <c r="D30" s="680">
        <v>0</v>
      </c>
      <c r="E30" s="680">
        <v>0</v>
      </c>
      <c r="F30" s="680">
        <v>0</v>
      </c>
      <c r="G30" s="680">
        <v>0</v>
      </c>
      <c r="H30" s="680">
        <v>0</v>
      </c>
      <c r="I30" s="680">
        <v>0</v>
      </c>
      <c r="J30" s="681">
        <v>0</v>
      </c>
      <c r="K30" s="681">
        <v>0</v>
      </c>
      <c r="L30" s="680">
        <v>0</v>
      </c>
      <c r="M30" s="680">
        <v>0</v>
      </c>
      <c r="N30" s="589">
        <f>SUM(B30:M30)</f>
        <v>0</v>
      </c>
      <c r="O30" s="29"/>
      <c r="P30" s="29"/>
      <c r="Q30" s="29"/>
      <c r="R30" s="29"/>
      <c r="S30" s="33"/>
    </row>
    <row r="31" spans="1:19" ht="28.5" customHeight="1" thickBot="1">
      <c r="A31" s="20" t="s">
        <v>255</v>
      </c>
      <c r="B31" s="424">
        <f t="shared" ref="B31:M31" si="4">B14+B18+B22+B28+B30</f>
        <v>1.89</v>
      </c>
      <c r="C31" s="424">
        <f t="shared" si="4"/>
        <v>2.3210000000000002</v>
      </c>
      <c r="D31" s="424">
        <f t="shared" si="4"/>
        <v>0</v>
      </c>
      <c r="E31" s="424">
        <f t="shared" si="4"/>
        <v>0</v>
      </c>
      <c r="F31" s="424">
        <f t="shared" si="4"/>
        <v>0</v>
      </c>
      <c r="G31" s="424">
        <f t="shared" si="4"/>
        <v>0</v>
      </c>
      <c r="H31" s="424">
        <f t="shared" si="4"/>
        <v>0</v>
      </c>
      <c r="I31" s="424">
        <f t="shared" si="4"/>
        <v>0</v>
      </c>
      <c r="J31" s="424">
        <f t="shared" si="4"/>
        <v>0</v>
      </c>
      <c r="K31" s="424">
        <f t="shared" si="4"/>
        <v>0</v>
      </c>
      <c r="L31" s="424">
        <f t="shared" si="4"/>
        <v>0</v>
      </c>
      <c r="M31" s="424">
        <f t="shared" si="4"/>
        <v>0</v>
      </c>
      <c r="N31" s="425">
        <f>SUM(B31:M31)</f>
        <v>4.2110000000000003</v>
      </c>
      <c r="O31" s="27"/>
    </row>
    <row r="32" spans="1:19" ht="12" customHeight="1">
      <c r="A32" s="34"/>
      <c r="B32" s="35"/>
      <c r="C32" s="35"/>
      <c r="D32" s="182"/>
      <c r="E32" s="35"/>
      <c r="F32" s="35"/>
      <c r="G32" s="35"/>
      <c r="H32" s="35"/>
      <c r="I32" s="182"/>
      <c r="J32" s="182"/>
      <c r="K32" s="182"/>
      <c r="L32" s="182"/>
      <c r="M32" s="182"/>
      <c r="N32" s="35"/>
    </row>
    <row r="33" spans="1:14" ht="14.25">
      <c r="A33" s="342"/>
    </row>
    <row r="34" spans="1:14" ht="12" customHeight="1">
      <c r="A34" s="181" t="s">
        <v>77</v>
      </c>
      <c r="B34" s="27"/>
      <c r="C34" s="27"/>
      <c r="D34" s="27"/>
      <c r="E34" s="27"/>
      <c r="F34" s="27"/>
      <c r="G34" s="27"/>
      <c r="H34" s="27"/>
      <c r="I34" s="27"/>
      <c r="J34" s="27"/>
      <c r="K34" s="27"/>
      <c r="L34" s="27"/>
      <c r="M34" s="27"/>
      <c r="N34" s="27"/>
    </row>
    <row r="35" spans="1:14" ht="14.25" customHeight="1">
      <c r="A35" s="712"/>
      <c r="B35" s="712"/>
      <c r="C35" s="712"/>
      <c r="D35" s="712"/>
      <c r="E35" s="712"/>
      <c r="F35" s="712"/>
      <c r="G35" s="712"/>
      <c r="H35" s="712"/>
      <c r="I35" s="712"/>
      <c r="J35" s="712"/>
      <c r="K35" s="712"/>
      <c r="L35" s="712"/>
      <c r="M35" s="712"/>
      <c r="N35" s="712"/>
    </row>
    <row r="38" spans="1:14">
      <c r="H38" s="27"/>
    </row>
  </sheetData>
  <mergeCells count="1">
    <mergeCell ref="A35:N35"/>
  </mergeCells>
  <printOptions horizontalCentered="1"/>
  <pageMargins left="0" right="0" top="0.55000000000000004" bottom="0.17" header="0.3" footer="0.15"/>
  <pageSetup paperSize="5" scale="74"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5"/>
  <sheetViews>
    <sheetView showGridLines="0" zoomScaleNormal="100" zoomScaleSheetLayoutView="75" workbookViewId="0">
      <selection activeCell="E4" sqref="E4"/>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6" ht="15">
      <c r="A1" s="370"/>
    </row>
    <row r="3" spans="1:16">
      <c r="E3" s="114" t="s">
        <v>39</v>
      </c>
    </row>
    <row r="4" spans="1:16">
      <c r="C4" s="125"/>
      <c r="D4" s="125"/>
      <c r="E4" s="126" t="s">
        <v>256</v>
      </c>
      <c r="F4" s="125"/>
      <c r="G4" s="125"/>
    </row>
    <row r="5" spans="1:16">
      <c r="D5" s="125"/>
      <c r="E5" s="117">
        <f>'Program MW '!H3</f>
        <v>44593</v>
      </c>
      <c r="F5" s="125"/>
    </row>
    <row r="6" spans="1:16">
      <c r="E6" s="117"/>
    </row>
    <row r="7" spans="1:16" ht="13.5" thickBot="1">
      <c r="A7" s="21"/>
    </row>
    <row r="8" spans="1:16" ht="32.25" customHeight="1" thickBot="1">
      <c r="A8" s="288" t="s">
        <v>221</v>
      </c>
      <c r="B8" s="23" t="s">
        <v>41</v>
      </c>
      <c r="C8" s="23" t="s">
        <v>42</v>
      </c>
      <c r="D8" s="23" t="s">
        <v>43</v>
      </c>
      <c r="E8" s="23" t="s">
        <v>44</v>
      </c>
      <c r="F8" s="23" t="s">
        <v>31</v>
      </c>
      <c r="G8" s="23" t="s">
        <v>45</v>
      </c>
      <c r="H8" s="23" t="s">
        <v>59</v>
      </c>
      <c r="I8" s="23" t="s">
        <v>60</v>
      </c>
      <c r="J8" s="23" t="s">
        <v>61</v>
      </c>
      <c r="K8" s="23" t="s">
        <v>62</v>
      </c>
      <c r="L8" s="23" t="s">
        <v>63</v>
      </c>
      <c r="M8" s="23" t="s">
        <v>64</v>
      </c>
      <c r="N8" s="349" t="s">
        <v>244</v>
      </c>
    </row>
    <row r="9" spans="1:16" ht="25.5">
      <c r="A9" s="289" t="s">
        <v>257</v>
      </c>
      <c r="B9" s="183"/>
      <c r="C9" s="183"/>
      <c r="N9" s="590"/>
    </row>
    <row r="10" spans="1:16" ht="6" customHeight="1">
      <c r="A10" s="251"/>
      <c r="B10" s="183"/>
      <c r="C10" s="183"/>
      <c r="N10" s="253"/>
    </row>
    <row r="11" spans="1:16">
      <c r="A11" s="251" t="s">
        <v>223</v>
      </c>
      <c r="B11" s="183"/>
      <c r="C11" s="183"/>
      <c r="N11" s="253"/>
    </row>
    <row r="12" spans="1:16" ht="14.25">
      <c r="A12" s="252" t="s">
        <v>328</v>
      </c>
      <c r="B12" s="677">
        <v>0</v>
      </c>
      <c r="C12" s="677">
        <v>0</v>
      </c>
      <c r="D12" s="677">
        <v>0</v>
      </c>
      <c r="E12" s="677">
        <v>0</v>
      </c>
      <c r="F12" s="677">
        <v>0</v>
      </c>
      <c r="G12" s="677">
        <v>0</v>
      </c>
      <c r="H12" s="677">
        <v>0</v>
      </c>
      <c r="I12" s="677">
        <v>0</v>
      </c>
      <c r="J12" s="677">
        <v>0</v>
      </c>
      <c r="K12" s="677">
        <v>0</v>
      </c>
      <c r="L12" s="677">
        <v>0</v>
      </c>
      <c r="M12" s="677">
        <v>0</v>
      </c>
      <c r="N12" s="422">
        <f t="shared" ref="N12:N17" si="0">SUM(B12:M12)</f>
        <v>0</v>
      </c>
      <c r="P12" s="285"/>
    </row>
    <row r="13" spans="1:16" ht="14.25">
      <c r="A13" s="252" t="s">
        <v>258</v>
      </c>
      <c r="B13" s="677">
        <v>22.611000000000001</v>
      </c>
      <c r="C13" s="677">
        <v>22.087</v>
      </c>
      <c r="D13" s="677">
        <v>0</v>
      </c>
      <c r="E13" s="677">
        <v>0</v>
      </c>
      <c r="F13" s="677">
        <v>0</v>
      </c>
      <c r="G13" s="677">
        <v>0</v>
      </c>
      <c r="H13" s="677">
        <v>0</v>
      </c>
      <c r="I13" s="677">
        <v>0</v>
      </c>
      <c r="J13" s="677">
        <v>0</v>
      </c>
      <c r="K13" s="677">
        <v>0</v>
      </c>
      <c r="L13" s="677">
        <v>0</v>
      </c>
      <c r="M13" s="677">
        <v>0</v>
      </c>
      <c r="N13" s="422">
        <f t="shared" si="0"/>
        <v>44.698</v>
      </c>
    </row>
    <row r="14" spans="1:16">
      <c r="A14" s="252" t="s">
        <v>327</v>
      </c>
      <c r="B14" s="677">
        <v>0</v>
      </c>
      <c r="C14" s="677">
        <v>0</v>
      </c>
      <c r="D14" s="677">
        <v>0</v>
      </c>
      <c r="E14" s="677">
        <v>0</v>
      </c>
      <c r="F14" s="677">
        <v>0</v>
      </c>
      <c r="G14" s="677">
        <v>0</v>
      </c>
      <c r="H14" s="677">
        <v>0</v>
      </c>
      <c r="I14" s="677">
        <v>0</v>
      </c>
      <c r="J14" s="677">
        <v>0</v>
      </c>
      <c r="K14" s="677">
        <v>0</v>
      </c>
      <c r="L14" s="677">
        <v>0</v>
      </c>
      <c r="M14" s="677">
        <v>0</v>
      </c>
      <c r="N14" s="422">
        <f t="shared" si="0"/>
        <v>0</v>
      </c>
    </row>
    <row r="15" spans="1:16" ht="14.25">
      <c r="A15" s="252" t="s">
        <v>259</v>
      </c>
      <c r="B15" s="677">
        <v>0</v>
      </c>
      <c r="C15" s="677">
        <v>0</v>
      </c>
      <c r="D15" s="677">
        <v>0</v>
      </c>
      <c r="E15" s="677">
        <v>0</v>
      </c>
      <c r="F15" s="677">
        <v>0</v>
      </c>
      <c r="G15" s="677">
        <v>0</v>
      </c>
      <c r="H15" s="677">
        <v>0</v>
      </c>
      <c r="I15" s="677">
        <v>0</v>
      </c>
      <c r="J15" s="677">
        <v>0</v>
      </c>
      <c r="K15" s="677">
        <v>0</v>
      </c>
      <c r="L15" s="677">
        <v>0</v>
      </c>
      <c r="M15" s="677">
        <v>0</v>
      </c>
      <c r="N15" s="422">
        <f t="shared" si="0"/>
        <v>0</v>
      </c>
    </row>
    <row r="16" spans="1:16" ht="14.25">
      <c r="A16" s="290" t="s">
        <v>326</v>
      </c>
      <c r="B16" s="677">
        <v>3.6829999999999998</v>
      </c>
      <c r="C16" s="677">
        <v>20.532</v>
      </c>
      <c r="D16" s="677">
        <v>0</v>
      </c>
      <c r="E16" s="677">
        <v>0</v>
      </c>
      <c r="F16" s="677">
        <v>0</v>
      </c>
      <c r="G16" s="677">
        <v>0</v>
      </c>
      <c r="H16" s="677">
        <v>0</v>
      </c>
      <c r="I16" s="677">
        <v>0</v>
      </c>
      <c r="J16" s="677">
        <v>0</v>
      </c>
      <c r="K16" s="677">
        <v>0</v>
      </c>
      <c r="L16" s="677">
        <v>0</v>
      </c>
      <c r="M16" s="677">
        <v>0</v>
      </c>
      <c r="N16" s="422">
        <f t="shared" si="0"/>
        <v>24.215</v>
      </c>
      <c r="O16" s="27"/>
    </row>
    <row r="17" spans="1:16">
      <c r="A17" s="406" t="s">
        <v>247</v>
      </c>
      <c r="B17" s="584">
        <f t="shared" ref="B17:M17" si="1">SUM(B12:B16)</f>
        <v>26.294</v>
      </c>
      <c r="C17" s="584">
        <f t="shared" si="1"/>
        <v>42.619</v>
      </c>
      <c r="D17" s="584">
        <f t="shared" si="1"/>
        <v>0</v>
      </c>
      <c r="E17" s="584">
        <f t="shared" si="1"/>
        <v>0</v>
      </c>
      <c r="F17" s="584">
        <f t="shared" si="1"/>
        <v>0</v>
      </c>
      <c r="G17" s="584">
        <f t="shared" si="1"/>
        <v>0</v>
      </c>
      <c r="H17" s="584">
        <f t="shared" si="1"/>
        <v>0</v>
      </c>
      <c r="I17" s="584">
        <f t="shared" si="1"/>
        <v>0</v>
      </c>
      <c r="J17" s="584">
        <f t="shared" si="1"/>
        <v>0</v>
      </c>
      <c r="K17" s="584">
        <f t="shared" si="1"/>
        <v>0</v>
      </c>
      <c r="L17" s="584">
        <f t="shared" si="1"/>
        <v>0</v>
      </c>
      <c r="M17" s="584">
        <f t="shared" si="1"/>
        <v>0</v>
      </c>
      <c r="N17" s="585">
        <f t="shared" si="0"/>
        <v>68.912999999999997</v>
      </c>
    </row>
    <row r="18" spans="1:16">
      <c r="A18" s="253"/>
      <c r="B18" s="421"/>
      <c r="C18" s="421"/>
      <c r="D18" s="421"/>
      <c r="E18" s="421"/>
      <c r="F18" s="421"/>
      <c r="G18" s="421"/>
      <c r="H18" s="421"/>
      <c r="I18" s="421"/>
      <c r="J18" s="421" t="s">
        <v>56</v>
      </c>
      <c r="K18" s="421"/>
      <c r="L18" s="421"/>
      <c r="M18" s="421"/>
      <c r="N18" s="422"/>
      <c r="P18" s="285"/>
    </row>
    <row r="19" spans="1:16">
      <c r="A19" s="251" t="s">
        <v>260</v>
      </c>
      <c r="B19" s="421"/>
      <c r="C19" s="421"/>
      <c r="D19" s="421"/>
      <c r="E19" s="421"/>
      <c r="F19" s="421"/>
      <c r="G19" s="421"/>
      <c r="H19" s="421"/>
      <c r="I19" s="421"/>
      <c r="J19" s="421"/>
      <c r="K19" s="421"/>
      <c r="L19" s="421"/>
      <c r="M19" s="421"/>
      <c r="N19" s="422"/>
      <c r="P19" s="285"/>
    </row>
    <row r="20" spans="1:16">
      <c r="A20" s="252" t="s">
        <v>261</v>
      </c>
      <c r="B20" s="677">
        <v>43.347000000000001</v>
      </c>
      <c r="C20" s="677">
        <v>43.347000000000001</v>
      </c>
      <c r="D20" s="677">
        <v>0</v>
      </c>
      <c r="E20" s="677">
        <v>0</v>
      </c>
      <c r="F20" s="677">
        <v>0</v>
      </c>
      <c r="G20" s="677">
        <v>0</v>
      </c>
      <c r="H20" s="677">
        <v>0</v>
      </c>
      <c r="I20" s="677">
        <v>0</v>
      </c>
      <c r="J20" s="677">
        <v>0</v>
      </c>
      <c r="K20" s="677">
        <v>0</v>
      </c>
      <c r="L20" s="677">
        <v>0</v>
      </c>
      <c r="M20" s="677">
        <v>0</v>
      </c>
      <c r="N20" s="422">
        <f>SUM(B20:M20)</f>
        <v>86.694000000000003</v>
      </c>
      <c r="P20" s="285"/>
    </row>
    <row r="21" spans="1:16">
      <c r="A21" s="252" t="s">
        <v>262</v>
      </c>
      <c r="B21" s="677">
        <v>17.338000000000001</v>
      </c>
      <c r="C21" s="677">
        <v>17.645</v>
      </c>
      <c r="D21" s="677">
        <v>0</v>
      </c>
      <c r="E21" s="677">
        <v>0</v>
      </c>
      <c r="F21" s="677">
        <v>0</v>
      </c>
      <c r="G21" s="677">
        <v>0</v>
      </c>
      <c r="H21" s="677">
        <v>0</v>
      </c>
      <c r="I21" s="677">
        <v>0</v>
      </c>
      <c r="J21" s="677">
        <v>0</v>
      </c>
      <c r="K21" s="677">
        <v>0</v>
      </c>
      <c r="L21" s="677">
        <v>0</v>
      </c>
      <c r="M21" s="677">
        <v>0</v>
      </c>
      <c r="N21" s="422">
        <f t="shared" ref="N21:N22" si="2">SUM(B21:M21)</f>
        <v>34.983000000000004</v>
      </c>
      <c r="P21" s="285"/>
    </row>
    <row r="22" spans="1:16">
      <c r="A22" s="252" t="s">
        <v>263</v>
      </c>
      <c r="B22" s="677">
        <v>1.1639999999999999</v>
      </c>
      <c r="C22" s="677">
        <v>1.1639999999999999</v>
      </c>
      <c r="D22" s="677">
        <v>0</v>
      </c>
      <c r="E22" s="677">
        <v>0</v>
      </c>
      <c r="F22" s="677">
        <v>0</v>
      </c>
      <c r="G22" s="677">
        <v>0</v>
      </c>
      <c r="H22" s="677">
        <v>0</v>
      </c>
      <c r="I22" s="677">
        <v>0</v>
      </c>
      <c r="J22" s="677">
        <v>0</v>
      </c>
      <c r="K22" s="677">
        <v>0</v>
      </c>
      <c r="L22" s="677">
        <v>0</v>
      </c>
      <c r="M22" s="677">
        <v>0</v>
      </c>
      <c r="N22" s="422">
        <f t="shared" si="2"/>
        <v>2.3279999999999998</v>
      </c>
      <c r="P22" s="285"/>
    </row>
    <row r="23" spans="1:16">
      <c r="A23" s="254" t="s">
        <v>264</v>
      </c>
      <c r="B23" s="677">
        <v>1.764</v>
      </c>
      <c r="C23" s="677">
        <v>1.492</v>
      </c>
      <c r="D23" s="677">
        <v>0</v>
      </c>
      <c r="E23" s="677">
        <v>0</v>
      </c>
      <c r="F23" s="677">
        <v>0</v>
      </c>
      <c r="G23" s="677">
        <v>0</v>
      </c>
      <c r="H23" s="677">
        <v>0</v>
      </c>
      <c r="I23" s="677">
        <v>0</v>
      </c>
      <c r="J23" s="677">
        <v>0</v>
      </c>
      <c r="K23" s="677">
        <v>0</v>
      </c>
      <c r="L23" s="677">
        <v>0</v>
      </c>
      <c r="M23" s="677">
        <v>0</v>
      </c>
      <c r="N23" s="422">
        <f>SUM(B23:M23)</f>
        <v>3.2560000000000002</v>
      </c>
      <c r="P23" s="285"/>
    </row>
    <row r="24" spans="1:16">
      <c r="A24" s="407" t="s">
        <v>250</v>
      </c>
      <c r="B24" s="584">
        <f>SUM(B20:B23)</f>
        <v>63.613000000000007</v>
      </c>
      <c r="C24" s="584">
        <f t="shared" ref="C24:M24" si="3">SUM(C20:C23)</f>
        <v>63.648000000000003</v>
      </c>
      <c r="D24" s="584">
        <f t="shared" si="3"/>
        <v>0</v>
      </c>
      <c r="E24" s="584">
        <f t="shared" si="3"/>
        <v>0</v>
      </c>
      <c r="F24" s="584">
        <f t="shared" si="3"/>
        <v>0</v>
      </c>
      <c r="G24" s="584">
        <f t="shared" si="3"/>
        <v>0</v>
      </c>
      <c r="H24" s="584">
        <f t="shared" si="3"/>
        <v>0</v>
      </c>
      <c r="I24" s="584">
        <f t="shared" si="3"/>
        <v>0</v>
      </c>
      <c r="J24" s="584">
        <f t="shared" si="3"/>
        <v>0</v>
      </c>
      <c r="K24" s="584">
        <f t="shared" si="3"/>
        <v>0</v>
      </c>
      <c r="L24" s="584">
        <f t="shared" si="3"/>
        <v>0</v>
      </c>
      <c r="M24" s="584">
        <f t="shared" si="3"/>
        <v>0</v>
      </c>
      <c r="N24" s="585">
        <f>SUM(B24:M24)</f>
        <v>127.26100000000001</v>
      </c>
      <c r="P24" s="285"/>
    </row>
    <row r="25" spans="1:16">
      <c r="A25" s="254"/>
      <c r="B25" s="421"/>
      <c r="C25" s="421"/>
      <c r="D25" s="421"/>
      <c r="E25" s="421"/>
      <c r="F25" s="421"/>
      <c r="G25" s="421"/>
      <c r="H25" s="421"/>
      <c r="I25" s="421"/>
      <c r="J25" s="421"/>
      <c r="K25" s="421"/>
      <c r="L25" s="421"/>
      <c r="M25" s="421"/>
      <c r="N25" s="422"/>
      <c r="P25" s="285"/>
    </row>
    <row r="26" spans="1:16">
      <c r="A26" s="251"/>
      <c r="B26" s="421" t="s">
        <v>56</v>
      </c>
      <c r="C26" s="421" t="s">
        <v>56</v>
      </c>
      <c r="D26" s="421" t="s">
        <v>56</v>
      </c>
      <c r="E26" s="421"/>
      <c r="F26" s="421" t="s">
        <v>56</v>
      </c>
      <c r="G26" s="421"/>
      <c r="H26" s="423" t="s">
        <v>56</v>
      </c>
      <c r="I26" s="423" t="s">
        <v>56</v>
      </c>
      <c r="J26" s="423" t="s">
        <v>56</v>
      </c>
      <c r="K26" s="423" t="s">
        <v>56</v>
      </c>
      <c r="L26" s="423" t="s">
        <v>56</v>
      </c>
      <c r="M26" s="423" t="s">
        <v>56</v>
      </c>
      <c r="N26" s="422" t="s">
        <v>56</v>
      </c>
      <c r="P26" s="285"/>
    </row>
    <row r="27" spans="1:16">
      <c r="A27" s="251" t="s">
        <v>251</v>
      </c>
      <c r="B27" s="677">
        <v>0</v>
      </c>
      <c r="C27" s="677">
        <v>0</v>
      </c>
      <c r="D27" s="677">
        <v>0</v>
      </c>
      <c r="E27" s="677">
        <v>0</v>
      </c>
      <c r="F27" s="677">
        <v>0</v>
      </c>
      <c r="G27" s="677">
        <v>0</v>
      </c>
      <c r="H27" s="678">
        <v>0</v>
      </c>
      <c r="I27" s="678">
        <v>0</v>
      </c>
      <c r="J27" s="678">
        <v>0</v>
      </c>
      <c r="K27" s="678">
        <v>0</v>
      </c>
      <c r="L27" s="678">
        <v>0</v>
      </c>
      <c r="M27" s="678">
        <v>0</v>
      </c>
      <c r="N27" s="422">
        <f>SUM(B27:M27)</f>
        <v>0</v>
      </c>
      <c r="P27" s="285"/>
    </row>
    <row r="28" spans="1:16">
      <c r="A28" s="408" t="s">
        <v>253</v>
      </c>
      <c r="B28" s="584">
        <f t="shared" ref="B28:H28" si="4">SUM(B27:B27)</f>
        <v>0</v>
      </c>
      <c r="C28" s="584">
        <f t="shared" si="4"/>
        <v>0</v>
      </c>
      <c r="D28" s="584">
        <f t="shared" si="4"/>
        <v>0</v>
      </c>
      <c r="E28" s="584">
        <f>SUM(E27:E27)</f>
        <v>0</v>
      </c>
      <c r="F28" s="584">
        <f t="shared" si="4"/>
        <v>0</v>
      </c>
      <c r="G28" s="584">
        <f t="shared" si="4"/>
        <v>0</v>
      </c>
      <c r="H28" s="584">
        <f t="shared" si="4"/>
        <v>0</v>
      </c>
      <c r="I28" s="584">
        <f>SUM(I27:I27)</f>
        <v>0</v>
      </c>
      <c r="J28" s="584">
        <f>SUM(J27:J27)</f>
        <v>0</v>
      </c>
      <c r="K28" s="584">
        <f>SUM(K27:K27)</f>
        <v>0</v>
      </c>
      <c r="L28" s="584">
        <f>SUM(L27:L27)</f>
        <v>0</v>
      </c>
      <c r="M28" s="584">
        <f>SUM(M27:M27)</f>
        <v>0</v>
      </c>
      <c r="N28" s="585">
        <f>SUM(B28:M28)</f>
        <v>0</v>
      </c>
      <c r="P28" s="285"/>
    </row>
    <row r="29" spans="1:16">
      <c r="A29" s="255"/>
      <c r="B29" s="421"/>
      <c r="C29" s="421"/>
      <c r="D29" s="421"/>
      <c r="E29" s="421"/>
      <c r="F29" s="421"/>
      <c r="G29" s="586"/>
      <c r="H29" s="421"/>
      <c r="I29" s="586"/>
      <c r="J29" s="421"/>
      <c r="K29" s="421"/>
      <c r="L29" s="586"/>
      <c r="M29" s="421"/>
      <c r="N29" s="422"/>
    </row>
    <row r="30" spans="1:16">
      <c r="A30" s="256"/>
      <c r="B30" s="421"/>
      <c r="C30" s="421"/>
      <c r="D30" s="421"/>
      <c r="E30" s="421"/>
      <c r="F30" s="421"/>
      <c r="G30" s="421"/>
      <c r="H30" s="421"/>
      <c r="I30" s="421"/>
      <c r="J30" s="421"/>
      <c r="K30" s="421"/>
      <c r="L30" s="421"/>
      <c r="M30" s="421"/>
      <c r="N30" s="422"/>
    </row>
    <row r="31" spans="1:16">
      <c r="A31" s="256" t="s">
        <v>236</v>
      </c>
      <c r="B31" s="677">
        <v>0</v>
      </c>
      <c r="C31" s="677">
        <v>0</v>
      </c>
      <c r="D31" s="677">
        <v>0</v>
      </c>
      <c r="E31" s="677">
        <v>0</v>
      </c>
      <c r="F31" s="677">
        <v>0</v>
      </c>
      <c r="G31" s="677">
        <v>0</v>
      </c>
      <c r="H31" s="678">
        <v>0</v>
      </c>
      <c r="I31" s="678">
        <v>0</v>
      </c>
      <c r="J31" s="678">
        <v>0</v>
      </c>
      <c r="K31" s="678">
        <v>0</v>
      </c>
      <c r="L31" s="678">
        <v>0</v>
      </c>
      <c r="M31" s="678">
        <v>0</v>
      </c>
      <c r="N31" s="422">
        <f>SUM(B31:M31)</f>
        <v>0</v>
      </c>
    </row>
    <row r="32" spans="1:16">
      <c r="A32" s="409" t="s">
        <v>240</v>
      </c>
      <c r="B32" s="584">
        <f t="shared" ref="B32:G32" si="5">SUM(B31:B31)</f>
        <v>0</v>
      </c>
      <c r="C32" s="584">
        <f t="shared" si="5"/>
        <v>0</v>
      </c>
      <c r="D32" s="584">
        <f t="shared" si="5"/>
        <v>0</v>
      </c>
      <c r="E32" s="584">
        <f t="shared" si="5"/>
        <v>0</v>
      </c>
      <c r="F32" s="584">
        <f t="shared" si="5"/>
        <v>0</v>
      </c>
      <c r="G32" s="584">
        <f t="shared" si="5"/>
        <v>0</v>
      </c>
      <c r="H32" s="584">
        <f>SUM(H30:H31)</f>
        <v>0</v>
      </c>
      <c r="I32" s="584">
        <f>SUM(I30:I31)</f>
        <v>0</v>
      </c>
      <c r="J32" s="584">
        <f>SUM(J31:J31)</f>
        <v>0</v>
      </c>
      <c r="K32" s="584">
        <f>SUM(K31:K31)</f>
        <v>0</v>
      </c>
      <c r="L32" s="584">
        <f>SUM(L31:L31)</f>
        <v>0</v>
      </c>
      <c r="M32" s="584">
        <f>SUM(M31:M31)</f>
        <v>0</v>
      </c>
      <c r="N32" s="585">
        <f>SUM(B32:M32)</f>
        <v>0</v>
      </c>
      <c r="O32" s="27"/>
    </row>
    <row r="33" spans="1:19" ht="10.5" customHeight="1">
      <c r="A33" s="472"/>
      <c r="B33" s="586"/>
      <c r="C33" s="586"/>
      <c r="D33" s="586"/>
      <c r="E33" s="586"/>
      <c r="F33" s="586"/>
      <c r="G33" s="586"/>
      <c r="H33" s="586">
        <v>0</v>
      </c>
      <c r="I33" s="586"/>
      <c r="J33" s="586"/>
      <c r="K33" s="586"/>
      <c r="L33" s="586"/>
      <c r="M33" s="586"/>
      <c r="N33" s="588"/>
    </row>
    <row r="34" spans="1:19" ht="15" customHeight="1">
      <c r="A34" s="407" t="s">
        <v>254</v>
      </c>
      <c r="B34" s="680">
        <v>0</v>
      </c>
      <c r="C34" s="680">
        <v>0</v>
      </c>
      <c r="D34" s="680">
        <v>0</v>
      </c>
      <c r="E34" s="680">
        <v>0</v>
      </c>
      <c r="F34" s="680">
        <v>0</v>
      </c>
      <c r="G34" s="680">
        <v>0</v>
      </c>
      <c r="H34" s="680">
        <v>0</v>
      </c>
      <c r="I34" s="680">
        <v>0</v>
      </c>
      <c r="J34" s="681">
        <v>0</v>
      </c>
      <c r="K34" s="681">
        <v>0</v>
      </c>
      <c r="L34" s="680">
        <v>0</v>
      </c>
      <c r="M34" s="680">
        <v>0</v>
      </c>
      <c r="N34" s="589">
        <f>SUM(B34:M34)</f>
        <v>0</v>
      </c>
      <c r="O34" s="29"/>
      <c r="P34" s="29"/>
      <c r="Q34" s="29"/>
      <c r="R34" s="29"/>
      <c r="S34" s="33"/>
    </row>
    <row r="35" spans="1:19" ht="15" customHeight="1" thickBot="1">
      <c r="A35" s="257" t="s">
        <v>265</v>
      </c>
      <c r="B35" s="424">
        <f t="shared" ref="B35:M35" si="6">B17+B24+B28+B32+B34</f>
        <v>89.907000000000011</v>
      </c>
      <c r="C35" s="424">
        <f t="shared" si="6"/>
        <v>106.267</v>
      </c>
      <c r="D35" s="424">
        <f t="shared" si="6"/>
        <v>0</v>
      </c>
      <c r="E35" s="424">
        <f t="shared" si="6"/>
        <v>0</v>
      </c>
      <c r="F35" s="424">
        <f t="shared" si="6"/>
        <v>0</v>
      </c>
      <c r="G35" s="424">
        <f t="shared" si="6"/>
        <v>0</v>
      </c>
      <c r="H35" s="424">
        <f t="shared" si="6"/>
        <v>0</v>
      </c>
      <c r="I35" s="424">
        <f t="shared" si="6"/>
        <v>0</v>
      </c>
      <c r="J35" s="424">
        <f t="shared" si="6"/>
        <v>0</v>
      </c>
      <c r="K35" s="424">
        <f t="shared" si="6"/>
        <v>0</v>
      </c>
      <c r="L35" s="424">
        <f t="shared" si="6"/>
        <v>0</v>
      </c>
      <c r="M35" s="424">
        <f t="shared" si="6"/>
        <v>0</v>
      </c>
      <c r="N35" s="425">
        <f>SUM(B35:M35)</f>
        <v>196.17400000000001</v>
      </c>
      <c r="O35" s="29"/>
      <c r="P35" s="29"/>
      <c r="Q35" s="29"/>
      <c r="R35" s="29"/>
      <c r="S35" s="33"/>
    </row>
    <row r="36" spans="1:19" s="125" customFormat="1" ht="26.25" customHeight="1" thickBot="1">
      <c r="A36" s="394" t="s">
        <v>266</v>
      </c>
      <c r="B36" s="607">
        <f>B35+0.005</f>
        <v>89.912000000000006</v>
      </c>
      <c r="C36" s="608">
        <f>C35+0.018</f>
        <v>106.285</v>
      </c>
      <c r="D36" s="608">
        <v>0</v>
      </c>
      <c r="E36" s="608">
        <v>0</v>
      </c>
      <c r="F36" s="608">
        <v>0</v>
      </c>
      <c r="G36" s="608">
        <v>0</v>
      </c>
      <c r="H36" s="608">
        <v>0</v>
      </c>
      <c r="I36" s="608">
        <v>0</v>
      </c>
      <c r="J36" s="608">
        <v>0</v>
      </c>
      <c r="K36" s="608">
        <v>0</v>
      </c>
      <c r="L36" s="608">
        <v>0</v>
      </c>
      <c r="M36" s="608">
        <v>0</v>
      </c>
      <c r="N36" s="426">
        <f>SUM(B36:M36)</f>
        <v>196.197</v>
      </c>
      <c r="O36" s="395"/>
    </row>
    <row r="37" spans="1:19">
      <c r="A37" s="34"/>
      <c r="B37" s="35"/>
      <c r="C37" s="35"/>
      <c r="D37" s="35"/>
      <c r="E37" s="35"/>
      <c r="F37" s="35"/>
      <c r="G37" s="35"/>
      <c r="H37" s="35"/>
      <c r="I37" s="35"/>
      <c r="J37" s="35"/>
      <c r="K37" s="35"/>
      <c r="L37" s="35"/>
      <c r="M37" s="35"/>
      <c r="N37" s="35"/>
    </row>
    <row r="38" spans="1:19" ht="15">
      <c r="A38" s="325" t="s">
        <v>67</v>
      </c>
      <c r="B38" s="326"/>
      <c r="C38" s="326"/>
      <c r="D38" s="326"/>
      <c r="E38" s="326"/>
      <c r="F38" s="326"/>
      <c r="G38" s="326"/>
      <c r="H38" s="326"/>
      <c r="I38" s="326"/>
      <c r="J38" s="326"/>
      <c r="K38" s="326"/>
      <c r="L38" s="326"/>
      <c r="M38" s="326"/>
      <c r="N38" s="326"/>
    </row>
    <row r="39" spans="1:19" ht="17.25">
      <c r="A39" s="389" t="s">
        <v>267</v>
      </c>
      <c r="B39" s="390"/>
      <c r="C39" s="390"/>
      <c r="D39" s="390"/>
      <c r="E39" s="390"/>
      <c r="F39" s="390"/>
      <c r="G39" s="390"/>
      <c r="H39" s="390"/>
      <c r="I39" s="390"/>
      <c r="J39" s="390"/>
      <c r="K39" s="390"/>
      <c r="L39" s="390"/>
      <c r="M39" s="390"/>
      <c r="N39" s="390"/>
    </row>
    <row r="40" spans="1:19" ht="15" customHeight="1">
      <c r="A40" s="713" t="s">
        <v>268</v>
      </c>
      <c r="B40" s="713"/>
      <c r="C40" s="713"/>
      <c r="D40" s="713"/>
      <c r="E40" s="713"/>
      <c r="F40" s="713"/>
      <c r="G40" s="713"/>
      <c r="H40" s="713"/>
      <c r="I40" s="713"/>
      <c r="J40" s="713"/>
      <c r="K40" s="713"/>
      <c r="L40" s="713"/>
      <c r="M40" s="713"/>
      <c r="N40" s="713"/>
    </row>
    <row r="41" spans="1:19" ht="15" customHeight="1">
      <c r="A41" s="391" t="s">
        <v>269</v>
      </c>
      <c r="B41" s="392"/>
      <c r="C41" s="392"/>
      <c r="D41" s="392"/>
      <c r="E41" s="392"/>
      <c r="F41" s="392"/>
      <c r="G41" s="392"/>
      <c r="H41" s="392"/>
      <c r="I41" s="392"/>
      <c r="J41" s="392"/>
      <c r="K41" s="392"/>
      <c r="L41" s="392"/>
      <c r="M41" s="392"/>
      <c r="N41" s="392"/>
    </row>
    <row r="42" spans="1:19" ht="15" customHeight="1">
      <c r="A42" s="393"/>
      <c r="B42" s="392"/>
      <c r="C42" s="392"/>
      <c r="D42" s="392"/>
      <c r="E42" s="392"/>
      <c r="F42" s="392"/>
      <c r="G42" s="392"/>
      <c r="H42" s="392"/>
      <c r="I42" s="392"/>
      <c r="J42" s="392"/>
      <c r="K42" s="392"/>
      <c r="L42" s="392"/>
      <c r="M42" s="392"/>
      <c r="N42" s="392"/>
    </row>
    <row r="43" spans="1:19" ht="15" customHeight="1">
      <c r="A43" s="393"/>
      <c r="B43" s="372"/>
      <c r="C43" s="372"/>
      <c r="D43" s="372"/>
      <c r="E43" s="372"/>
      <c r="F43" s="372"/>
      <c r="G43" s="372"/>
      <c r="H43" s="372"/>
      <c r="I43" s="372"/>
      <c r="J43" s="372"/>
      <c r="K43" s="372"/>
      <c r="L43" s="372"/>
      <c r="M43" s="372"/>
      <c r="N43" s="372"/>
    </row>
    <row r="44" spans="1:19" ht="15">
      <c r="A44" s="393"/>
      <c r="E44" s="92"/>
    </row>
    <row r="45" spans="1:19" ht="15">
      <c r="A45" s="181" t="s">
        <v>77</v>
      </c>
      <c r="H45" s="27"/>
    </row>
  </sheetData>
  <mergeCells count="1">
    <mergeCell ref="A40:N40"/>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39"/>
  <sheetViews>
    <sheetView showGridLines="0" tabSelected="1" zoomScale="90" zoomScaleNormal="90" zoomScaleSheetLayoutView="75" workbookViewId="0">
      <selection activeCell="E4" sqref="E4"/>
    </sheetView>
  </sheetViews>
  <sheetFormatPr defaultColWidth="9.28515625" defaultRowHeight="12.75"/>
  <cols>
    <col min="1" max="1" width="55.28515625" style="459" customWidth="1"/>
    <col min="2" max="13" width="11.5703125" style="459" customWidth="1"/>
    <col min="14" max="14" width="15.7109375" style="459" bestFit="1" customWidth="1"/>
    <col min="15" max="15" width="9.7109375" style="459" bestFit="1" customWidth="1"/>
    <col min="16" max="16" width="22.7109375" style="459" bestFit="1" customWidth="1"/>
    <col min="17" max="17" width="22.28515625" style="459" customWidth="1"/>
    <col min="18" max="16384" width="9.28515625" style="459"/>
  </cols>
  <sheetData>
    <row r="1" spans="1:16" ht="15">
      <c r="A1" s="591"/>
    </row>
    <row r="3" spans="1:16">
      <c r="E3" s="114" t="s">
        <v>278</v>
      </c>
    </row>
    <row r="4" spans="1:16">
      <c r="C4" s="460"/>
      <c r="D4" s="460"/>
      <c r="E4" s="126" t="s">
        <v>279</v>
      </c>
      <c r="F4" s="460"/>
      <c r="G4" s="460"/>
    </row>
    <row r="5" spans="1:16">
      <c r="D5" s="460"/>
      <c r="E5" s="145">
        <f>'Program MW '!H3</f>
        <v>44593</v>
      </c>
      <c r="F5" s="460"/>
    </row>
    <row r="6" spans="1:16">
      <c r="E6" s="145"/>
    </row>
    <row r="7" spans="1:16" ht="13.5" thickBot="1">
      <c r="A7" s="21"/>
    </row>
    <row r="8" spans="1:16" ht="32.25" customHeight="1" thickBot="1">
      <c r="A8" s="288" t="s">
        <v>221</v>
      </c>
      <c r="B8" s="23" t="s">
        <v>41</v>
      </c>
      <c r="C8" s="23" t="s">
        <v>42</v>
      </c>
      <c r="D8" s="23" t="s">
        <v>43</v>
      </c>
      <c r="E8" s="23" t="s">
        <v>44</v>
      </c>
      <c r="F8" s="23" t="s">
        <v>31</v>
      </c>
      <c r="G8" s="23" t="s">
        <v>45</v>
      </c>
      <c r="H8" s="23" t="s">
        <v>59</v>
      </c>
      <c r="I8" s="23" t="s">
        <v>60</v>
      </c>
      <c r="J8" s="23" t="s">
        <v>61</v>
      </c>
      <c r="K8" s="23" t="s">
        <v>62</v>
      </c>
      <c r="L8" s="23" t="s">
        <v>63</v>
      </c>
      <c r="M8" s="23" t="s">
        <v>64</v>
      </c>
      <c r="N8" s="349" t="s">
        <v>244</v>
      </c>
    </row>
    <row r="9" spans="1:16" ht="25.5">
      <c r="A9" s="289" t="s">
        <v>280</v>
      </c>
      <c r="B9" s="461"/>
      <c r="C9" s="461"/>
      <c r="N9" s="462"/>
    </row>
    <row r="10" spans="1:16" ht="6" customHeight="1">
      <c r="A10" s="251"/>
      <c r="B10" s="461"/>
      <c r="C10" s="461"/>
      <c r="N10" s="463"/>
    </row>
    <row r="11" spans="1:16">
      <c r="A11" s="251" t="s">
        <v>223</v>
      </c>
      <c r="B11" s="461"/>
      <c r="C11" s="461"/>
      <c r="N11" s="463"/>
    </row>
    <row r="12" spans="1:16">
      <c r="A12" s="252" t="s">
        <v>270</v>
      </c>
      <c r="B12" s="682">
        <v>21.271000000000001</v>
      </c>
      <c r="C12" s="682">
        <v>24.053999999999998</v>
      </c>
      <c r="D12" s="682">
        <v>0</v>
      </c>
      <c r="E12" s="682">
        <v>0</v>
      </c>
      <c r="F12" s="682">
        <v>0</v>
      </c>
      <c r="G12" s="682">
        <v>0</v>
      </c>
      <c r="H12" s="682">
        <v>0</v>
      </c>
      <c r="I12" s="682">
        <v>0</v>
      </c>
      <c r="J12" s="682">
        <v>0</v>
      </c>
      <c r="K12" s="682">
        <v>0</v>
      </c>
      <c r="L12" s="682">
        <v>0</v>
      </c>
      <c r="M12" s="682">
        <v>0</v>
      </c>
      <c r="N12" s="465">
        <f>SUM(B12:M12)</f>
        <v>45.325000000000003</v>
      </c>
    </row>
    <row r="13" spans="1:16">
      <c r="A13" s="252" t="s">
        <v>329</v>
      </c>
      <c r="B13" s="682">
        <v>7.6319999999999997</v>
      </c>
      <c r="C13" s="682">
        <v>1.768</v>
      </c>
      <c r="D13" s="682">
        <v>0</v>
      </c>
      <c r="E13" s="682">
        <v>0</v>
      </c>
      <c r="F13" s="682">
        <v>0</v>
      </c>
      <c r="G13" s="682">
        <v>0</v>
      </c>
      <c r="H13" s="682">
        <v>0</v>
      </c>
      <c r="I13" s="682">
        <v>0</v>
      </c>
      <c r="J13" s="682">
        <v>0</v>
      </c>
      <c r="K13" s="682">
        <v>0</v>
      </c>
      <c r="L13" s="682">
        <v>0</v>
      </c>
      <c r="M13" s="682">
        <v>0</v>
      </c>
      <c r="N13" s="465">
        <f>SUM(B13:M13)</f>
        <v>9.4</v>
      </c>
    </row>
    <row r="14" spans="1:16">
      <c r="A14" s="406" t="s">
        <v>247</v>
      </c>
      <c r="B14" s="467">
        <f t="shared" ref="B14:M14" si="0">SUM(B12:B13)</f>
        <v>28.902999999999999</v>
      </c>
      <c r="C14" s="467">
        <f t="shared" si="0"/>
        <v>25.821999999999999</v>
      </c>
      <c r="D14" s="467">
        <f t="shared" si="0"/>
        <v>0</v>
      </c>
      <c r="E14" s="467">
        <f t="shared" si="0"/>
        <v>0</v>
      </c>
      <c r="F14" s="467">
        <f t="shared" si="0"/>
        <v>0</v>
      </c>
      <c r="G14" s="467">
        <f t="shared" si="0"/>
        <v>0</v>
      </c>
      <c r="H14" s="467">
        <f t="shared" si="0"/>
        <v>0</v>
      </c>
      <c r="I14" s="467">
        <f t="shared" si="0"/>
        <v>0</v>
      </c>
      <c r="J14" s="467">
        <f t="shared" si="0"/>
        <v>0</v>
      </c>
      <c r="K14" s="467">
        <f t="shared" si="0"/>
        <v>0</v>
      </c>
      <c r="L14" s="467">
        <f t="shared" si="0"/>
        <v>0</v>
      </c>
      <c r="M14" s="467">
        <f t="shared" si="0"/>
        <v>0</v>
      </c>
      <c r="N14" s="468">
        <f>SUM(B14:M14)</f>
        <v>54.724999999999994</v>
      </c>
    </row>
    <row r="15" spans="1:16">
      <c r="A15" s="463"/>
      <c r="B15" s="464"/>
      <c r="C15" s="464"/>
      <c r="D15" s="464"/>
      <c r="E15" s="464"/>
      <c r="F15" s="464"/>
      <c r="G15" s="464"/>
      <c r="H15" s="464"/>
      <c r="I15" s="464"/>
      <c r="J15" s="464" t="s">
        <v>56</v>
      </c>
      <c r="K15" s="464"/>
      <c r="L15" s="464"/>
      <c r="M15" s="464"/>
      <c r="N15" s="465"/>
      <c r="P15" s="469"/>
    </row>
    <row r="16" spans="1:16">
      <c r="A16" s="251" t="s">
        <v>260</v>
      </c>
      <c r="B16" s="464"/>
      <c r="C16" s="464"/>
      <c r="D16" s="464"/>
      <c r="E16" s="464"/>
      <c r="F16" s="464"/>
      <c r="G16" s="464"/>
      <c r="H16" s="464"/>
      <c r="I16" s="464"/>
      <c r="J16" s="464"/>
      <c r="K16" s="464"/>
      <c r="L16" s="464"/>
      <c r="M16" s="464"/>
      <c r="N16" s="465"/>
      <c r="P16" s="469"/>
    </row>
    <row r="17" spans="1:19">
      <c r="A17" s="252" t="s">
        <v>261</v>
      </c>
      <c r="B17" s="682">
        <v>0</v>
      </c>
      <c r="C17" s="682">
        <v>0</v>
      </c>
      <c r="D17" s="682">
        <v>0</v>
      </c>
      <c r="E17" s="682">
        <v>0</v>
      </c>
      <c r="F17" s="682">
        <v>0</v>
      </c>
      <c r="G17" s="682">
        <v>0</v>
      </c>
      <c r="H17" s="682">
        <v>0</v>
      </c>
      <c r="I17" s="682">
        <v>0</v>
      </c>
      <c r="J17" s="682">
        <v>0</v>
      </c>
      <c r="K17" s="682">
        <v>0</v>
      </c>
      <c r="L17" s="682">
        <v>0</v>
      </c>
      <c r="M17" s="682">
        <v>0</v>
      </c>
      <c r="N17" s="465">
        <f>SUM(B17:M17)</f>
        <v>0</v>
      </c>
      <c r="P17" s="469"/>
    </row>
    <row r="18" spans="1:19">
      <c r="A18" s="252" t="s">
        <v>271</v>
      </c>
      <c r="B18" s="682">
        <v>0</v>
      </c>
      <c r="C18" s="682">
        <v>0</v>
      </c>
      <c r="D18" s="682">
        <v>0</v>
      </c>
      <c r="E18" s="682">
        <v>0</v>
      </c>
      <c r="F18" s="682">
        <v>0</v>
      </c>
      <c r="G18" s="682">
        <v>0</v>
      </c>
      <c r="H18" s="682">
        <v>0</v>
      </c>
      <c r="I18" s="682">
        <v>0</v>
      </c>
      <c r="J18" s="682">
        <v>0</v>
      </c>
      <c r="K18" s="682">
        <v>0</v>
      </c>
      <c r="L18" s="682">
        <v>0</v>
      </c>
      <c r="M18" s="682">
        <v>0</v>
      </c>
      <c r="N18" s="465">
        <f>SUM(B18:M18)</f>
        <v>0</v>
      </c>
      <c r="P18" s="469"/>
    </row>
    <row r="19" spans="1:19">
      <c r="A19" s="252" t="s">
        <v>272</v>
      </c>
      <c r="B19" s="682">
        <v>0</v>
      </c>
      <c r="C19" s="682">
        <v>0</v>
      </c>
      <c r="D19" s="682">
        <v>0</v>
      </c>
      <c r="E19" s="682">
        <v>0</v>
      </c>
      <c r="F19" s="682">
        <v>0</v>
      </c>
      <c r="G19" s="682">
        <v>0</v>
      </c>
      <c r="H19" s="682">
        <v>0</v>
      </c>
      <c r="I19" s="682">
        <v>0</v>
      </c>
      <c r="J19" s="682">
        <v>0</v>
      </c>
      <c r="K19" s="682">
        <v>0</v>
      </c>
      <c r="L19" s="682">
        <v>0</v>
      </c>
      <c r="M19" s="682">
        <v>0</v>
      </c>
      <c r="N19" s="465">
        <f>SUM(B19:M19)</f>
        <v>0</v>
      </c>
      <c r="P19" s="469"/>
    </row>
    <row r="20" spans="1:19">
      <c r="A20" s="254" t="s">
        <v>264</v>
      </c>
      <c r="B20" s="682">
        <v>0</v>
      </c>
      <c r="C20" s="682">
        <v>0</v>
      </c>
      <c r="D20" s="682">
        <v>0</v>
      </c>
      <c r="E20" s="682">
        <v>0</v>
      </c>
      <c r="F20" s="682">
        <v>0</v>
      </c>
      <c r="G20" s="682">
        <v>0</v>
      </c>
      <c r="H20" s="682">
        <v>0</v>
      </c>
      <c r="I20" s="682">
        <v>0</v>
      </c>
      <c r="J20" s="682">
        <v>0</v>
      </c>
      <c r="K20" s="682">
        <v>0</v>
      </c>
      <c r="L20" s="682">
        <v>0</v>
      </c>
      <c r="M20" s="682">
        <v>0</v>
      </c>
      <c r="N20" s="465">
        <f>SUM(B20:M20)</f>
        <v>0</v>
      </c>
      <c r="P20" s="469"/>
    </row>
    <row r="21" spans="1:19">
      <c r="A21" s="407" t="s">
        <v>250</v>
      </c>
      <c r="B21" s="467">
        <f t="shared" ref="B21:M21" si="1">SUM(B17:B20)</f>
        <v>0</v>
      </c>
      <c r="C21" s="467">
        <f t="shared" si="1"/>
        <v>0</v>
      </c>
      <c r="D21" s="467">
        <f t="shared" si="1"/>
        <v>0</v>
      </c>
      <c r="E21" s="467">
        <f t="shared" si="1"/>
        <v>0</v>
      </c>
      <c r="F21" s="467">
        <f t="shared" si="1"/>
        <v>0</v>
      </c>
      <c r="G21" s="467">
        <f t="shared" si="1"/>
        <v>0</v>
      </c>
      <c r="H21" s="467">
        <f t="shared" si="1"/>
        <v>0</v>
      </c>
      <c r="I21" s="467">
        <f t="shared" si="1"/>
        <v>0</v>
      </c>
      <c r="J21" s="467">
        <f t="shared" si="1"/>
        <v>0</v>
      </c>
      <c r="K21" s="467">
        <f t="shared" si="1"/>
        <v>0</v>
      </c>
      <c r="L21" s="467">
        <f t="shared" si="1"/>
        <v>0</v>
      </c>
      <c r="M21" s="467">
        <f t="shared" si="1"/>
        <v>0</v>
      </c>
      <c r="N21" s="468">
        <f>SUM(B21:M21)</f>
        <v>0</v>
      </c>
      <c r="P21" s="469"/>
    </row>
    <row r="22" spans="1:19">
      <c r="A22" s="254"/>
      <c r="B22" s="464"/>
      <c r="C22" s="464"/>
      <c r="D22" s="464"/>
      <c r="E22" s="464"/>
      <c r="F22" s="464"/>
      <c r="G22" s="464"/>
      <c r="H22" s="464"/>
      <c r="I22" s="464"/>
      <c r="J22" s="464"/>
      <c r="K22" s="464"/>
      <c r="L22" s="464"/>
      <c r="M22" s="464"/>
      <c r="N22" s="465"/>
      <c r="P22" s="469"/>
    </row>
    <row r="23" spans="1:19">
      <c r="A23" s="251"/>
      <c r="B23" s="464" t="s">
        <v>56</v>
      </c>
      <c r="C23" s="464" t="s">
        <v>56</v>
      </c>
      <c r="D23" s="464" t="s">
        <v>56</v>
      </c>
      <c r="E23" s="464"/>
      <c r="F23" s="464" t="s">
        <v>56</v>
      </c>
      <c r="G23" s="464"/>
      <c r="H23" s="470" t="s">
        <v>56</v>
      </c>
      <c r="I23" s="470" t="s">
        <v>56</v>
      </c>
      <c r="J23" s="470" t="s">
        <v>56</v>
      </c>
      <c r="K23" s="470" t="s">
        <v>56</v>
      </c>
      <c r="L23" s="470" t="s">
        <v>56</v>
      </c>
      <c r="M23" s="470" t="s">
        <v>56</v>
      </c>
      <c r="N23" s="465" t="s">
        <v>56</v>
      </c>
      <c r="P23" s="469"/>
    </row>
    <row r="24" spans="1:19">
      <c r="A24" s="251" t="s">
        <v>251</v>
      </c>
      <c r="B24" s="682">
        <v>0</v>
      </c>
      <c r="C24" s="682">
        <v>0</v>
      </c>
      <c r="D24" s="682">
        <v>0</v>
      </c>
      <c r="E24" s="682">
        <v>0</v>
      </c>
      <c r="F24" s="682">
        <v>0</v>
      </c>
      <c r="G24" s="682">
        <v>0</v>
      </c>
      <c r="H24" s="683">
        <v>0</v>
      </c>
      <c r="I24" s="683">
        <v>0</v>
      </c>
      <c r="J24" s="683">
        <v>0</v>
      </c>
      <c r="K24" s="683">
        <v>0</v>
      </c>
      <c r="L24" s="683">
        <v>0</v>
      </c>
      <c r="M24" s="683">
        <v>0</v>
      </c>
      <c r="N24" s="465">
        <f>SUM(B24:M24)</f>
        <v>0</v>
      </c>
      <c r="P24" s="469"/>
    </row>
    <row r="25" spans="1:19">
      <c r="A25" s="408" t="s">
        <v>253</v>
      </c>
      <c r="B25" s="467">
        <f t="shared" ref="B25:M25" si="2">SUM(B24:B24)</f>
        <v>0</v>
      </c>
      <c r="C25" s="467">
        <f t="shared" si="2"/>
        <v>0</v>
      </c>
      <c r="D25" s="467">
        <f t="shared" si="2"/>
        <v>0</v>
      </c>
      <c r="E25" s="467">
        <f t="shared" si="2"/>
        <v>0</v>
      </c>
      <c r="F25" s="467">
        <f t="shared" si="2"/>
        <v>0</v>
      </c>
      <c r="G25" s="467">
        <f t="shared" si="2"/>
        <v>0</v>
      </c>
      <c r="H25" s="467">
        <f t="shared" si="2"/>
        <v>0</v>
      </c>
      <c r="I25" s="467">
        <f t="shared" si="2"/>
        <v>0</v>
      </c>
      <c r="J25" s="467">
        <f t="shared" si="2"/>
        <v>0</v>
      </c>
      <c r="K25" s="467">
        <f t="shared" si="2"/>
        <v>0</v>
      </c>
      <c r="L25" s="467">
        <f t="shared" si="2"/>
        <v>0</v>
      </c>
      <c r="M25" s="467">
        <f t="shared" si="2"/>
        <v>0</v>
      </c>
      <c r="N25" s="468">
        <f>SUM(B25:M25)</f>
        <v>0</v>
      </c>
      <c r="P25" s="469"/>
    </row>
    <row r="26" spans="1:19">
      <c r="A26" s="255"/>
      <c r="B26" s="464"/>
      <c r="C26" s="464"/>
      <c r="D26" s="464"/>
      <c r="E26" s="464"/>
      <c r="F26" s="464"/>
      <c r="G26" s="471"/>
      <c r="H26" s="464"/>
      <c r="I26" s="471"/>
      <c r="J26" s="464"/>
      <c r="K26" s="464"/>
      <c r="L26" s="471"/>
      <c r="M26" s="464"/>
      <c r="N26" s="465"/>
    </row>
    <row r="27" spans="1:19">
      <c r="A27" s="256"/>
      <c r="B27" s="464"/>
      <c r="C27" s="464"/>
      <c r="D27" s="464"/>
      <c r="E27" s="464"/>
      <c r="F27" s="464"/>
      <c r="G27" s="464"/>
      <c r="H27" s="464"/>
      <c r="I27" s="464"/>
      <c r="J27" s="464"/>
      <c r="K27" s="464"/>
      <c r="L27" s="464"/>
      <c r="M27" s="464"/>
      <c r="N27" s="465"/>
    </row>
    <row r="28" spans="1:19">
      <c r="A28" s="256" t="s">
        <v>236</v>
      </c>
      <c r="B28" s="682">
        <v>0</v>
      </c>
      <c r="C28" s="682">
        <v>0</v>
      </c>
      <c r="D28" s="682">
        <v>0</v>
      </c>
      <c r="E28" s="682">
        <v>0</v>
      </c>
      <c r="F28" s="682">
        <v>0</v>
      </c>
      <c r="G28" s="682">
        <v>0</v>
      </c>
      <c r="H28" s="683">
        <v>0</v>
      </c>
      <c r="I28" s="683">
        <v>0</v>
      </c>
      <c r="J28" s="683">
        <v>0</v>
      </c>
      <c r="K28" s="683">
        <v>0</v>
      </c>
      <c r="L28" s="683">
        <v>0</v>
      </c>
      <c r="M28" s="683">
        <v>0</v>
      </c>
      <c r="N28" s="465">
        <f>SUM(B28:M28)</f>
        <v>0</v>
      </c>
    </row>
    <row r="29" spans="1:19">
      <c r="A29" s="409" t="s">
        <v>240</v>
      </c>
      <c r="B29" s="467">
        <f t="shared" ref="B29:G29" si="3">SUM(B28:B28)</f>
        <v>0</v>
      </c>
      <c r="C29" s="467">
        <f t="shared" si="3"/>
        <v>0</v>
      </c>
      <c r="D29" s="467">
        <f t="shared" si="3"/>
        <v>0</v>
      </c>
      <c r="E29" s="467">
        <f t="shared" si="3"/>
        <v>0</v>
      </c>
      <c r="F29" s="467">
        <f t="shared" si="3"/>
        <v>0</v>
      </c>
      <c r="G29" s="467">
        <f t="shared" si="3"/>
        <v>0</v>
      </c>
      <c r="H29" s="467">
        <f>SUM(H27:H28)</f>
        <v>0</v>
      </c>
      <c r="I29" s="467">
        <f>SUM(I27:I28)</f>
        <v>0</v>
      </c>
      <c r="J29" s="467">
        <f>SUM(J28:J28)</f>
        <v>0</v>
      </c>
      <c r="K29" s="467">
        <f>SUM(K28:K28)</f>
        <v>0</v>
      </c>
      <c r="L29" s="467">
        <f>SUM(L28:L28)</f>
        <v>0</v>
      </c>
      <c r="M29" s="467">
        <f>SUM(M28:M28)</f>
        <v>0</v>
      </c>
      <c r="N29" s="468">
        <f>SUM(B29:M29)</f>
        <v>0</v>
      </c>
      <c r="O29" s="466"/>
    </row>
    <row r="30" spans="1:19" ht="10.5" customHeight="1">
      <c r="A30" s="472"/>
      <c r="B30" s="471"/>
      <c r="C30" s="471"/>
      <c r="D30" s="471"/>
      <c r="E30" s="471"/>
      <c r="F30" s="471"/>
      <c r="G30" s="471"/>
      <c r="H30" s="471"/>
      <c r="I30" s="471"/>
      <c r="J30" s="471"/>
      <c r="K30" s="471"/>
      <c r="L30" s="471"/>
      <c r="M30" s="471"/>
      <c r="N30" s="473"/>
    </row>
    <row r="31" spans="1:19" ht="15" customHeight="1">
      <c r="A31" s="407" t="s">
        <v>254</v>
      </c>
      <c r="B31" s="684">
        <v>0</v>
      </c>
      <c r="C31" s="684">
        <v>0</v>
      </c>
      <c r="D31" s="684">
        <v>0</v>
      </c>
      <c r="E31" s="684">
        <v>0</v>
      </c>
      <c r="F31" s="684">
        <v>0</v>
      </c>
      <c r="G31" s="684">
        <v>0</v>
      </c>
      <c r="H31" s="684">
        <v>0</v>
      </c>
      <c r="I31" s="684">
        <v>0</v>
      </c>
      <c r="J31" s="685">
        <v>0</v>
      </c>
      <c r="K31" s="685">
        <v>0</v>
      </c>
      <c r="L31" s="684">
        <v>0</v>
      </c>
      <c r="M31" s="684">
        <v>0</v>
      </c>
      <c r="N31" s="474">
        <f>SUM(B31:M31)</f>
        <v>0</v>
      </c>
      <c r="O31" s="475"/>
      <c r="P31" s="475"/>
      <c r="Q31" s="475"/>
      <c r="R31" s="475"/>
      <c r="S31" s="476"/>
    </row>
    <row r="32" spans="1:19" ht="15" customHeight="1" thickBot="1">
      <c r="A32" s="257" t="s">
        <v>273</v>
      </c>
      <c r="B32" s="611">
        <f t="shared" ref="B32:M32" si="4">B14+B21+B25+B29+B31</f>
        <v>28.902999999999999</v>
      </c>
      <c r="C32" s="611">
        <f t="shared" si="4"/>
        <v>25.821999999999999</v>
      </c>
      <c r="D32" s="611">
        <f t="shared" si="4"/>
        <v>0</v>
      </c>
      <c r="E32" s="611">
        <f t="shared" si="4"/>
        <v>0</v>
      </c>
      <c r="F32" s="611">
        <f t="shared" si="4"/>
        <v>0</v>
      </c>
      <c r="G32" s="611">
        <f t="shared" si="4"/>
        <v>0</v>
      </c>
      <c r="H32" s="611">
        <f t="shared" si="4"/>
        <v>0</v>
      </c>
      <c r="I32" s="611">
        <f t="shared" si="4"/>
        <v>0</v>
      </c>
      <c r="J32" s="611">
        <f t="shared" si="4"/>
        <v>0</v>
      </c>
      <c r="K32" s="611">
        <f t="shared" si="4"/>
        <v>0</v>
      </c>
      <c r="L32" s="611">
        <f t="shared" si="4"/>
        <v>0</v>
      </c>
      <c r="M32" s="611">
        <f t="shared" si="4"/>
        <v>0</v>
      </c>
      <c r="N32" s="425">
        <f>SUM(B32:M32)</f>
        <v>54.724999999999994</v>
      </c>
      <c r="O32" s="475"/>
      <c r="P32" s="475"/>
      <c r="Q32" s="475"/>
      <c r="R32" s="475"/>
      <c r="S32" s="476"/>
    </row>
    <row r="33" spans="1:15" s="460" customFormat="1" ht="26.25" customHeight="1" thickBot="1">
      <c r="A33" s="609" t="s">
        <v>274</v>
      </c>
      <c r="B33" s="607">
        <f>B32</f>
        <v>28.902999999999999</v>
      </c>
      <c r="C33" s="638">
        <f t="shared" ref="C33:M33" si="5">C32</f>
        <v>25.821999999999999</v>
      </c>
      <c r="D33" s="639">
        <f t="shared" si="5"/>
        <v>0</v>
      </c>
      <c r="E33" s="639">
        <f t="shared" si="5"/>
        <v>0</v>
      </c>
      <c r="F33" s="639">
        <f t="shared" si="5"/>
        <v>0</v>
      </c>
      <c r="G33" s="639">
        <f t="shared" si="5"/>
        <v>0</v>
      </c>
      <c r="H33" s="639">
        <f t="shared" si="5"/>
        <v>0</v>
      </c>
      <c r="I33" s="639">
        <f t="shared" si="5"/>
        <v>0</v>
      </c>
      <c r="J33" s="639">
        <f t="shared" si="5"/>
        <v>0</v>
      </c>
      <c r="K33" s="639">
        <f t="shared" si="5"/>
        <v>0</v>
      </c>
      <c r="L33" s="639">
        <f t="shared" si="5"/>
        <v>0</v>
      </c>
      <c r="M33" s="640">
        <f t="shared" si="5"/>
        <v>0</v>
      </c>
      <c r="N33" s="610">
        <f>SUM(B33:M33)</f>
        <v>54.724999999999994</v>
      </c>
      <c r="O33" s="477"/>
    </row>
    <row r="34" spans="1:15">
      <c r="A34" s="34"/>
      <c r="B34" s="612"/>
      <c r="C34" s="612"/>
      <c r="D34" s="612"/>
      <c r="E34" s="612"/>
      <c r="F34" s="612"/>
      <c r="G34" s="612"/>
      <c r="H34" s="612"/>
      <c r="I34" s="612"/>
      <c r="J34" s="612"/>
      <c r="K34" s="612"/>
      <c r="L34" s="612"/>
      <c r="M34" s="612"/>
      <c r="N34" s="35"/>
    </row>
    <row r="35" spans="1:15" ht="15">
      <c r="A35" s="325" t="s">
        <v>67</v>
      </c>
      <c r="B35" s="326"/>
      <c r="C35" s="326"/>
      <c r="D35" s="326"/>
      <c r="E35" s="326"/>
      <c r="F35" s="326"/>
      <c r="G35" s="326"/>
      <c r="H35" s="326"/>
      <c r="I35" s="326"/>
      <c r="J35" s="326"/>
      <c r="K35" s="326"/>
      <c r="L35" s="326"/>
      <c r="M35" s="326"/>
      <c r="N35" s="326"/>
    </row>
    <row r="36" spans="1:15" ht="15">
      <c r="A36" s="389" t="s">
        <v>277</v>
      </c>
      <c r="B36" s="390"/>
      <c r="C36" s="390"/>
      <c r="D36" s="390"/>
      <c r="E36" s="390"/>
      <c r="F36" s="390"/>
      <c r="G36" s="390"/>
      <c r="H36" s="390"/>
      <c r="I36" s="390"/>
      <c r="J36" s="390"/>
      <c r="K36" s="390"/>
      <c r="L36" s="390"/>
      <c r="M36" s="390"/>
      <c r="N36" s="390"/>
    </row>
    <row r="37" spans="1:15" ht="15" customHeight="1">
      <c r="A37" s="393" t="s">
        <v>330</v>
      </c>
      <c r="B37" s="372"/>
      <c r="C37" s="372"/>
      <c r="D37" s="372"/>
      <c r="E37" s="372"/>
      <c r="F37" s="372"/>
      <c r="G37" s="372"/>
      <c r="H37" s="372"/>
      <c r="I37" s="372"/>
      <c r="J37" s="372"/>
      <c r="K37" s="372"/>
      <c r="L37" s="372"/>
      <c r="M37" s="372"/>
      <c r="N37" s="372"/>
    </row>
    <row r="38" spans="1:15" ht="15">
      <c r="A38" s="181" t="s">
        <v>77</v>
      </c>
      <c r="E38" s="92"/>
    </row>
    <row r="39" spans="1:15">
      <c r="H39" s="466"/>
    </row>
  </sheetData>
  <printOptions horizontalCentered="1"/>
  <pageMargins left="0" right="0" top="0.55000000000000004" bottom="0.17" header="0.3" footer="0.15"/>
  <pageSetup paperSize="5" scale="66"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AE61"/>
  <sheetViews>
    <sheetView showGridLines="0" showRuler="0" topLeftCell="A12" zoomScale="90" zoomScaleNormal="90" zoomScaleSheetLayoutView="80" workbookViewId="0">
      <selection activeCell="E18" sqref="E18"/>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6.7109375" style="9" bestFit="1" customWidth="1"/>
    <col min="6" max="6" width="10.28515625" style="9" customWidth="1"/>
    <col min="7" max="7" width="10.85546875" style="9" customWidth="1"/>
    <col min="8" max="8" width="11.28515625" style="9" customWidth="1"/>
    <col min="9" max="9" width="25.28515625" style="9" bestFit="1" customWidth="1"/>
    <col min="10" max="10" width="10.7109375" style="9" customWidth="1"/>
    <col min="11" max="14" width="12.5703125" style="9" customWidth="1"/>
    <col min="15" max="15" width="12.285156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23.5703125" style="9" bestFit="1"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114" t="s">
        <v>39</v>
      </c>
    </row>
    <row r="2" spans="1:31">
      <c r="H2" s="114" t="s">
        <v>40</v>
      </c>
      <c r="Q2" s="11"/>
      <c r="R2" s="70"/>
    </row>
    <row r="3" spans="1:31">
      <c r="C3" s="118"/>
      <c r="E3" s="118"/>
      <c r="G3" s="118"/>
      <c r="H3" s="145">
        <v>44593</v>
      </c>
      <c r="I3" s="118"/>
      <c r="V3" s="479"/>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71"/>
      <c r="V5" s="479"/>
    </row>
    <row r="6" spans="1:31">
      <c r="A6" s="72"/>
      <c r="B6" s="487"/>
      <c r="C6" s="488" t="s">
        <v>41</v>
      </c>
      <c r="D6" s="642">
        <f>DATE(YEAR($H$3),1,1)</f>
        <v>44562</v>
      </c>
      <c r="E6" s="487"/>
      <c r="F6" s="487" t="s">
        <v>42</v>
      </c>
      <c r="G6" s="642">
        <f>DATE(YEAR($H$3),1,1)</f>
        <v>44562</v>
      </c>
      <c r="H6" s="487"/>
      <c r="I6" s="487" t="s">
        <v>43</v>
      </c>
      <c r="J6" s="642">
        <f>DATE(YEAR($H$3),1,1)</f>
        <v>44562</v>
      </c>
      <c r="K6" s="487"/>
      <c r="L6" s="487" t="s">
        <v>44</v>
      </c>
      <c r="M6" s="642">
        <f>DATE(YEAR($H$3),1,1)</f>
        <v>44562</v>
      </c>
      <c r="N6" s="487"/>
      <c r="O6" s="487" t="s">
        <v>31</v>
      </c>
      <c r="P6" s="642">
        <f>DATE(YEAR($H$3),1,1)</f>
        <v>44562</v>
      </c>
      <c r="Q6" s="487"/>
      <c r="R6" s="487" t="s">
        <v>45</v>
      </c>
      <c r="S6" s="642">
        <f>DATE(YEAR($H$3),1,1)</f>
        <v>44562</v>
      </c>
      <c r="T6" s="135"/>
    </row>
    <row r="7" spans="1:31" ht="42">
      <c r="A7" s="489" t="s">
        <v>46</v>
      </c>
      <c r="B7" s="490" t="s">
        <v>47</v>
      </c>
      <c r="C7" s="491" t="s">
        <v>48</v>
      </c>
      <c r="D7" s="492" t="s">
        <v>49</v>
      </c>
      <c r="E7" s="493" t="s">
        <v>47</v>
      </c>
      <c r="F7" s="491" t="s">
        <v>48</v>
      </c>
      <c r="G7" s="492" t="s">
        <v>49</v>
      </c>
      <c r="H7" s="493" t="s">
        <v>47</v>
      </c>
      <c r="I7" s="491" t="s">
        <v>48</v>
      </c>
      <c r="J7" s="492" t="s">
        <v>49</v>
      </c>
      <c r="K7" s="493" t="s">
        <v>47</v>
      </c>
      <c r="L7" s="491" t="s">
        <v>48</v>
      </c>
      <c r="M7" s="492" t="s">
        <v>49</v>
      </c>
      <c r="N7" s="493" t="s">
        <v>47</v>
      </c>
      <c r="O7" s="491" t="s">
        <v>48</v>
      </c>
      <c r="P7" s="492" t="s">
        <v>49</v>
      </c>
      <c r="Q7" s="493" t="s">
        <v>47</v>
      </c>
      <c r="R7" s="491" t="s">
        <v>48</v>
      </c>
      <c r="S7" s="492" t="s">
        <v>49</v>
      </c>
      <c r="T7" s="492" t="s">
        <v>50</v>
      </c>
    </row>
    <row r="8" spans="1:31">
      <c r="A8" s="494" t="s">
        <v>51</v>
      </c>
      <c r="B8" s="495"/>
      <c r="C8" s="495"/>
      <c r="D8" s="496"/>
      <c r="E8" s="497"/>
      <c r="F8" s="495"/>
      <c r="G8" s="496"/>
      <c r="H8" s="497"/>
      <c r="I8" s="495"/>
      <c r="J8" s="495"/>
      <c r="K8" s="497"/>
      <c r="L8" s="495"/>
      <c r="M8" s="498"/>
      <c r="N8" s="497"/>
      <c r="O8" s="495"/>
      <c r="P8" s="498"/>
      <c r="Q8" s="497"/>
      <c r="R8" s="495"/>
      <c r="S8" s="498"/>
      <c r="T8" s="499"/>
    </row>
    <row r="9" spans="1:31">
      <c r="A9" s="69" t="s">
        <v>8</v>
      </c>
      <c r="B9" s="82"/>
      <c r="C9" s="263">
        <f>B9*(INDEX('Ex ante LI &amp; Eligibility Stats'!$A:$M,MATCH('Program MW '!$A9,'Ex ante LI &amp; Eligibility Stats'!$A:$A,0),MATCH('Program MW '!C$6,'Ex ante LI &amp; Eligibility Stats'!$A$8:$M$8,0))/1000)</f>
        <v>0</v>
      </c>
      <c r="D9" s="259">
        <f>B9*(INDEX('Ex post LI &amp; Eligibility Stats'!$A:$N,MATCH($A9,'Ex post LI &amp; Eligibility Stats'!$A:$A,0),MATCH('Program MW '!C$6,'Ex post LI &amp; Eligibility Stats'!$A$8:$N$8,0))/1000)</f>
        <v>0</v>
      </c>
      <c r="E9" s="13"/>
      <c r="F9" s="259">
        <f>E9*(INDEX('Ex ante LI &amp; Eligibility Stats'!$A:$M,MATCH('Program MW '!$A9,'Ex ante LI &amp; Eligibility Stats'!$A:$A,0),MATCH('Program MW '!F$6,'Ex ante LI &amp; Eligibility Stats'!$A$8:$M$8,0))/1000)</f>
        <v>0</v>
      </c>
      <c r="G9" s="259">
        <f>E9*(INDEX('Ex post LI &amp; Eligibility Stats'!$A:$N,MATCH($A9,'Ex post LI &amp; Eligibility Stats'!$A:$A,0),MATCH('Program MW '!F$6,'Ex post LI &amp; Eligibility Stats'!$A$8:$N$8,0))/1000)</f>
        <v>0</v>
      </c>
      <c r="H9" s="13"/>
      <c r="I9" s="259">
        <f>H9*(INDEX('Ex ante LI &amp; Eligibility Stats'!$A:$M,MATCH('Program MW '!$A9,'Ex ante LI &amp; Eligibility Stats'!$A:$A,0),MATCH('Program MW '!I$6,'Ex ante LI &amp; Eligibility Stats'!$A$8:$M$8,0))/1000)</f>
        <v>0</v>
      </c>
      <c r="J9" s="259">
        <f>H9*(INDEX('Ex post LI &amp; Eligibility Stats'!$A:$N,MATCH($A9,'Ex post LI &amp; Eligibility Stats'!$A:$A,0),MATCH('Program MW '!I$6,'Ex post LI &amp; Eligibility Stats'!$A$8:$N$8,0))/1000)</f>
        <v>0</v>
      </c>
      <c r="K9" s="13"/>
      <c r="L9" s="259">
        <f>K9*(INDEX('Ex ante LI &amp; Eligibility Stats'!$A:$M,MATCH('Program MW '!$A9,'Ex ante LI &amp; Eligibility Stats'!$A:$A,0),MATCH('Program MW '!L$6,'Ex ante LI &amp; Eligibility Stats'!$A$8:$M$8,0))/1000)</f>
        <v>0</v>
      </c>
      <c r="M9" s="259">
        <f>K9*(INDEX('Ex post LI &amp; Eligibility Stats'!$A:$N,MATCH($A9,'Ex post LI &amp; Eligibility Stats'!$A:$A,0),MATCH('Program MW '!L$6,'Ex post LI &amp; Eligibility Stats'!$A$8:$N$8,0))/1000)</f>
        <v>0</v>
      </c>
      <c r="N9" s="13"/>
      <c r="O9" s="259">
        <f>N9*(INDEX('Ex ante LI &amp; Eligibility Stats'!$A:$M,MATCH('Program MW '!$A9,'Ex ante LI &amp; Eligibility Stats'!$A:$A,0),MATCH('Program MW '!O$6,'Ex ante LI &amp; Eligibility Stats'!$A$8:$M$8,0))/1000)</f>
        <v>0</v>
      </c>
      <c r="P9" s="259">
        <f>N9*(INDEX('Ex post LI &amp; Eligibility Stats'!$A:$N,MATCH($A9,'Ex post LI &amp; Eligibility Stats'!$A:$A,0),MATCH('Program MW '!O$6,'Ex post LI &amp; Eligibility Stats'!$A$8:$N$8,0))/1000)</f>
        <v>0</v>
      </c>
      <c r="Q9" s="93"/>
      <c r="R9" s="259">
        <f>Q9*(INDEX('Ex ante LI &amp; Eligibility Stats'!$A:$M,MATCH('Program MW '!$A9,'Ex ante LI &amp; Eligibility Stats'!$A:$A,0),MATCH('Program MW '!R$6,'Ex ante LI &amp; Eligibility Stats'!$A$8:$M$8,0))/1000)</f>
        <v>0</v>
      </c>
      <c r="S9" s="259">
        <f>Q9*(INDEX('Ex post LI &amp; Eligibility Stats'!$A:$N,MATCH($A9,'Ex post LI &amp; Eligibility Stats'!$A:$A,0),MATCH('Program MW '!R$6,'Ex post LI &amp; Eligibility Stats'!$A$8:$N$8,0))/1000)</f>
        <v>0</v>
      </c>
      <c r="T9" s="4">
        <v>5276</v>
      </c>
    </row>
    <row r="10" spans="1:31" ht="13.5" thickBot="1">
      <c r="A10" s="136" t="s">
        <v>52</v>
      </c>
      <c r="B10" s="120">
        <f t="shared" ref="B10:Q10" si="0">SUM(B9:B9)</f>
        <v>0</v>
      </c>
      <c r="C10" s="131">
        <f t="shared" si="0"/>
        <v>0</v>
      </c>
      <c r="D10" s="131">
        <f t="shared" si="0"/>
        <v>0</v>
      </c>
      <c r="E10" s="1">
        <f t="shared" si="0"/>
        <v>0</v>
      </c>
      <c r="F10" s="172">
        <f t="shared" si="0"/>
        <v>0</v>
      </c>
      <c r="G10" s="172">
        <f t="shared" si="0"/>
        <v>0</v>
      </c>
      <c r="H10" s="1">
        <f t="shared" si="0"/>
        <v>0</v>
      </c>
      <c r="I10" s="172">
        <f t="shared" si="0"/>
        <v>0</v>
      </c>
      <c r="J10" s="172">
        <f t="shared" si="0"/>
        <v>0</v>
      </c>
      <c r="K10" s="1">
        <f>SUM(K9)</f>
        <v>0</v>
      </c>
      <c r="L10" s="172">
        <f t="shared" ref="L10:M10" si="1">SUM(L9:L9)</f>
        <v>0</v>
      </c>
      <c r="M10" s="172">
        <f t="shared" si="1"/>
        <v>0</v>
      </c>
      <c r="N10" s="1">
        <f t="shared" si="0"/>
        <v>0</v>
      </c>
      <c r="O10" s="172">
        <f t="shared" si="0"/>
        <v>0</v>
      </c>
      <c r="P10" s="172">
        <f t="shared" si="0"/>
        <v>0</v>
      </c>
      <c r="Q10" s="94">
        <f t="shared" si="0"/>
        <v>0</v>
      </c>
      <c r="R10" s="172">
        <f t="shared" ref="R10:S10" si="2">SUM(R9:R9)</f>
        <v>0</v>
      </c>
      <c r="S10" s="172">
        <f t="shared" si="2"/>
        <v>0</v>
      </c>
      <c r="T10" s="5"/>
    </row>
    <row r="11" spans="1:31" ht="13.5" thickTop="1">
      <c r="A11" s="494" t="s">
        <v>53</v>
      </c>
      <c r="B11" s="500"/>
      <c r="C11" s="130"/>
      <c r="D11" s="132"/>
      <c r="E11" s="501"/>
      <c r="F11" s="502"/>
      <c r="G11" s="137"/>
      <c r="H11" s="501"/>
      <c r="I11" s="503"/>
      <c r="J11" s="137"/>
      <c r="K11" s="501"/>
      <c r="L11" s="503"/>
      <c r="M11" s="137"/>
      <c r="N11" s="501"/>
      <c r="O11" s="504"/>
      <c r="P11" s="264"/>
      <c r="Q11" s="505"/>
      <c r="R11" s="503"/>
      <c r="S11" s="138"/>
      <c r="T11" s="499"/>
      <c r="Y11" s="6"/>
      <c r="Z11" s="6"/>
      <c r="AA11" s="6"/>
      <c r="AB11" s="6"/>
      <c r="AC11" s="6"/>
      <c r="AD11" s="6"/>
      <c r="AE11" s="6"/>
    </row>
    <row r="12" spans="1:31">
      <c r="A12" s="39" t="s">
        <v>11</v>
      </c>
      <c r="B12" s="506">
        <v>5372</v>
      </c>
      <c r="C12" s="259">
        <f>B12*(INDEX('Ex ante LI &amp; Eligibility Stats'!$A:$M,MATCH($A12,'Ex ante LI &amp; Eligibility Stats'!$A:$A,0),MATCH('Program MW '!C$6,'Ex ante LI &amp; Eligibility Stats'!$A$8:$M$8,0))/1000)</f>
        <v>0.75208000000000008</v>
      </c>
      <c r="D12" s="507">
        <f>B12*(INDEX('Ex post LI &amp; Eligibility Stats'!$A:$N,MATCH($A12,'Ex post LI &amp; Eligibility Stats'!$A:$A,0),MATCH('Program MW '!C$6,'Ex post LI &amp; Eligibility Stats'!$A$8:$N$8,0))/1000)</f>
        <v>2.5850449123358743</v>
      </c>
      <c r="E12" s="506">
        <v>5319</v>
      </c>
      <c r="F12" s="508">
        <f>E12*(INDEX('Ex ante LI &amp; Eligibility Stats'!$A:$M,MATCH($A12,'Ex ante LI &amp; Eligibility Stats'!$A:$A,0),MATCH('Program MW '!F$6,'Ex ante LI &amp; Eligibility Stats'!$A$8:$M$8,0))/1000)</f>
        <v>0.7446600000000001</v>
      </c>
      <c r="G12" s="507">
        <f>E12*(INDEX('Ex post LI &amp; Eligibility Stats'!$A:$N,MATCH($A12,'Ex post LI &amp; Eligibility Stats'!$A:$A,0),MATCH('Program MW '!F$6,'Ex post LI &amp; Eligibility Stats'!$A$8:$N$8,0))/1000)</f>
        <v>2.5595409323742584</v>
      </c>
      <c r="H12" s="506"/>
      <c r="I12" s="259">
        <f>H12*(INDEX('Ex ante LI &amp; Eligibility Stats'!$A:$M,MATCH('Program MW '!$A12,'Ex ante LI &amp; Eligibility Stats'!$A:$A,0),MATCH('Program MW '!I$6,'Ex ante LI &amp; Eligibility Stats'!$A$8:$M$8,0))/1000)</f>
        <v>0</v>
      </c>
      <c r="J12" s="507">
        <f>H12*(INDEX('Ex post LI &amp; Eligibility Stats'!$A:$N,MATCH($A12,'Ex post LI &amp; Eligibility Stats'!$A:$A,0),MATCH('Program MW '!I$6,'Ex post LI &amp; Eligibility Stats'!$A$8:$N$8,0))/1000)</f>
        <v>0</v>
      </c>
      <c r="K12" s="506"/>
      <c r="L12" s="259">
        <f>K12*(INDEX('Ex ante LI &amp; Eligibility Stats'!$A:$M,MATCH('Program MW '!$A12,'Ex ante LI &amp; Eligibility Stats'!$A:$A,0),MATCH('Program MW '!L$6,'Ex ante LI &amp; Eligibility Stats'!$A$8:$M$8,0))/1000)</f>
        <v>0</v>
      </c>
      <c r="M12" s="507">
        <f>K12*(INDEX('Ex post LI &amp; Eligibility Stats'!$A:$N,MATCH($A12,'Ex post LI &amp; Eligibility Stats'!$A:$A,0),MATCH('Program MW '!L$6,'Ex post LI &amp; Eligibility Stats'!$A$8:$N$8,0))/1000)</f>
        <v>0</v>
      </c>
      <c r="N12" s="506"/>
      <c r="O12" s="259">
        <f>N12*(INDEX('Ex ante LI &amp; Eligibility Stats'!$A:$M,MATCH('Program MW '!$A12,'Ex ante LI &amp; Eligibility Stats'!$A:$A,0),MATCH('Program MW '!O$6,'Ex ante LI &amp; Eligibility Stats'!$A$8:$M$8,0))/1000)</f>
        <v>0</v>
      </c>
      <c r="P12" s="507">
        <f>N12*(INDEX('Ex post LI &amp; Eligibility Stats'!$A:$N,MATCH($A12,'Ex post LI &amp; Eligibility Stats'!$A:$A,0),MATCH('Program MW '!O$6,'Ex post LI &amp; Eligibility Stats'!$A$8:$N$8,0))/1000)</f>
        <v>0</v>
      </c>
      <c r="Q12" s="506"/>
      <c r="R12" s="259">
        <f>Q12*(INDEX('Ex ante LI &amp; Eligibility Stats'!$A:$M,MATCH('Program MW '!$A12,'Ex ante LI &amp; Eligibility Stats'!$A:$A,0),MATCH('Program MW '!R$6,'Ex ante LI &amp; Eligibility Stats'!$A$8:$M$8,0))/1000)</f>
        <v>0</v>
      </c>
      <c r="S12" s="507">
        <f>Q12*(INDEX('Ex post LI &amp; Eligibility Stats'!$A:$N,MATCH($A12,'Ex post LI &amp; Eligibility Stats'!$A:$A,0),MATCH('Program MW '!R$6,'Ex post LI &amp; Eligibility Stats'!$A$8:$N$8,0))/1000)</f>
        <v>0</v>
      </c>
      <c r="T12" s="509">
        <v>138123</v>
      </c>
      <c r="U12" s="6"/>
      <c r="V12" s="6"/>
      <c r="W12" s="6"/>
      <c r="X12" s="6"/>
      <c r="Y12" s="6"/>
      <c r="Z12" s="6"/>
      <c r="AA12" s="6"/>
      <c r="AB12" s="6"/>
      <c r="AC12" s="6"/>
      <c r="AD12" s="6"/>
      <c r="AE12" s="6"/>
    </row>
    <row r="13" spans="1:31" ht="13.5">
      <c r="A13" s="152" t="s">
        <v>54</v>
      </c>
      <c r="B13" s="153">
        <v>0</v>
      </c>
      <c r="C13" s="259">
        <v>0</v>
      </c>
      <c r="D13" s="260">
        <v>0</v>
      </c>
      <c r="E13" s="153">
        <v>0</v>
      </c>
      <c r="F13" s="259">
        <v>0</v>
      </c>
      <c r="G13" s="260">
        <v>0</v>
      </c>
      <c r="H13" s="153"/>
      <c r="I13" s="259">
        <v>0</v>
      </c>
      <c r="J13" s="260">
        <v>0</v>
      </c>
      <c r="K13" s="153"/>
      <c r="L13" s="259">
        <v>0</v>
      </c>
      <c r="M13" s="260">
        <v>0</v>
      </c>
      <c r="N13" s="153"/>
      <c r="O13" s="259">
        <v>0</v>
      </c>
      <c r="P13" s="260">
        <v>0</v>
      </c>
      <c r="Q13" s="153"/>
      <c r="R13" s="259">
        <v>0</v>
      </c>
      <c r="S13" s="260">
        <v>0</v>
      </c>
      <c r="T13" s="4"/>
      <c r="U13" s="6"/>
      <c r="V13" s="6"/>
      <c r="W13" s="6"/>
      <c r="X13" s="6"/>
      <c r="Y13" s="6"/>
      <c r="Z13" s="6"/>
      <c r="AA13" s="6"/>
      <c r="AB13" s="6"/>
      <c r="AC13" s="6"/>
      <c r="AD13" s="6"/>
      <c r="AE13" s="6"/>
    </row>
    <row r="14" spans="1:31">
      <c r="A14" s="215" t="s">
        <v>17</v>
      </c>
      <c r="B14" s="124"/>
      <c r="C14" s="259">
        <f>B14*(INDEX('Ex ante LI &amp; Eligibility Stats'!$A:$M,MATCH($A14,'Ex ante LI &amp; Eligibility Stats'!$A:$A,0),MATCH('Program MW '!C$6,'Ex ante LI &amp; Eligibility Stats'!$A$8:$M$8,0))/1000)</f>
        <v>0</v>
      </c>
      <c r="D14" s="260">
        <f>B14*(INDEX('Ex post LI &amp; Eligibility Stats'!$A:$N,MATCH($A14,'Ex post LI &amp; Eligibility Stats'!$A:$A,0),MATCH('Program MW '!C$6,'Ex post LI &amp; Eligibility Stats'!$A$8:$N$8,0))/1000)</f>
        <v>0</v>
      </c>
      <c r="E14" s="124">
        <v>16239</v>
      </c>
      <c r="F14" s="259">
        <f>E14*(INDEX('Ex ante LI &amp; Eligibility Stats'!$A:$M,MATCH($A14,'Ex ante LI &amp; Eligibility Stats'!$A:$A,0),MATCH('Program MW '!F$6,'Ex ante LI &amp; Eligibility Stats'!$A$8:$M$8,0))/1000)</f>
        <v>4.2308335963298308E-5</v>
      </c>
      <c r="G14" s="260">
        <f>E14*(INDEX('Ex post LI &amp; Eligibility Stats'!$A:$N,MATCH($A14,'Ex post LI &amp; Eligibility Stats'!$A:$A,0),MATCH('Program MW '!F$6,'Ex post LI &amp; Eligibility Stats'!$A$8:$N$8,0))/1000)</f>
        <v>4.8763302380740647</v>
      </c>
      <c r="H14" s="124"/>
      <c r="I14" s="259">
        <f>H14*(INDEX('Ex ante LI &amp; Eligibility Stats'!$A:$M,MATCH('Program MW '!$A14,'Ex ante LI &amp; Eligibility Stats'!$A:$A,0),MATCH('Program MW '!I$6,'Ex ante LI &amp; Eligibility Stats'!$A$8:$M$8,0))/1000)</f>
        <v>0</v>
      </c>
      <c r="J14" s="260">
        <f>H14*(INDEX('Ex post LI &amp; Eligibility Stats'!$A:$N,MATCH($A14,'Ex post LI &amp; Eligibility Stats'!$A:$A,0),MATCH('Program MW '!I$6,'Ex post LI &amp; Eligibility Stats'!$A$8:$N$8,0))/1000)</f>
        <v>0</v>
      </c>
      <c r="K14" s="124"/>
      <c r="L14" s="259">
        <f>K14*(INDEX('Ex ante LI &amp; Eligibility Stats'!$A:$M,MATCH('Program MW '!$A14,'Ex ante LI &amp; Eligibility Stats'!$A:$A,0),MATCH('Program MW '!L$6,'Ex ante LI &amp; Eligibility Stats'!$A$8:$M$8,0))/1000)</f>
        <v>0</v>
      </c>
      <c r="M14" s="260">
        <f>K14*(INDEX('Ex post LI &amp; Eligibility Stats'!$A:$N,MATCH($A14,'Ex post LI &amp; Eligibility Stats'!$A:$A,0),MATCH('Program MW '!L$6,'Ex post LI &amp; Eligibility Stats'!$A$8:$N$8,0))/1000)</f>
        <v>0</v>
      </c>
      <c r="N14" s="124"/>
      <c r="O14" s="259">
        <f>N14*(INDEX('Ex ante LI &amp; Eligibility Stats'!$A:$M,MATCH('Program MW '!$A14,'Ex ante LI &amp; Eligibility Stats'!$A:$A,0),MATCH('Program MW '!O$6,'Ex ante LI &amp; Eligibility Stats'!$A$8:$M$8,0))/1000)</f>
        <v>0</v>
      </c>
      <c r="P14" s="260">
        <f>N14*(INDEX('Ex post LI &amp; Eligibility Stats'!$A:$N,MATCH($A14,'Ex post LI &amp; Eligibility Stats'!$A:$A,0),MATCH('Program MW '!O$6,'Ex post LI &amp; Eligibility Stats'!$A$8:$N$8,0))/1000)</f>
        <v>0</v>
      </c>
      <c r="Q14" s="124"/>
      <c r="R14" s="259">
        <f>Q14*(INDEX('Ex ante LI &amp; Eligibility Stats'!$A:$M,MATCH('Program MW '!$A14,'Ex ante LI &amp; Eligibility Stats'!$A:$A,0),MATCH('Program MW '!R$6,'Ex ante LI &amp; Eligibility Stats'!$A$8:$M$8,0))/1000)</f>
        <v>0</v>
      </c>
      <c r="S14" s="260">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22" t="s">
        <v>20</v>
      </c>
      <c r="B15" s="124"/>
      <c r="C15" s="259">
        <f>B15*(INDEX('Ex ante LI &amp; Eligibility Stats'!$A:$M,MATCH($A15,'Ex ante LI &amp; Eligibility Stats'!$A:$A,0),MATCH('Program MW '!C$6,'Ex ante LI &amp; Eligibility Stats'!$A$8:$M$8,0))/1000)</f>
        <v>0</v>
      </c>
      <c r="D15" s="260">
        <f>B15*(INDEX('Ex post LI &amp; Eligibility Stats'!$A:$N,MATCH($A15,'Ex post LI &amp; Eligibility Stats'!$A:$A,0),MATCH('Program MW '!C$6,'Ex post LI &amp; Eligibility Stats'!$A$8:$N$8,0))/1000)</f>
        <v>0</v>
      </c>
      <c r="E15" s="124">
        <v>294</v>
      </c>
      <c r="F15" s="259">
        <f>E15*(INDEX('Ex ante LI &amp; Eligibility Stats'!$A:$M,MATCH($A15,'Ex ante LI &amp; Eligibility Stats'!$A:$A,0),MATCH('Program MW '!F$6,'Ex ante LI &amp; Eligibility Stats'!$A$8:$M$8,0))/1000)</f>
        <v>2.4755080477916634E-5</v>
      </c>
      <c r="G15" s="260">
        <f>E15*(INDEX('Ex post LI &amp; Eligibility Stats'!$A:$N,MATCH($A15,'Ex post LI &amp; Eligibility Stats'!$A:$A,0),MATCH('Program MW '!F$6,'Ex post LI &amp; Eligibility Stats'!$A$8:$N$8,0))/1000)</f>
        <v>0.13637032914161681</v>
      </c>
      <c r="H15" s="124"/>
      <c r="I15" s="259">
        <f>H15*(INDEX('Ex ante LI &amp; Eligibility Stats'!$A:$M,MATCH('Program MW '!$A15,'Ex ante LI &amp; Eligibility Stats'!$A:$A,0),MATCH('Program MW '!I$6,'Ex ante LI &amp; Eligibility Stats'!$A$8:$M$8,0))/1000)</f>
        <v>0</v>
      </c>
      <c r="J15" s="260">
        <f>H15*(INDEX('Ex post LI &amp; Eligibility Stats'!$A:$N,MATCH($A15,'Ex post LI &amp; Eligibility Stats'!$A:$A,0),MATCH('Program MW '!I$6,'Ex post LI &amp; Eligibility Stats'!$A$8:$N$8,0))/1000)</f>
        <v>0</v>
      </c>
      <c r="K15" s="124"/>
      <c r="L15" s="259">
        <f>K15*(INDEX('Ex ante LI &amp; Eligibility Stats'!$A:$M,MATCH('Program MW '!$A15,'Ex ante LI &amp; Eligibility Stats'!$A:$A,0),MATCH('Program MW '!L$6,'Ex ante LI &amp; Eligibility Stats'!$A$8:$M$8,0))/1000)</f>
        <v>0</v>
      </c>
      <c r="M15" s="260">
        <f>K15*(INDEX('Ex post LI &amp; Eligibility Stats'!$A:$N,MATCH($A15,'Ex post LI &amp; Eligibility Stats'!$A:$A,0),MATCH('Program MW '!L$6,'Ex post LI &amp; Eligibility Stats'!$A$8:$N$8,0))/1000)</f>
        <v>0</v>
      </c>
      <c r="N15" s="124"/>
      <c r="O15" s="259">
        <f>N15*(INDEX('Ex ante LI &amp; Eligibility Stats'!$A:$M,MATCH('Program MW '!$A15,'Ex ante LI &amp; Eligibility Stats'!$A:$A,0),MATCH('Program MW '!O$6,'Ex ante LI &amp; Eligibility Stats'!$A$8:$M$8,0))/1000)</f>
        <v>0</v>
      </c>
      <c r="P15" s="260">
        <f>N15*(INDEX('Ex post LI &amp; Eligibility Stats'!$A:$N,MATCH($A15,'Ex post LI &amp; Eligibility Stats'!$A:$A,0),MATCH('Program MW '!O$6,'Ex post LI &amp; Eligibility Stats'!$A$8:$N$8,0))/1000)</f>
        <v>0</v>
      </c>
      <c r="Q15" s="124"/>
      <c r="R15" s="259">
        <f>Q15*(INDEX('Ex ante LI &amp; Eligibility Stats'!$A:$M,MATCH('Program MW '!$A15,'Ex ante LI &amp; Eligibility Stats'!$A:$A,0),MATCH('Program MW '!R$6,'Ex ante LI &amp; Eligibility Stats'!$A$8:$M$8,0))/1000)</f>
        <v>0</v>
      </c>
      <c r="S15" s="260">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15" t="s">
        <v>21</v>
      </c>
      <c r="B16" s="93">
        <v>8805</v>
      </c>
      <c r="C16" s="259">
        <f>B16*(INDEX('Ex ante LI &amp; Eligibility Stats'!$A:$M,MATCH($A16,'Ex ante LI &amp; Eligibility Stats'!$A:$A,0),MATCH('Program MW '!C$6,'Ex ante LI &amp; Eligibility Stats'!$A$8:$M$8,0))/1000)</f>
        <v>0</v>
      </c>
      <c r="D16" s="260">
        <f>B16*(INDEX('Ex post LI &amp; Eligibility Stats'!$A:$N,MATCH($A16,'Ex post LI &amp; Eligibility Stats'!$A:$A,0),MATCH('Program MW '!C$6,'Ex post LI &amp; Eligibility Stats'!$A$8:$N$8,0))/1000)</f>
        <v>1.1810930145000003</v>
      </c>
      <c r="E16" s="93">
        <v>8757</v>
      </c>
      <c r="F16" s="259">
        <f>E16*(INDEX('Ex ante LI &amp; Eligibility Stats'!$A:$M,MATCH($A16,'Ex ante LI &amp; Eligibility Stats'!$A:$A,0),MATCH('Program MW '!F$6,'Ex ante LI &amp; Eligibility Stats'!$A$8:$M$8,0))/1000)</f>
        <v>0</v>
      </c>
      <c r="G16" s="260">
        <f>E16*(INDEX('Ex post LI &amp; Eligibility Stats'!$A:$N,MATCH($A16,'Ex post LI &amp; Eligibility Stats'!$A:$A,0),MATCH('Program MW '!F$6,'Ex post LI &amp; Eligibility Stats'!$A$8:$N$8,0))/1000)</f>
        <v>1.1746543473000002</v>
      </c>
      <c r="H16" s="93"/>
      <c r="I16" s="259">
        <f>H16*(INDEX('Ex ante LI &amp; Eligibility Stats'!$A:$M,MATCH('Program MW '!$A16,'Ex ante LI &amp; Eligibility Stats'!$A:$A,0),MATCH('Program MW '!I$6,'Ex ante LI &amp; Eligibility Stats'!$A$8:$M$8,0))/1000)</f>
        <v>0</v>
      </c>
      <c r="J16" s="260">
        <f>H16*(INDEX('Ex post LI &amp; Eligibility Stats'!$A:$N,MATCH($A16,'Ex post LI &amp; Eligibility Stats'!$A:$A,0),MATCH('Program MW '!I$6,'Ex post LI &amp; Eligibility Stats'!$A$8:$N$8,0))/1000)</f>
        <v>0</v>
      </c>
      <c r="K16" s="441"/>
      <c r="L16" s="259">
        <f>K16*(INDEX('Ex ante LI &amp; Eligibility Stats'!$A:$M,MATCH('Program MW '!$A16,'Ex ante LI &amp; Eligibility Stats'!$A:$A,0),MATCH('Program MW '!L$6,'Ex ante LI &amp; Eligibility Stats'!$A$8:$M$8,0))/1000)</f>
        <v>0</v>
      </c>
      <c r="M16" s="260">
        <f>K16*(INDEX('Ex post LI &amp; Eligibility Stats'!$A:$N,MATCH($A16,'Ex post LI &amp; Eligibility Stats'!$A:$A,0),MATCH('Program MW '!L$6,'Ex post LI &amp; Eligibility Stats'!$A$8:$N$8,0))/1000)</f>
        <v>0</v>
      </c>
      <c r="N16" s="93"/>
      <c r="O16" s="259">
        <f>N16*(INDEX('Ex ante LI &amp; Eligibility Stats'!$A:$M,MATCH('Program MW '!$A16,'Ex ante LI &amp; Eligibility Stats'!$A:$A,0),MATCH('Program MW '!O$6,'Ex ante LI &amp; Eligibility Stats'!$A$8:$M$8,0))/1000)</f>
        <v>0</v>
      </c>
      <c r="P16" s="260">
        <f>N16*(INDEX('Ex post LI &amp; Eligibility Stats'!$A:$N,MATCH($A16,'Ex post LI &amp; Eligibility Stats'!$A:$A,0),MATCH('Program MW '!O$6,'Ex post LI &amp; Eligibility Stats'!$A$8:$N$8,0))/1000)</f>
        <v>0</v>
      </c>
      <c r="Q16" s="93"/>
      <c r="R16" s="259">
        <f>Q16*(INDEX('Ex ante LI &amp; Eligibility Stats'!$A:$M,MATCH('Program MW '!$A16,'Ex ante LI &amp; Eligibility Stats'!$A:$A,0),MATCH('Program MW '!R$6,'Ex ante LI &amp; Eligibility Stats'!$A$8:$M$8,0))/1000)</f>
        <v>0</v>
      </c>
      <c r="S16" s="260">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15" t="s">
        <v>23</v>
      </c>
      <c r="B17" s="93">
        <v>2552</v>
      </c>
      <c r="C17" s="259">
        <f>B17*(INDEX('Ex ante LI &amp; Eligibility Stats'!$A:$M,MATCH($A17,'Ex ante LI &amp; Eligibility Stats'!$A:$A,0),MATCH('Program MW '!C$6,'Ex ante LI &amp; Eligibility Stats'!$A$8:$M$8,0))/1000)</f>
        <v>0</v>
      </c>
      <c r="D17" s="260">
        <f>B17*(INDEX('Ex post LI &amp; Eligibility Stats'!$A:$N,MATCH($A17,'Ex post LI &amp; Eligibility Stats'!$A:$A,0),MATCH('Program MW '!C$6,'Ex post LI &amp; Eligibility Stats'!$A$8:$N$8,0))/1000)</f>
        <v>0.12592665359999999</v>
      </c>
      <c r="E17" s="93">
        <v>2542</v>
      </c>
      <c r="F17" s="259">
        <f>E17*(INDEX('Ex ante LI &amp; Eligibility Stats'!$A:$M,MATCH($A17,'Ex ante LI &amp; Eligibility Stats'!$A:$A,0),MATCH('Program MW '!F$6,'Ex ante LI &amp; Eligibility Stats'!$A$8:$M$8,0))/1000)</f>
        <v>0</v>
      </c>
      <c r="G17" s="260">
        <f>E17*(INDEX('Ex post LI &amp; Eligibility Stats'!$A:$N,MATCH($A17,'Ex post LI &amp; Eligibility Stats'!$A:$A,0),MATCH('Program MW '!F$6,'Ex post LI &amp; Eligibility Stats'!$A$8:$N$8,0))/1000)</f>
        <v>0.12543321060000001</v>
      </c>
      <c r="H17" s="93"/>
      <c r="I17" s="259">
        <f>H17*(INDEX('Ex ante LI &amp; Eligibility Stats'!$A:$M,MATCH('Program MW '!$A17,'Ex ante LI &amp; Eligibility Stats'!$A:$A,0),MATCH('Program MW '!I$6,'Ex ante LI &amp; Eligibility Stats'!$A$8:$M$8,0))/1000)</f>
        <v>0</v>
      </c>
      <c r="J17" s="260">
        <f>H17*(INDEX('Ex post LI &amp; Eligibility Stats'!$A:$N,MATCH($A17,'Ex post LI &amp; Eligibility Stats'!$A:$A,0),MATCH('Program MW '!I$6,'Ex post LI &amp; Eligibility Stats'!$A$8:$N$8,0))/1000)</f>
        <v>0</v>
      </c>
      <c r="K17" s="441"/>
      <c r="L17" s="259">
        <f>K17*(INDEX('Ex ante LI &amp; Eligibility Stats'!$A:$M,MATCH('Program MW '!$A17,'Ex ante LI &amp; Eligibility Stats'!$A:$A,0),MATCH('Program MW '!L$6,'Ex ante LI &amp; Eligibility Stats'!$A$8:$M$8,0))/1000)</f>
        <v>0</v>
      </c>
      <c r="M17" s="260">
        <f>K17*(INDEX('Ex post LI &amp; Eligibility Stats'!$A:$N,MATCH($A17,'Ex post LI &amp; Eligibility Stats'!$A:$A,0),MATCH('Program MW '!L$6,'Ex post LI &amp; Eligibility Stats'!$A$8:$N$8,0))/1000)</f>
        <v>0</v>
      </c>
      <c r="N17" s="93"/>
      <c r="O17" s="259">
        <f>N17*(INDEX('Ex ante LI &amp; Eligibility Stats'!$A:$M,MATCH('Program MW '!$A17,'Ex ante LI &amp; Eligibility Stats'!$A:$A,0),MATCH('Program MW '!O$6,'Ex ante LI &amp; Eligibility Stats'!$A$8:$M$8,0))/1000)</f>
        <v>0</v>
      </c>
      <c r="P17" s="260">
        <f>N17*(INDEX('Ex post LI &amp; Eligibility Stats'!$A:$N,MATCH($A17,'Ex post LI &amp; Eligibility Stats'!$A:$A,0),MATCH('Program MW '!O$6,'Ex post LI &amp; Eligibility Stats'!$A$8:$N$8,0))/1000)</f>
        <v>0</v>
      </c>
      <c r="Q17" s="93"/>
      <c r="R17" s="259">
        <f>Q17*(INDEX('Ex ante LI &amp; Eligibility Stats'!$A:$M,MATCH('Program MW '!$A17,'Ex ante LI &amp; Eligibility Stats'!$A:$A,0),MATCH('Program MW '!R$6,'Ex ante LI &amp; Eligibility Stats'!$A$8:$M$8,0))/1000)</f>
        <v>0</v>
      </c>
      <c r="S17" s="260">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22" t="s">
        <v>24</v>
      </c>
      <c r="B18" s="124"/>
      <c r="C18" s="259">
        <f>B18*(INDEX('Ex ante LI &amp; Eligibility Stats'!$A:$M,MATCH($A18,'Ex ante LI &amp; Eligibility Stats'!$A:$A,0),MATCH('Program MW '!C$6,'Ex ante LI &amp; Eligibility Stats'!$A$8:$M$8,0))/1000)</f>
        <v>0</v>
      </c>
      <c r="D18" s="260">
        <f>B18*(INDEX('Ex post LI &amp; Eligibility Stats'!$A:$N,MATCH($A18,'Ex post LI &amp; Eligibility Stats'!$A:$A,0),MATCH('Program MW '!C$6,'Ex post LI &amp; Eligibility Stats'!$A$8:$N$8,0))/1000)</f>
        <v>0</v>
      </c>
      <c r="E18" s="124"/>
      <c r="F18" s="259">
        <f>E18*(INDEX('Ex ante LI &amp; Eligibility Stats'!$A:$M,MATCH($A18,'Ex ante LI &amp; Eligibility Stats'!$A:$A,0),MATCH('Program MW '!F$6,'Ex ante LI &amp; Eligibility Stats'!$A$8:$M$8,0))/1000)</f>
        <v>0</v>
      </c>
      <c r="G18" s="260">
        <f>E18*(INDEX('Ex post LI &amp; Eligibility Stats'!$A:$N,MATCH($A18,'Ex post LI &amp; Eligibility Stats'!$A:$A,0),MATCH('Program MW '!F$6,'Ex post LI &amp; Eligibility Stats'!$A$8:$N$8,0))/1000)</f>
        <v>0</v>
      </c>
      <c r="H18" s="124"/>
      <c r="I18" s="259">
        <f>H18*(INDEX('Ex ante LI &amp; Eligibility Stats'!$A:$M,MATCH('Program MW '!$A18,'Ex ante LI &amp; Eligibility Stats'!$A:$A,0),MATCH('Program MW '!I$6,'Ex ante LI &amp; Eligibility Stats'!$A$8:$M$8,0))/1000)</f>
        <v>0</v>
      </c>
      <c r="J18" s="260">
        <f>H18*(INDEX('Ex post LI &amp; Eligibility Stats'!$A:$N,MATCH($A18,'Ex post LI &amp; Eligibility Stats'!$A:$A,0),MATCH('Program MW '!I$6,'Ex post LI &amp; Eligibility Stats'!$A$8:$N$8,0))/1000)</f>
        <v>0</v>
      </c>
      <c r="K18" s="124"/>
      <c r="L18" s="259">
        <f>K18*(INDEX('Ex ante LI &amp; Eligibility Stats'!$A:$M,MATCH('Program MW '!$A18,'Ex ante LI &amp; Eligibility Stats'!$A:$A,0),MATCH('Program MW '!L$6,'Ex ante LI &amp; Eligibility Stats'!$A$8:$M$8,0))/1000)</f>
        <v>0</v>
      </c>
      <c r="M18" s="260">
        <f>K18*(INDEX('Ex post LI &amp; Eligibility Stats'!$A:$N,MATCH($A18,'Ex post LI &amp; Eligibility Stats'!$A:$A,0),MATCH('Program MW '!L$6,'Ex post LI &amp; Eligibility Stats'!$A$8:$N$8,0))/1000)</f>
        <v>0</v>
      </c>
      <c r="N18" s="124"/>
      <c r="O18" s="259">
        <f>N18*(INDEX('Ex ante LI &amp; Eligibility Stats'!$A:$M,MATCH('Program MW '!$A18,'Ex ante LI &amp; Eligibility Stats'!$A:$A,0),MATCH('Program MW '!O$6,'Ex ante LI &amp; Eligibility Stats'!$A$8:$M$8,0))/1000)</f>
        <v>0</v>
      </c>
      <c r="P18" s="260">
        <f>N18*(INDEX('Ex post LI &amp; Eligibility Stats'!$A:$N,MATCH($A18,'Ex post LI &amp; Eligibility Stats'!$A:$A,0),MATCH('Program MW '!O$6,'Ex post LI &amp; Eligibility Stats'!$A$8:$N$8,0))/1000)</f>
        <v>0</v>
      </c>
      <c r="Q18" s="124"/>
      <c r="R18" s="259">
        <f>Q18*(INDEX('Ex ante LI &amp; Eligibility Stats'!$A:$M,MATCH('Program MW '!$A18,'Ex ante LI &amp; Eligibility Stats'!$A:$A,0),MATCH('Program MW '!R$6,'Ex ante LI &amp; Eligibility Stats'!$A$8:$M$8,0))/1000)</f>
        <v>0</v>
      </c>
      <c r="S18" s="260">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22" t="s">
        <v>25</v>
      </c>
      <c r="B19" s="124"/>
      <c r="C19" s="259">
        <f>B19*(INDEX('Ex ante LI &amp; Eligibility Stats'!$A:$M,MATCH($A19,'Ex ante LI &amp; Eligibility Stats'!$A:$A,0),MATCH('Program MW '!C$6,'Ex ante LI &amp; Eligibility Stats'!$A$8:$M$8,0))/1000)</f>
        <v>0</v>
      </c>
      <c r="D19" s="260">
        <f>B19*(INDEX('Ex post LI &amp; Eligibility Stats'!$A:$N,MATCH($A19,'Ex post LI &amp; Eligibility Stats'!$A:$A,0),MATCH('Program MW '!C$6,'Ex post LI &amp; Eligibility Stats'!$A$8:$N$8,0))/1000)</f>
        <v>0</v>
      </c>
      <c r="E19" s="124"/>
      <c r="F19" s="259">
        <f>E19*(INDEX('Ex ante LI &amp; Eligibility Stats'!$A:$M,MATCH($A19,'Ex ante LI &amp; Eligibility Stats'!$A:$A,0),MATCH('Program MW '!F$6,'Ex ante LI &amp; Eligibility Stats'!$A$8:$M$8,0))/1000)</f>
        <v>0</v>
      </c>
      <c r="G19" s="260">
        <f>E19*(INDEX('Ex post LI &amp; Eligibility Stats'!$A:$N,MATCH($A19,'Ex post LI &amp; Eligibility Stats'!$A:$A,0),MATCH('Program MW '!F$6,'Ex post LI &amp; Eligibility Stats'!$A$8:$N$8,0))/1000)</f>
        <v>0</v>
      </c>
      <c r="H19" s="124"/>
      <c r="I19" s="259">
        <f>H19*(INDEX('Ex ante LI &amp; Eligibility Stats'!$A:$M,MATCH('Program MW '!$A19,'Ex ante LI &amp; Eligibility Stats'!$A:$A,0),MATCH('Program MW '!I$6,'Ex ante LI &amp; Eligibility Stats'!$A$8:$M$8,0))/1000)</f>
        <v>0</v>
      </c>
      <c r="J19" s="260">
        <f>H19*(INDEX('Ex post LI &amp; Eligibility Stats'!$A:$N,MATCH($A19,'Ex post LI &amp; Eligibility Stats'!$A:$A,0),MATCH('Program MW '!I$6,'Ex post LI &amp; Eligibility Stats'!$A$8:$N$8,0))/1000)</f>
        <v>0</v>
      </c>
      <c r="K19" s="124"/>
      <c r="L19" s="259">
        <f>K19*(INDEX('Ex ante LI &amp; Eligibility Stats'!$A:$M,MATCH('Program MW '!$A19,'Ex ante LI &amp; Eligibility Stats'!$A:$A,0),MATCH('Program MW '!L$6,'Ex ante LI &amp; Eligibility Stats'!$A$8:$M$8,0))/1000)</f>
        <v>0</v>
      </c>
      <c r="M19" s="260">
        <f>K19*(INDEX('Ex post LI &amp; Eligibility Stats'!$A:$N,MATCH($A19,'Ex post LI &amp; Eligibility Stats'!$A:$A,0),MATCH('Program MW '!L$6,'Ex post LI &amp; Eligibility Stats'!$A$8:$N$8,0))/1000)</f>
        <v>0</v>
      </c>
      <c r="N19" s="124"/>
      <c r="O19" s="259">
        <f>N19*(INDEX('Ex ante LI &amp; Eligibility Stats'!$A:$M,MATCH('Program MW '!$A19,'Ex ante LI &amp; Eligibility Stats'!$A:$A,0),MATCH('Program MW '!O$6,'Ex ante LI &amp; Eligibility Stats'!$A$8:$M$8,0))/1000)</f>
        <v>0</v>
      </c>
      <c r="P19" s="260">
        <f>N19*(INDEX('Ex post LI &amp; Eligibility Stats'!$A:$N,MATCH($A19,'Ex post LI &amp; Eligibility Stats'!$A:$A,0),MATCH('Program MW '!O$6,'Ex post LI &amp; Eligibility Stats'!$A$8:$N$8,0))/1000)</f>
        <v>0</v>
      </c>
      <c r="Q19" s="124"/>
      <c r="R19" s="259">
        <f>Q19*(INDEX('Ex ante LI &amp; Eligibility Stats'!$A:$M,MATCH('Program MW '!$A19,'Ex ante LI &amp; Eligibility Stats'!$A:$A,0),MATCH('Program MW '!R$6,'Ex ante LI &amp; Eligibility Stats'!$A$8:$M$8,0))/1000)</f>
        <v>0</v>
      </c>
      <c r="S19" s="260">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18" customFormat="1">
      <c r="A20" s="215" t="s">
        <v>55</v>
      </c>
      <c r="B20" s="153">
        <v>110</v>
      </c>
      <c r="C20" s="259">
        <v>0</v>
      </c>
      <c r="D20" s="260">
        <v>0</v>
      </c>
      <c r="E20" s="153">
        <v>112</v>
      </c>
      <c r="F20" s="371">
        <f>E20*(INDEX('Ex ante LI &amp; Eligibility Stats'!$A:$M,MATCH($A20,'Ex ante LI &amp; Eligibility Stats'!$A:$A,0),MATCH('Program MW '!F$6,'Ex ante LI &amp; Eligibility Stats'!$A$8:$M$8,0))/1000)</f>
        <v>7.861483544111252E-4</v>
      </c>
      <c r="G20" s="641">
        <f>E20*(INDEX('Ex post LI &amp; Eligibility Stats'!$A:$N,MATCH($A20,'Ex post LI &amp; Eligibility Stats'!$A:$A,0),MATCH('Program MW '!F$6,'Ex post LI &amp; Eligibility Stats'!$A$8:$N$8,0))/1000)</f>
        <v>5.3145108222961424E-2</v>
      </c>
      <c r="H20" s="153"/>
      <c r="I20" s="442">
        <f>H20*(INDEX('Ex ante LI &amp; Eligibility Stats'!$A:$M,MATCH('Program MW '!$A20,'Ex ante LI &amp; Eligibility Stats'!$A:$A,0),MATCH('Program MW '!I$6,'Ex ante LI &amp; Eligibility Stats'!$A$8:$M$8,0))/1000)</f>
        <v>0</v>
      </c>
      <c r="J20" s="260">
        <f>H20*(INDEX('Ex post LI &amp; Eligibility Stats'!$A:$N,MATCH($A20,'Ex post LI &amp; Eligibility Stats'!$A:$A,0),MATCH('Program MW '!I$6,'Ex post LI &amp; Eligibility Stats'!$A$8:$N$8,0))/1000)</f>
        <v>0</v>
      </c>
      <c r="K20" s="441"/>
      <c r="L20" s="259">
        <f>K20*(INDEX('Ex ante LI &amp; Eligibility Stats'!$A:$M,MATCH('Program MW '!$A20,'Ex ante LI &amp; Eligibility Stats'!$A:$A,0),MATCH('Program MW '!L$6,'Ex ante LI &amp; Eligibility Stats'!$A$8:$M$8,0))/1000)</f>
        <v>0</v>
      </c>
      <c r="M20" s="260">
        <f>K20*(INDEX('Ex post LI &amp; Eligibility Stats'!$A:$N,MATCH($A20,'Ex post LI &amp; Eligibility Stats'!$A:$A,0),MATCH('Program MW '!L$6,'Ex post LI &amp; Eligibility Stats'!$A$8:$N$8,0))/1000)</f>
        <v>0</v>
      </c>
      <c r="N20" s="153"/>
      <c r="O20" s="259">
        <f>N20*(INDEX('Ex ante LI &amp; Eligibility Stats'!$A:$M,MATCH('Program MW '!$A20,'Ex ante LI &amp; Eligibility Stats'!$A:$A,0),MATCH('Program MW '!O$6,'Ex ante LI &amp; Eligibility Stats'!$A$8:$M$8,0))/1000)</f>
        <v>0</v>
      </c>
      <c r="P20" s="260">
        <f>N20*(INDEX('Ex post LI &amp; Eligibility Stats'!$A:$N,MATCH($A20,'Ex post LI &amp; Eligibility Stats'!$A:$A,0),MATCH('Program MW '!O$6,'Ex post LI &amp; Eligibility Stats'!$A$8:$N$8,0))/1000)</f>
        <v>0</v>
      </c>
      <c r="Q20" s="153"/>
      <c r="R20" s="259">
        <f>Q20*(INDEX('Ex ante LI &amp; Eligibility Stats'!$A:$M,MATCH('Program MW '!$A20,'Ex ante LI &amp; Eligibility Stats'!$A:$A,0),MATCH('Program MW '!R$6,'Ex ante LI &amp; Eligibility Stats'!$A$8:$M$8,0))/1000)</f>
        <v>0</v>
      </c>
      <c r="S20" s="260">
        <f>Q20*(INDEX('Ex post LI &amp; Eligibility Stats'!$A:$N,MATCH($A20,'Ex post LI &amp; Eligibility Stats'!$A:$A,0),MATCH('Program MW '!R$6,'Ex post LI &amp; Eligibility Stats'!$A$8:$N$8,0))/1000)</f>
        <v>0</v>
      </c>
      <c r="T20" s="323"/>
      <c r="U20" s="324"/>
      <c r="V20" s="324"/>
      <c r="W20" s="324"/>
      <c r="X20" s="324"/>
      <c r="Y20" s="324"/>
      <c r="Z20" s="324"/>
      <c r="AA20" s="324"/>
      <c r="AB20" s="324"/>
      <c r="AC20" s="324"/>
      <c r="AD20" s="324"/>
      <c r="AE20" s="324"/>
    </row>
    <row r="21" spans="1:31">
      <c r="A21" s="122" t="s">
        <v>26</v>
      </c>
      <c r="B21" s="124">
        <v>50976</v>
      </c>
      <c r="C21" s="259">
        <f>B21*(INDEX('Ex ante LI &amp; Eligibility Stats'!$A:$M,MATCH($A21,'Ex ante LI &amp; Eligibility Stats'!$A:$A,0),MATCH('Program MW '!C$6,'Ex ante LI &amp; Eligibility Stats'!$A$8:$M$8,0))/1000)</f>
        <v>0.50975999999999999</v>
      </c>
      <c r="D21" s="260">
        <f>B21*(INDEX('Ex post LI &amp; Eligibility Stats'!$A:$N,MATCH($A21,'Ex post LI &amp; Eligibility Stats'!$A:$A,0),MATCH('Program MW '!C$6,'Ex post LI &amp; Eligibility Stats'!$A$8:$N$8,0))/1000)</f>
        <v>2.5469749924489515</v>
      </c>
      <c r="E21" s="124">
        <v>50086</v>
      </c>
      <c r="F21" s="259">
        <f>E21*(INDEX('Ex ante LI &amp; Eligibility Stats'!$A:$M,MATCH($A21,'Ex ante LI &amp; Eligibility Stats'!$A:$A,0),MATCH('Program MW '!F$6,'Ex ante LI &amp; Eligibility Stats'!$A$8:$M$8,0))/1000)</f>
        <v>0.50086000000000008</v>
      </c>
      <c r="G21" s="260">
        <f>E21*(INDEX('Ex post LI &amp; Eligibility Stats'!$A:$N,MATCH($A21,'Ex post LI &amp; Eligibility Stats'!$A:$A,0),MATCH('Program MW '!F$6,'Ex post LI &amp; Eligibility Stats'!$A$8:$N$8,0))/1000)</f>
        <v>2.5025068556143713</v>
      </c>
      <c r="H21" s="124"/>
      <c r="I21" s="442">
        <f>H21*(INDEX('Ex ante LI &amp; Eligibility Stats'!$A:$M,MATCH('Program MW '!$A21,'Ex ante LI &amp; Eligibility Stats'!$A:$A,0),MATCH('Program MW '!I$6,'Ex ante LI &amp; Eligibility Stats'!$A$8:$M$8,0))/1000)</f>
        <v>0</v>
      </c>
      <c r="J21" s="260">
        <f>H21*(INDEX('Ex post LI &amp; Eligibility Stats'!$A:$N,MATCH($A21,'Ex post LI &amp; Eligibility Stats'!$A:$A,0),MATCH('Program MW '!I$6,'Ex post LI &amp; Eligibility Stats'!$A$8:$N$8,0))/1000)</f>
        <v>0</v>
      </c>
      <c r="K21" s="441"/>
      <c r="L21" s="259">
        <f>K21*(INDEX('Ex ante LI &amp; Eligibility Stats'!$A:$M,MATCH('Program MW '!$A21,'Ex ante LI &amp; Eligibility Stats'!$A:$A,0),MATCH('Program MW '!L$6,'Ex ante LI &amp; Eligibility Stats'!$A$8:$M$8,0))/1000)</f>
        <v>0</v>
      </c>
      <c r="M21" s="260">
        <f>K21*(INDEX('Ex post LI &amp; Eligibility Stats'!$A:$N,MATCH($A21,'Ex post LI &amp; Eligibility Stats'!$A:$A,0),MATCH('Program MW '!L$6,'Ex post LI &amp; Eligibility Stats'!$A$8:$N$8,0))/1000)</f>
        <v>0</v>
      </c>
      <c r="N21" s="124"/>
      <c r="O21" s="259">
        <f>N21*(INDEX('Ex ante LI &amp; Eligibility Stats'!$A:$M,MATCH('Program MW '!$A21,'Ex ante LI &amp; Eligibility Stats'!$A:$A,0),MATCH('Program MW '!O$6,'Ex ante LI &amp; Eligibility Stats'!$A$8:$M$8,0))/1000)</f>
        <v>0</v>
      </c>
      <c r="P21" s="260">
        <f>N21*(INDEX('Ex post LI &amp; Eligibility Stats'!$A:$N,MATCH($A21,'Ex post LI &amp; Eligibility Stats'!$A:$A,0),MATCH('Program MW '!O$6,'Ex post LI &amp; Eligibility Stats'!$A$8:$N$8,0))/1000)</f>
        <v>0</v>
      </c>
      <c r="Q21" s="124"/>
      <c r="R21" s="259">
        <f>Q21*(INDEX('Ex ante LI &amp; Eligibility Stats'!$A:$M,MATCH('Program MW '!$A21,'Ex ante LI &amp; Eligibility Stats'!$A:$A,0),MATCH('Program MW '!R$6,'Ex ante LI &amp; Eligibility Stats'!$A$8:$M$8,0))/1000)</f>
        <v>0</v>
      </c>
      <c r="S21" s="260">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173" t="s">
        <v>27</v>
      </c>
      <c r="B22" s="214">
        <v>22881</v>
      </c>
      <c r="C22" s="261">
        <f>B22*(INDEX('Ex ante LI &amp; Eligibility Stats'!$A:$M,MATCH($A22,'Ex ante LI &amp; Eligibility Stats'!$A:$A,0),MATCH('Program MW '!C$6,'Ex ante LI &amp; Eligibility Stats'!$A$8:$M$8,0))/1000)</f>
        <v>0.88547235500067478</v>
      </c>
      <c r="D22" s="262">
        <f>B22*(INDEX('Ex post LI &amp; Eligibility Stats'!$A:$N,MATCH($A22,'Ex post LI &amp; Eligibility Stats'!$A:$A,0),MATCH('Program MW '!C$6,'Ex post LI &amp; Eligibility Stats'!$A$8:$N$8,0))/1000)</f>
        <v>3.8236534905213531</v>
      </c>
      <c r="E22" s="214">
        <v>23402</v>
      </c>
      <c r="F22" s="410">
        <f>E22*(INDEX('Ex ante LI &amp; Eligibility Stats'!$A:$M,MATCH($A22,'Ex ante LI &amp; Eligibility Stats'!$A:$A,0),MATCH('Program MW '!F$6,'Ex ante LI &amp; Eligibility Stats'!$A$8:$M$8,0))/1000)</f>
        <v>0.80414936313033114</v>
      </c>
      <c r="G22" s="260">
        <f>E22*(INDEX('Ex post LI &amp; Eligibility Stats'!$A:$N,MATCH($A22,'Ex post LI &amp; Eligibility Stats'!$A:$A,0),MATCH('Program MW '!F$6,'Ex post LI &amp; Eligibility Stats'!$A$8:$N$8,0))/1000)</f>
        <v>3.9107180186696695</v>
      </c>
      <c r="H22" s="214"/>
      <c r="I22" s="259">
        <f>H22*(INDEX('Ex ante LI &amp; Eligibility Stats'!$A:$M,MATCH('Program MW '!$A22,'Ex ante LI &amp; Eligibility Stats'!$A:$A,0),MATCH('Program MW '!I$6,'Ex ante LI &amp; Eligibility Stats'!$A$8:$M$8,0))/1000)</f>
        <v>0</v>
      </c>
      <c r="J22" s="260">
        <f>H22*(INDEX('Ex post LI &amp; Eligibility Stats'!$A:$N,MATCH($A22,'Ex post LI &amp; Eligibility Stats'!$A:$A,0),MATCH('Program MW '!I$6,'Ex post LI &amp; Eligibility Stats'!$A$8:$N$8,0))/1000)</f>
        <v>0</v>
      </c>
      <c r="K22" s="441"/>
      <c r="L22" s="259">
        <f>K22*(INDEX('Ex ante LI &amp; Eligibility Stats'!$A:$M,MATCH('Program MW '!$A22,'Ex ante LI &amp; Eligibility Stats'!$A:$A,0),MATCH('Program MW '!L$6,'Ex ante LI &amp; Eligibility Stats'!$A$8:$M$8,0))/1000)</f>
        <v>0</v>
      </c>
      <c r="M22" s="260">
        <f>K22*(INDEX('Ex post LI &amp; Eligibility Stats'!$A:$N,MATCH($A22,'Ex post LI &amp; Eligibility Stats'!$A:$A,0),MATCH('Program MW '!L$6,'Ex post LI &amp; Eligibility Stats'!$A$8:$N$8,0))/1000)</f>
        <v>0</v>
      </c>
      <c r="N22" s="214"/>
      <c r="O22" s="259">
        <f>N22*(INDEX('Ex ante LI &amp; Eligibility Stats'!$A:$M,MATCH('Program MW '!$A22,'Ex ante LI &amp; Eligibility Stats'!$A:$A,0),MATCH('Program MW '!O$6,'Ex ante LI &amp; Eligibility Stats'!$A$8:$M$8,0))/1000)</f>
        <v>0</v>
      </c>
      <c r="P22" s="260">
        <f>N22*(INDEX('Ex post LI &amp; Eligibility Stats'!$A:$N,MATCH($A22,'Ex post LI &amp; Eligibility Stats'!$A:$A,0),MATCH('Program MW '!O$6,'Ex post LI &amp; Eligibility Stats'!$A$8:$N$8,0))/1000)</f>
        <v>0</v>
      </c>
      <c r="Q22" s="214"/>
      <c r="R22" s="259">
        <f>Q22*(INDEX('Ex ante LI &amp; Eligibility Stats'!$A:$M,MATCH('Program MW '!$A22,'Ex ante LI &amp; Eligibility Stats'!$A:$A,0),MATCH('Program MW '!R$6,'Ex ante LI &amp; Eligibility Stats'!$A$8:$M$8,0))/1000)</f>
        <v>0</v>
      </c>
      <c r="S22" s="260">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36" t="s">
        <v>57</v>
      </c>
      <c r="B23" s="123">
        <f t="shared" ref="B23:S23" si="3">SUM(B12:B22)</f>
        <v>90696</v>
      </c>
      <c r="C23" s="134">
        <f t="shared" si="3"/>
        <v>2.147312355000675</v>
      </c>
      <c r="D23" s="133">
        <f t="shared" si="3"/>
        <v>10.262693063406179</v>
      </c>
      <c r="E23" s="1">
        <f t="shared" si="3"/>
        <v>106751</v>
      </c>
      <c r="F23" s="175">
        <f t="shared" si="3"/>
        <v>2.0505225749011835</v>
      </c>
      <c r="G23" s="176">
        <f t="shared" si="3"/>
        <v>15.338699039996943</v>
      </c>
      <c r="H23" s="1">
        <f t="shared" si="3"/>
        <v>0</v>
      </c>
      <c r="I23" s="175">
        <f t="shared" si="3"/>
        <v>0</v>
      </c>
      <c r="J23" s="176">
        <f t="shared" si="3"/>
        <v>0</v>
      </c>
      <c r="K23" s="1">
        <f t="shared" si="3"/>
        <v>0</v>
      </c>
      <c r="L23" s="175">
        <f t="shared" si="3"/>
        <v>0</v>
      </c>
      <c r="M23" s="176">
        <f t="shared" si="3"/>
        <v>0</v>
      </c>
      <c r="N23" s="1">
        <f t="shared" si="3"/>
        <v>0</v>
      </c>
      <c r="O23" s="177">
        <f t="shared" si="3"/>
        <v>0</v>
      </c>
      <c r="P23" s="180">
        <f t="shared" si="3"/>
        <v>0</v>
      </c>
      <c r="Q23" s="1">
        <f t="shared" si="3"/>
        <v>0</v>
      </c>
      <c r="R23" s="184">
        <f t="shared" si="3"/>
        <v>0</v>
      </c>
      <c r="S23" s="185">
        <f t="shared" si="3"/>
        <v>0</v>
      </c>
      <c r="T23" s="5"/>
      <c r="U23" s="6"/>
      <c r="V23" s="6"/>
      <c r="W23" s="6"/>
      <c r="X23" s="6"/>
      <c r="Y23" s="6"/>
      <c r="Z23" s="6"/>
      <c r="AA23" s="6"/>
      <c r="AB23" s="6"/>
      <c r="AC23" s="6"/>
      <c r="AD23" s="6"/>
      <c r="AE23" s="6"/>
    </row>
    <row r="24" spans="1:31" ht="14.25" thickTop="1" thickBot="1">
      <c r="A24" s="139" t="s">
        <v>58</v>
      </c>
      <c r="B24" s="2">
        <f t="shared" ref="B24:S24" si="4">+B10+B23</f>
        <v>90696</v>
      </c>
      <c r="C24" s="134">
        <f t="shared" si="4"/>
        <v>2.147312355000675</v>
      </c>
      <c r="D24" s="212">
        <f t="shared" si="4"/>
        <v>10.262693063406179</v>
      </c>
      <c r="E24" s="2">
        <f t="shared" si="4"/>
        <v>106751</v>
      </c>
      <c r="F24" s="134">
        <f t="shared" si="4"/>
        <v>2.0505225749011835</v>
      </c>
      <c r="G24" s="134">
        <f t="shared" si="4"/>
        <v>15.338699039996943</v>
      </c>
      <c r="H24" s="2">
        <f t="shared" si="4"/>
        <v>0</v>
      </c>
      <c r="I24" s="134">
        <f t="shared" si="4"/>
        <v>0</v>
      </c>
      <c r="J24" s="133">
        <f t="shared" si="4"/>
        <v>0</v>
      </c>
      <c r="K24" s="2">
        <f t="shared" si="4"/>
        <v>0</v>
      </c>
      <c r="L24" s="134">
        <f t="shared" si="4"/>
        <v>0</v>
      </c>
      <c r="M24" s="133">
        <f t="shared" si="4"/>
        <v>0</v>
      </c>
      <c r="N24" s="2">
        <f t="shared" si="4"/>
        <v>0</v>
      </c>
      <c r="O24" s="178">
        <f t="shared" si="4"/>
        <v>0</v>
      </c>
      <c r="P24" s="133">
        <f t="shared" si="4"/>
        <v>0</v>
      </c>
      <c r="Q24" s="2">
        <f t="shared" si="4"/>
        <v>0</v>
      </c>
      <c r="R24" s="187">
        <f t="shared" si="4"/>
        <v>0</v>
      </c>
      <c r="S24" s="186">
        <f t="shared" si="4"/>
        <v>0</v>
      </c>
      <c r="T24" s="7"/>
      <c r="U24" s="6"/>
      <c r="V24" s="6"/>
      <c r="W24" s="6"/>
      <c r="X24" s="6"/>
      <c r="Y24" s="6"/>
      <c r="Z24" s="6"/>
      <c r="AA24" s="6"/>
      <c r="AB24" s="6"/>
      <c r="AC24" s="6"/>
      <c r="AD24" s="6"/>
      <c r="AE24" s="6"/>
    </row>
    <row r="25" spans="1:31" ht="13.5" thickTop="1">
      <c r="A25" s="124"/>
      <c r="B25" s="75"/>
      <c r="C25" s="73"/>
      <c r="D25" s="74"/>
      <c r="E25" s="124"/>
      <c r="F25" s="73"/>
      <c r="G25" s="76"/>
      <c r="H25" s="124"/>
      <c r="I25" s="73"/>
      <c r="J25" s="76"/>
      <c r="K25" s="441"/>
      <c r="L25" s="73"/>
      <c r="M25" s="76"/>
      <c r="N25" s="124"/>
      <c r="O25" s="73"/>
      <c r="P25" s="76"/>
      <c r="Q25" s="124"/>
      <c r="R25" s="73"/>
      <c r="S25" s="76"/>
      <c r="T25" s="8"/>
      <c r="U25" s="6"/>
      <c r="V25" s="6"/>
      <c r="W25" s="6"/>
      <c r="X25" s="6"/>
      <c r="Y25" s="6"/>
      <c r="Z25" s="6"/>
      <c r="AA25" s="6"/>
      <c r="AB25" s="6"/>
      <c r="AC25" s="6"/>
      <c r="AD25" s="6"/>
      <c r="AE25" s="6"/>
    </row>
    <row r="26" spans="1:31">
      <c r="A26" s="214"/>
      <c r="B26" s="38"/>
      <c r="C26" s="38"/>
      <c r="D26" s="38"/>
      <c r="E26" s="214"/>
      <c r="F26" s="38"/>
      <c r="G26" s="38"/>
      <c r="H26" s="214"/>
      <c r="I26" s="38"/>
      <c r="J26" s="38"/>
      <c r="K26" s="441"/>
      <c r="L26" s="38"/>
      <c r="M26" s="38"/>
      <c r="N26" s="214"/>
      <c r="O26" s="38"/>
      <c r="P26" s="38"/>
      <c r="Q26" s="214"/>
      <c r="R26" s="38"/>
      <c r="S26" s="38"/>
    </row>
    <row r="27" spans="1:31" hidden="1">
      <c r="B27" s="38"/>
      <c r="C27" s="38">
        <f>C4+6</f>
        <v>8</v>
      </c>
      <c r="D27" s="38">
        <f>D4+6</f>
        <v>8</v>
      </c>
      <c r="E27" s="38"/>
      <c r="F27" s="38">
        <f>F4+6</f>
        <v>9</v>
      </c>
      <c r="G27" s="38">
        <f>G4+6</f>
        <v>9</v>
      </c>
      <c r="H27" s="38"/>
      <c r="I27" s="38">
        <f>I4+6</f>
        <v>10</v>
      </c>
      <c r="J27" s="38">
        <f>J4+6</f>
        <v>10</v>
      </c>
      <c r="K27" s="38"/>
      <c r="L27" s="38">
        <f>L4+6</f>
        <v>11</v>
      </c>
      <c r="M27" s="38">
        <f>M4+6</f>
        <v>11</v>
      </c>
      <c r="N27" s="38"/>
      <c r="O27" s="38">
        <f>O4+6</f>
        <v>12</v>
      </c>
      <c r="P27" s="38">
        <f>P4+6</f>
        <v>12</v>
      </c>
      <c r="Q27" s="38"/>
      <c r="R27" s="38">
        <f>R4+6</f>
        <v>13</v>
      </c>
      <c r="S27" s="38">
        <f>S4+6</f>
        <v>13</v>
      </c>
    </row>
    <row r="28" spans="1:31">
      <c r="A28" s="72"/>
      <c r="B28" s="305"/>
      <c r="C28" s="305" t="s">
        <v>59</v>
      </c>
      <c r="D28" s="642">
        <f>DATE(YEAR($H$3),1,1)</f>
        <v>44562</v>
      </c>
      <c r="E28" s="305"/>
      <c r="F28" s="305" t="s">
        <v>60</v>
      </c>
      <c r="G28" s="642">
        <f>DATE(YEAR($H$3),1,1)</f>
        <v>44562</v>
      </c>
      <c r="H28" s="305"/>
      <c r="I28" s="305" t="s">
        <v>61</v>
      </c>
      <c r="J28" s="642">
        <f>DATE(YEAR($H$3),1,1)</f>
        <v>44562</v>
      </c>
      <c r="K28" s="305"/>
      <c r="L28" s="305" t="s">
        <v>62</v>
      </c>
      <c r="M28" s="642">
        <f>DATE(YEAR($H$3),1,1)</f>
        <v>44562</v>
      </c>
      <c r="N28" s="305"/>
      <c r="O28" s="305" t="s">
        <v>63</v>
      </c>
      <c r="P28" s="642">
        <f>DATE(YEAR($H$3),1,1)</f>
        <v>44562</v>
      </c>
      <c r="Q28" s="305"/>
      <c r="R28" s="305" t="s">
        <v>64</v>
      </c>
      <c r="S28" s="642">
        <f>DATE(YEAR($H$3),1,1)</f>
        <v>44562</v>
      </c>
      <c r="T28" s="112"/>
      <c r="U28" s="112"/>
    </row>
    <row r="29" spans="1:31" ht="42">
      <c r="A29" s="494" t="s">
        <v>46</v>
      </c>
      <c r="B29" s="497" t="s">
        <v>6</v>
      </c>
      <c r="C29" s="491" t="s">
        <v>48</v>
      </c>
      <c r="D29" s="492" t="s">
        <v>49</v>
      </c>
      <c r="E29" s="497" t="s">
        <v>6</v>
      </c>
      <c r="F29" s="491" t="s">
        <v>48</v>
      </c>
      <c r="G29" s="492" t="s">
        <v>49</v>
      </c>
      <c r="H29" s="497" t="s">
        <v>6</v>
      </c>
      <c r="I29" s="491" t="s">
        <v>48</v>
      </c>
      <c r="J29" s="492" t="s">
        <v>49</v>
      </c>
      <c r="K29" s="497" t="s">
        <v>6</v>
      </c>
      <c r="L29" s="491" t="s">
        <v>48</v>
      </c>
      <c r="M29" s="492" t="s">
        <v>49</v>
      </c>
      <c r="N29" s="497" t="s">
        <v>6</v>
      </c>
      <c r="O29" s="491" t="s">
        <v>48</v>
      </c>
      <c r="P29" s="492" t="s">
        <v>49</v>
      </c>
      <c r="Q29" s="497" t="s">
        <v>6</v>
      </c>
      <c r="R29" s="491" t="s">
        <v>65</v>
      </c>
      <c r="S29" s="492" t="s">
        <v>66</v>
      </c>
      <c r="T29" s="492" t="s">
        <v>50</v>
      </c>
      <c r="V29" s="10"/>
    </row>
    <row r="30" spans="1:31">
      <c r="A30" s="494" t="s">
        <v>51</v>
      </c>
      <c r="B30" s="497"/>
      <c r="C30" s="495"/>
      <c r="D30" s="498"/>
      <c r="E30" s="497"/>
      <c r="F30" s="495"/>
      <c r="G30" s="498"/>
      <c r="H30" s="497"/>
      <c r="I30" s="495"/>
      <c r="J30" s="495"/>
      <c r="K30" s="497"/>
      <c r="L30" s="495"/>
      <c r="M30" s="498"/>
      <c r="N30" s="497"/>
      <c r="O30" s="495"/>
      <c r="P30" s="498"/>
      <c r="Q30" s="497"/>
      <c r="R30" s="495"/>
      <c r="S30" s="498"/>
      <c r="T30" s="499"/>
    </row>
    <row r="31" spans="1:31">
      <c r="A31" s="69" t="s">
        <v>8</v>
      </c>
      <c r="B31" s="95"/>
      <c r="C31" s="259">
        <f>B31*(INDEX('Ex ante LI &amp; Eligibility Stats'!$A:$M,MATCH('Program MW '!$A31,'Ex ante LI &amp; Eligibility Stats'!$A:$A,0),MATCH('Program MW '!C$28,'Ex ante LI &amp; Eligibility Stats'!$A$8:$M$8,0))/1000)</f>
        <v>0</v>
      </c>
      <c r="D31" s="259">
        <f>B31*(INDEX('Ex post LI &amp; Eligibility Stats'!$A:$N,MATCH($A31,'Ex post LI &amp; Eligibility Stats'!$A:$A,0),MATCH('Program MW '!C$28,'Ex post LI &amp; Eligibility Stats'!$A$8:$N$8,0))/1000)</f>
        <v>0</v>
      </c>
      <c r="E31" s="93"/>
      <c r="F31" s="259">
        <f>E31*(INDEX('Ex ante LI &amp; Eligibility Stats'!$A:$M,MATCH('Program MW '!$A31,'Ex ante LI &amp; Eligibility Stats'!$A:$A,0),MATCH('Program MW '!F$28,'Ex ante LI &amp; Eligibility Stats'!$A$8:$M$8,0))/1000)</f>
        <v>0</v>
      </c>
      <c r="G31" s="259">
        <f>E31*(INDEX('Ex post LI &amp; Eligibility Stats'!$A:$N,MATCH($A31,'Ex post LI &amp; Eligibility Stats'!$A:$A,0),MATCH('Program MW '!F$28,'Ex post LI &amp; Eligibility Stats'!$A$8:$N$8,0))/1000)</f>
        <v>0</v>
      </c>
      <c r="H31" s="441"/>
      <c r="I31" s="259">
        <f>H31*(INDEX('Ex ante LI &amp; Eligibility Stats'!$A:$M,MATCH('Program MW '!$A31,'Ex ante LI &amp; Eligibility Stats'!$A:$A,0),MATCH('Program MW '!I$28,'Ex ante LI &amp; Eligibility Stats'!$A$8:$M$8,0))/1000)</f>
        <v>0</v>
      </c>
      <c r="J31" s="259">
        <f>H31*(INDEX('Ex post LI &amp; Eligibility Stats'!$A:$N,MATCH($A31,'Ex post LI &amp; Eligibility Stats'!$A:$A,0),MATCH('Program MW '!I$28,'Ex post LI &amp; Eligibility Stats'!$A$8:$N$8,0))/1000)</f>
        <v>0</v>
      </c>
      <c r="K31" s="510"/>
      <c r="L31" s="259">
        <f>K31*(INDEX('Ex ante LI &amp; Eligibility Stats'!$A:$M,MATCH('Program MW '!$A31,'Ex ante LI &amp; Eligibility Stats'!$A:$A,0),MATCH('Program MW '!L$28,'Ex ante LI &amp; Eligibility Stats'!$A$8:$M$8,0))/1000)</f>
        <v>0</v>
      </c>
      <c r="M31" s="259">
        <f>K31*(INDEX('Ex post LI &amp; Eligibility Stats'!$A:$N,MATCH($A31,'Ex post LI &amp; Eligibility Stats'!$A:$A,0),MATCH('Program MW '!L$28,'Ex post LI &amp; Eligibility Stats'!$A$8:$N$8,0))/1000)</f>
        <v>0</v>
      </c>
      <c r="N31" s="93"/>
      <c r="O31" s="259">
        <f>N31*(INDEX('Ex ante LI &amp; Eligibility Stats'!$A:$M,MATCH('Program MW '!$A31,'Ex ante LI &amp; Eligibility Stats'!$A:$A,0),MATCH('Program MW '!O$28,'Ex ante LI &amp; Eligibility Stats'!$A$8:$M$8,0))/1000)</f>
        <v>0</v>
      </c>
      <c r="P31" s="259">
        <f>N31*(INDEX('Ex post LI &amp; Eligibility Stats'!$A:$N,MATCH($A31,'Ex post LI &amp; Eligibility Stats'!$A:$A,0),MATCH('Program MW '!O$28,'Ex post LI &amp; Eligibility Stats'!$A$8:$N$8,0))/1000)</f>
        <v>0</v>
      </c>
      <c r="Q31" s="93"/>
      <c r="R31" s="259">
        <f>Q31*(INDEX('Ex ante LI &amp; Eligibility Stats'!$A:$M,MATCH('Program MW '!$A31,'Ex ante LI &amp; Eligibility Stats'!$A:$A,0),MATCH('Program MW '!R$28,'Ex ante LI &amp; Eligibility Stats'!$A$8:$M$8,0))/1000)</f>
        <v>0</v>
      </c>
      <c r="S31" s="259">
        <f>Q31*(INDEX('Ex post LI &amp; Eligibility Stats'!$A:$N,MATCH($A31,'Ex post LI &amp; Eligibility Stats'!$A:$A,0),MATCH('Program MW '!R$28,'Ex post LI &amp; Eligibility Stats'!$A$8:$N$8,0))/1000)</f>
        <v>0</v>
      </c>
      <c r="T31" s="4">
        <v>5276</v>
      </c>
    </row>
    <row r="32" spans="1:31" ht="13.5" thickBot="1">
      <c r="A32" s="136" t="s">
        <v>52</v>
      </c>
      <c r="B32" s="121">
        <f t="shared" ref="B32:K32" si="5">SUM(B31:B31)</f>
        <v>0</v>
      </c>
      <c r="C32" s="202">
        <f t="shared" si="5"/>
        <v>0</v>
      </c>
      <c r="D32" s="203">
        <f t="shared" si="5"/>
        <v>0</v>
      </c>
      <c r="E32" s="94">
        <f t="shared" si="5"/>
        <v>0</v>
      </c>
      <c r="F32" s="202">
        <f t="shared" ref="F32:G32" si="6">SUM(F31:F31)</f>
        <v>0</v>
      </c>
      <c r="G32" s="203">
        <f t="shared" si="6"/>
        <v>0</v>
      </c>
      <c r="H32" s="94">
        <f t="shared" si="5"/>
        <v>0</v>
      </c>
      <c r="I32" s="202">
        <f t="shared" si="5"/>
        <v>0</v>
      </c>
      <c r="J32" s="203">
        <f t="shared" si="5"/>
        <v>0</v>
      </c>
      <c r="K32" s="94">
        <f t="shared" si="5"/>
        <v>0</v>
      </c>
      <c r="L32" s="202">
        <f t="shared" ref="L32:M32" si="7">SUM(L31:L31)</f>
        <v>0</v>
      </c>
      <c r="M32" s="203">
        <f t="shared" si="7"/>
        <v>0</v>
      </c>
      <c r="N32" s="94">
        <f t="shared" ref="N32:Q32" si="8">SUM(N31:N31)</f>
        <v>0</v>
      </c>
      <c r="O32" s="202">
        <f t="shared" ref="O32:P32" si="9">SUM(O31:O31)</f>
        <v>0</v>
      </c>
      <c r="P32" s="203">
        <f t="shared" si="9"/>
        <v>0</v>
      </c>
      <c r="Q32" s="94">
        <f t="shared" si="8"/>
        <v>0</v>
      </c>
      <c r="R32" s="202">
        <f t="shared" ref="R32:S32" si="10">SUM(R31:R31)</f>
        <v>0</v>
      </c>
      <c r="S32" s="203">
        <f t="shared" si="10"/>
        <v>0</v>
      </c>
      <c r="T32" s="5"/>
    </row>
    <row r="33" spans="1:26" ht="13.5" thickTop="1">
      <c r="A33" s="494" t="s">
        <v>53</v>
      </c>
      <c r="B33" s="505"/>
      <c r="C33" s="503"/>
      <c r="D33" s="137"/>
      <c r="E33" s="505"/>
      <c r="F33" s="503"/>
      <c r="G33" s="137"/>
      <c r="H33" s="505"/>
      <c r="I33" s="503"/>
      <c r="J33" s="137"/>
      <c r="K33" s="505"/>
      <c r="L33" s="503"/>
      <c r="M33" s="137"/>
      <c r="N33" s="505"/>
      <c r="O33" s="503"/>
      <c r="P33" s="137"/>
      <c r="Q33" s="505"/>
      <c r="R33" s="503"/>
      <c r="S33" s="137"/>
      <c r="T33" s="499"/>
    </row>
    <row r="34" spans="1:26">
      <c r="A34" s="39" t="s">
        <v>11</v>
      </c>
      <c r="B34" s="506"/>
      <c r="C34" s="259">
        <f>B34*(INDEX('Ex ante LI &amp; Eligibility Stats'!$A:$M,MATCH('Program MW '!$A34,'Ex ante LI &amp; Eligibility Stats'!$A:$A,0),MATCH('Program MW '!C$28,'Ex ante LI &amp; Eligibility Stats'!$A$8:$M$8,0))/1000)</f>
        <v>0</v>
      </c>
      <c r="D34" s="507">
        <f>B34*(INDEX('Ex post LI &amp; Eligibility Stats'!$A:$N,MATCH($A34,'Ex post LI &amp; Eligibility Stats'!$A:$A,0),MATCH('Program MW '!C$28,'Ex post LI &amp; Eligibility Stats'!$A$8:$N$8,0))/1000)</f>
        <v>0</v>
      </c>
      <c r="E34" s="506"/>
      <c r="F34" s="259">
        <f>E34*(INDEX('Ex ante LI &amp; Eligibility Stats'!$A:$M,MATCH('Program MW '!$A34,'Ex ante LI &amp; Eligibility Stats'!$A:$A,0),MATCH('Program MW '!F$28,'Ex ante LI &amp; Eligibility Stats'!$A$8:$M$8,0))/1000)</f>
        <v>0</v>
      </c>
      <c r="G34" s="507">
        <f>E34*(INDEX('Ex post LI &amp; Eligibility Stats'!$A:$N,MATCH($A34,'Ex post LI &amp; Eligibility Stats'!$A:$A,0),MATCH('Program MW '!F$28,'Ex post LI &amp; Eligibility Stats'!$A$8:$N$8,0))/1000)</f>
        <v>0</v>
      </c>
      <c r="H34" s="506"/>
      <c r="I34" s="259">
        <f>H34*(INDEX('Ex ante LI &amp; Eligibility Stats'!$A:$M,MATCH('Program MW '!$A34,'Ex ante LI &amp; Eligibility Stats'!$A:$A,0),MATCH('Program MW '!I$28,'Ex ante LI &amp; Eligibility Stats'!$A$8:$M$8,0))/1000)</f>
        <v>0</v>
      </c>
      <c r="J34" s="507">
        <f>H34*(INDEX('Ex post LI &amp; Eligibility Stats'!$A:$N,MATCH($A34,'Ex post LI &amp; Eligibility Stats'!$A:$A,0),MATCH('Program MW '!I$28,'Ex post LI &amp; Eligibility Stats'!$A$8:$N$8,0))/1000)</f>
        <v>0</v>
      </c>
      <c r="K34" s="506"/>
      <c r="L34" s="259">
        <f>K34*(INDEX('Ex ante LI &amp; Eligibility Stats'!$A:$M,MATCH('Program MW '!$A34,'Ex ante LI &amp; Eligibility Stats'!$A:$A,0),MATCH('Program MW '!L$28,'Ex ante LI &amp; Eligibility Stats'!$A$8:$M$8,0))/1000)</f>
        <v>0</v>
      </c>
      <c r="M34" s="507">
        <f>K34*(INDEX('Ex post LI &amp; Eligibility Stats'!$A:$N,MATCH($A34,'Ex post LI &amp; Eligibility Stats'!$A:$A,0),MATCH('Program MW '!L$28,'Ex post LI &amp; Eligibility Stats'!$A$8:$N$8,0))/1000)</f>
        <v>0</v>
      </c>
      <c r="N34" s="506"/>
      <c r="O34" s="259">
        <f>N34*(INDEX('Ex ante LI &amp; Eligibility Stats'!$A:$M,MATCH('Program MW '!$A34,'Ex ante LI &amp; Eligibility Stats'!$A:$A,0),MATCH('Program MW '!O$28,'Ex ante LI &amp; Eligibility Stats'!$A$8:$M$8,0))/1000)</f>
        <v>0</v>
      </c>
      <c r="P34" s="507">
        <f>N34*(INDEX('Ex post LI &amp; Eligibility Stats'!$A:$N,MATCH($A34,'Ex post LI &amp; Eligibility Stats'!$A:$A,0),MATCH('Program MW '!O$28,'Ex post LI &amp; Eligibility Stats'!$A$8:$N$8,0))/1000)</f>
        <v>0</v>
      </c>
      <c r="Q34" s="506"/>
      <c r="R34" s="259">
        <f>Q34*(INDEX('Ex ante LI &amp; Eligibility Stats'!$A:$M,MATCH('Program MW '!$A34,'Ex ante LI &amp; Eligibility Stats'!$A:$A,0),MATCH('Program MW '!R$28,'Ex ante LI &amp; Eligibility Stats'!$A$8:$M$8,0))/1000)</f>
        <v>0</v>
      </c>
      <c r="S34" s="507">
        <f>Q34*(INDEX('Ex post LI &amp; Eligibility Stats'!$A:$N,MATCH($A34,'Ex post LI &amp; Eligibility Stats'!$A:$A,0),MATCH('Program MW '!R$28,'Ex post LI &amp; Eligibility Stats'!$A$8:$N$8,0))/1000)</f>
        <v>0</v>
      </c>
      <c r="T34" s="509">
        <v>138123</v>
      </c>
    </row>
    <row r="35" spans="1:26" ht="13.5">
      <c r="A35" s="152" t="s">
        <v>54</v>
      </c>
      <c r="B35" s="153"/>
      <c r="C35" s="259">
        <v>0</v>
      </c>
      <c r="D35" s="260">
        <v>0</v>
      </c>
      <c r="E35" s="153"/>
      <c r="F35" s="259">
        <v>0</v>
      </c>
      <c r="G35" s="260">
        <v>0</v>
      </c>
      <c r="H35" s="153"/>
      <c r="I35" s="259">
        <v>0</v>
      </c>
      <c r="J35" s="260">
        <v>0</v>
      </c>
      <c r="K35" s="153"/>
      <c r="L35" s="259">
        <v>0</v>
      </c>
      <c r="M35" s="260">
        <v>0</v>
      </c>
      <c r="N35" s="153"/>
      <c r="O35" s="259">
        <v>0</v>
      </c>
      <c r="P35" s="260">
        <v>0</v>
      </c>
      <c r="Q35" s="153"/>
      <c r="R35" s="259">
        <v>0</v>
      </c>
      <c r="S35" s="260">
        <v>0</v>
      </c>
      <c r="T35" s="4"/>
    </row>
    <row r="36" spans="1:26">
      <c r="A36" s="152" t="s">
        <v>281</v>
      </c>
      <c r="B36" s="153"/>
      <c r="C36" s="259"/>
      <c r="D36" s="260"/>
      <c r="E36" s="153"/>
      <c r="F36" s="259"/>
      <c r="G36" s="260"/>
      <c r="H36" s="153"/>
      <c r="I36" s="259"/>
      <c r="J36" s="260"/>
      <c r="K36" s="153"/>
      <c r="L36" s="259"/>
      <c r="M36" s="260"/>
      <c r="N36" s="153"/>
      <c r="O36" s="259"/>
      <c r="P36" s="260"/>
      <c r="Q36" s="153"/>
      <c r="R36" s="259"/>
      <c r="S36" s="260"/>
      <c r="T36" s="4"/>
    </row>
    <row r="37" spans="1:26">
      <c r="A37" s="216" t="s">
        <v>17</v>
      </c>
      <c r="B37" s="124"/>
      <c r="C37" s="259">
        <f>B37*(INDEX('Ex ante LI &amp; Eligibility Stats'!$A:$M,MATCH('Program MW '!$A37,'Ex ante LI &amp; Eligibility Stats'!$A:$A,0),MATCH('Program MW '!C$28,'Ex ante LI &amp; Eligibility Stats'!$A$8:$M$8,0))/1000)</f>
        <v>0</v>
      </c>
      <c r="D37" s="260">
        <f>B37*(INDEX('Ex post LI &amp; Eligibility Stats'!$A:$N,MATCH($A37,'Ex post LI &amp; Eligibility Stats'!$A:$A,0),MATCH('Program MW '!C$28,'Ex post LI &amp; Eligibility Stats'!$A$8:$N$8,0))/1000)</f>
        <v>0</v>
      </c>
      <c r="E37" s="124"/>
      <c r="F37" s="259">
        <f>E37*(INDEX('Ex ante LI &amp; Eligibility Stats'!$A:$M,MATCH('Program MW '!$A37,'Ex ante LI &amp; Eligibility Stats'!$A:$A,0),MATCH('Program MW '!F$28,'Ex ante LI &amp; Eligibility Stats'!$A$8:$M$8,0))/1000)</f>
        <v>0</v>
      </c>
      <c r="G37" s="260">
        <f>E37*(INDEX('Ex post LI &amp; Eligibility Stats'!$A:$N,MATCH($A37,'Ex post LI &amp; Eligibility Stats'!$A:$A,0),MATCH('Program MW '!F$28,'Ex post LI &amp; Eligibility Stats'!$A$8:$N$8,0))/1000)</f>
        <v>0</v>
      </c>
      <c r="H37" s="124"/>
      <c r="I37" s="259">
        <f>H37*(INDEX('Ex ante LI &amp; Eligibility Stats'!$A:$M,MATCH('Program MW '!$A37,'Ex ante LI &amp; Eligibility Stats'!$A:$A,0),MATCH('Program MW '!I$28,'Ex ante LI &amp; Eligibility Stats'!$A$8:$M$8,0))/1000)</f>
        <v>0</v>
      </c>
      <c r="J37" s="260">
        <f>H37*(INDEX('Ex post LI &amp; Eligibility Stats'!$A:$N,MATCH($A37,'Ex post LI &amp; Eligibility Stats'!$A:$A,0),MATCH('Program MW '!I$28,'Ex post LI &amp; Eligibility Stats'!$A$8:$N$8,0))/1000)</f>
        <v>0</v>
      </c>
      <c r="K37" s="124"/>
      <c r="L37" s="259">
        <f>K37*(INDEX('Ex ante LI &amp; Eligibility Stats'!$A:$M,MATCH('Program MW '!$A37,'Ex ante LI &amp; Eligibility Stats'!$A:$A,0),MATCH('Program MW '!L$28,'Ex ante LI &amp; Eligibility Stats'!$A$8:$M$8,0))/1000)</f>
        <v>0</v>
      </c>
      <c r="M37" s="260">
        <f>K37*(INDEX('Ex post LI &amp; Eligibility Stats'!$A:$N,MATCH($A37,'Ex post LI &amp; Eligibility Stats'!$A:$A,0),MATCH('Program MW '!L$28,'Ex post LI &amp; Eligibility Stats'!$A$8:$N$8,0))/1000)</f>
        <v>0</v>
      </c>
      <c r="N37" s="124"/>
      <c r="O37" s="371">
        <f>N37*(INDEX('Ex ante LI &amp; Eligibility Stats'!$A:$M,MATCH('Program MW '!$A37,'Ex ante LI &amp; Eligibility Stats'!$A:$A,0),MATCH('Program MW '!O$28,'Ex ante LI &amp; Eligibility Stats'!$A$8:$M$8,0))/1000)</f>
        <v>0</v>
      </c>
      <c r="P37" s="260">
        <f>N37*(INDEX('Ex post LI &amp; Eligibility Stats'!$A:$N,MATCH($A37,'Ex post LI &amp; Eligibility Stats'!$A:$A,0),MATCH('Program MW '!O$28,'Ex post LI &amp; Eligibility Stats'!$A$8:$N$8,0))/1000)</f>
        <v>0</v>
      </c>
      <c r="Q37" s="124"/>
      <c r="R37" s="259">
        <f>Q37*(INDEX('Ex ante LI &amp; Eligibility Stats'!$A:$M,MATCH('Program MW '!$A37,'Ex ante LI &amp; Eligibility Stats'!$A:$A,0),MATCH('Program MW '!R$28,'Ex ante LI &amp; Eligibility Stats'!$A$8:$M$8,0))/1000)</f>
        <v>0</v>
      </c>
      <c r="S37" s="260">
        <f>Q37*(INDEX('Ex post LI &amp; Eligibility Stats'!$A:$N,MATCH($A37,'Ex post LI &amp; Eligibility Stats'!$A:$A,0),MATCH('Program MW '!R$28,'Ex post LI &amp; Eligibility Stats'!$A$8:$N$8,0))/1000)</f>
        <v>0</v>
      </c>
      <c r="T37" s="4">
        <v>663393.5</v>
      </c>
    </row>
    <row r="38" spans="1:26">
      <c r="A38" s="216" t="s">
        <v>20</v>
      </c>
      <c r="B38" s="124"/>
      <c r="C38" s="259">
        <f>B38*(INDEX('Ex ante LI &amp; Eligibility Stats'!$A:$M,MATCH('Program MW '!$A38,'Ex ante LI &amp; Eligibility Stats'!$A:$A,0),MATCH('Program MW '!C$28,'Ex ante LI &amp; Eligibility Stats'!$A$8:$M$8,0))/1000)</f>
        <v>0</v>
      </c>
      <c r="D38" s="260">
        <f>B38*(INDEX('Ex post LI &amp; Eligibility Stats'!$A:$N,MATCH($A38,'Ex post LI &amp; Eligibility Stats'!$A:$A,0),MATCH('Program MW '!C$28,'Ex post LI &amp; Eligibility Stats'!$A$8:$N$8,0))/1000)</f>
        <v>0</v>
      </c>
      <c r="E38" s="124"/>
      <c r="F38" s="259">
        <f>E38*(INDEX('Ex ante LI &amp; Eligibility Stats'!$A:$M,MATCH('Program MW '!$A38,'Ex ante LI &amp; Eligibility Stats'!$A:$A,0),MATCH('Program MW '!F$28,'Ex ante LI &amp; Eligibility Stats'!$A$8:$M$8,0))/1000)</f>
        <v>0</v>
      </c>
      <c r="G38" s="260">
        <f>E38*(INDEX('Ex post LI &amp; Eligibility Stats'!$A:$N,MATCH($A38,'Ex post LI &amp; Eligibility Stats'!$A:$A,0),MATCH('Program MW '!F$28,'Ex post LI &amp; Eligibility Stats'!$A$8:$N$8,0))/1000)</f>
        <v>0</v>
      </c>
      <c r="H38" s="124"/>
      <c r="I38" s="259">
        <f>H38*(INDEX('Ex ante LI &amp; Eligibility Stats'!$A:$M,MATCH('Program MW '!$A38,'Ex ante LI &amp; Eligibility Stats'!$A:$A,0),MATCH('Program MW '!I$28,'Ex ante LI &amp; Eligibility Stats'!$A$8:$M$8,0))/1000)</f>
        <v>0</v>
      </c>
      <c r="J38" s="260">
        <f>H38*(INDEX('Ex post LI &amp; Eligibility Stats'!$A:$N,MATCH($A38,'Ex post LI &amp; Eligibility Stats'!$A:$A,0),MATCH('Program MW '!I$28,'Ex post LI &amp; Eligibility Stats'!$A$8:$N$8,0))/1000)</f>
        <v>0</v>
      </c>
      <c r="K38" s="124"/>
      <c r="L38" s="259">
        <f>K38*(INDEX('Ex ante LI &amp; Eligibility Stats'!$A:$M,MATCH('Program MW '!$A38,'Ex ante LI &amp; Eligibility Stats'!$A:$A,0),MATCH('Program MW '!L$28,'Ex ante LI &amp; Eligibility Stats'!$A$8:$M$8,0))/1000)</f>
        <v>0</v>
      </c>
      <c r="M38" s="260">
        <f>K38*(INDEX('Ex post LI &amp; Eligibility Stats'!$A:$N,MATCH($A38,'Ex post LI &amp; Eligibility Stats'!$A:$A,0),MATCH('Program MW '!L$28,'Ex post LI &amp; Eligibility Stats'!$A$8:$N$8,0))/1000)</f>
        <v>0</v>
      </c>
      <c r="N38" s="124"/>
      <c r="O38" s="259">
        <f>N38*(INDEX('Ex ante LI &amp; Eligibility Stats'!$A:$M,MATCH('Program MW '!$A38,'Ex ante LI &amp; Eligibility Stats'!$A:$A,0),MATCH('Program MW '!O$28,'Ex ante LI &amp; Eligibility Stats'!$A$8:$M$8,0))/1000)</f>
        <v>0</v>
      </c>
      <c r="P38" s="260">
        <f>N38*(INDEX('Ex post LI &amp; Eligibility Stats'!$A:$N,MATCH($A38,'Ex post LI &amp; Eligibility Stats'!$A:$A,0),MATCH('Program MW '!O$28,'Ex post LI &amp; Eligibility Stats'!$A$8:$N$8,0))/1000)</f>
        <v>0</v>
      </c>
      <c r="Q38" s="124"/>
      <c r="R38" s="259">
        <f>Q38*(INDEX('Ex ante LI &amp; Eligibility Stats'!$A:$M,MATCH('Program MW '!$A38,'Ex ante LI &amp; Eligibility Stats'!$A:$A,0),MATCH('Program MW '!R$28,'Ex ante LI &amp; Eligibility Stats'!$A$8:$M$8,0))/1000)</f>
        <v>0</v>
      </c>
      <c r="S38" s="260">
        <f>Q38*(INDEX('Ex post LI &amp; Eligibility Stats'!$A:$N,MATCH($A38,'Ex post LI &amp; Eligibility Stats'!$A:$A,0),MATCH('Program MW '!R$28,'Ex post LI &amp; Eligibility Stats'!$A$8:$N$8,0))/1000)</f>
        <v>0</v>
      </c>
      <c r="T38" s="4"/>
    </row>
    <row r="39" spans="1:26">
      <c r="A39" s="216" t="s">
        <v>21</v>
      </c>
      <c r="B39" s="93"/>
      <c r="C39" s="259">
        <f>B39*(INDEX('Ex ante LI &amp; Eligibility Stats'!$A:$M,MATCH('Program MW '!$A39,'Ex ante LI &amp; Eligibility Stats'!$A:$A,0),MATCH('Program MW '!C$28,'Ex ante LI &amp; Eligibility Stats'!$A$8:$M$8,0))/1000)</f>
        <v>0</v>
      </c>
      <c r="D39" s="260">
        <f>B39*(INDEX('Ex post LI &amp; Eligibility Stats'!$A:$N,MATCH($A39,'Ex post LI &amp; Eligibility Stats'!$A:$A,0),MATCH('Program MW '!C$28,'Ex post LI &amp; Eligibility Stats'!$A$8:$N$8,0))/1000)</f>
        <v>0</v>
      </c>
      <c r="E39" s="93"/>
      <c r="F39" s="259">
        <f>E39*(INDEX('Ex ante LI &amp; Eligibility Stats'!$A:$M,MATCH('Program MW '!$A39,'Ex ante LI &amp; Eligibility Stats'!$A:$A,0),MATCH('Program MW '!F$28,'Ex ante LI &amp; Eligibility Stats'!$A$8:$M$8,0))/1000)</f>
        <v>0</v>
      </c>
      <c r="G39" s="260">
        <f>E39*(INDEX('Ex post LI &amp; Eligibility Stats'!$A:$N,MATCH($A39,'Ex post LI &amp; Eligibility Stats'!$A:$A,0),MATCH('Program MW '!F$28,'Ex post LI &amp; Eligibility Stats'!$A$8:$N$8,0))/1000)</f>
        <v>0</v>
      </c>
      <c r="H39" s="93"/>
      <c r="I39" s="259">
        <f>H39*(INDEX('Ex ante LI &amp; Eligibility Stats'!$A:$M,MATCH('Program MW '!$A39,'Ex ante LI &amp; Eligibility Stats'!$A:$A,0),MATCH('Program MW '!I$28,'Ex ante LI &amp; Eligibility Stats'!$A$8:$M$8,0))/1000)</f>
        <v>0</v>
      </c>
      <c r="J39" s="260">
        <f>H39*(INDEX('Ex post LI &amp; Eligibility Stats'!$A:$N,MATCH($A39,'Ex post LI &amp; Eligibility Stats'!$A:$A,0),MATCH('Program MW '!I$28,'Ex post LI &amp; Eligibility Stats'!$A$8:$N$8,0))/1000)</f>
        <v>0</v>
      </c>
      <c r="K39" s="93"/>
      <c r="L39" s="259">
        <f>K39*(INDEX('Ex ante LI &amp; Eligibility Stats'!$A:$M,MATCH('Program MW '!$A39,'Ex ante LI &amp; Eligibility Stats'!$A:$A,0),MATCH('Program MW '!L$28,'Ex ante LI &amp; Eligibility Stats'!$A$8:$M$8,0))/1000)</f>
        <v>0</v>
      </c>
      <c r="M39" s="260">
        <f>K39*(INDEX('Ex post LI &amp; Eligibility Stats'!$A:$N,MATCH($A39,'Ex post LI &amp; Eligibility Stats'!$A:$A,0),MATCH('Program MW '!L$28,'Ex post LI &amp; Eligibility Stats'!$A$8:$N$8,0))/1000)</f>
        <v>0</v>
      </c>
      <c r="N39" s="93"/>
      <c r="O39" s="259">
        <f>N39*(INDEX('Ex ante LI &amp; Eligibility Stats'!$A:$M,MATCH('Program MW '!$A39,'Ex ante LI &amp; Eligibility Stats'!$A:$A,0),MATCH('Program MW '!O$28,'Ex ante LI &amp; Eligibility Stats'!$A$8:$M$8,0))/1000)</f>
        <v>0</v>
      </c>
      <c r="P39" s="260">
        <f>N39*(INDEX('Ex post LI &amp; Eligibility Stats'!$A:$N,MATCH($A39,'Ex post LI &amp; Eligibility Stats'!$A:$A,0),MATCH('Program MW '!O$28,'Ex post LI &amp; Eligibility Stats'!$A$8:$N$8,0))/1000)</f>
        <v>0</v>
      </c>
      <c r="Q39" s="93"/>
      <c r="R39" s="259">
        <f>Q39*(INDEX('Ex ante LI &amp; Eligibility Stats'!$A:$M,MATCH('Program MW '!$A39,'Ex ante LI &amp; Eligibility Stats'!$A:$A,0),MATCH('Program MW '!R$28,'Ex ante LI &amp; Eligibility Stats'!$A$8:$M$8,0))/1000)</f>
        <v>0</v>
      </c>
      <c r="S39" s="260">
        <f>Q39*(INDEX('Ex post LI &amp; Eligibility Stats'!$A:$N,MATCH($A39,'Ex post LI &amp; Eligibility Stats'!$A:$A,0),MATCH('Program MW '!R$28,'Ex post LI &amp; Eligibility Stats'!$A$8:$N$8,0))/1000)</f>
        <v>0</v>
      </c>
      <c r="T39" s="4">
        <v>157189</v>
      </c>
    </row>
    <row r="40" spans="1:26">
      <c r="A40" s="216" t="s">
        <v>23</v>
      </c>
      <c r="B40" s="93"/>
      <c r="C40" s="259">
        <f>B40*(INDEX('Ex ante LI &amp; Eligibility Stats'!$A:$M,MATCH('Program MW '!$A40,'Ex ante LI &amp; Eligibility Stats'!$A:$A,0),MATCH('Program MW '!C$28,'Ex ante LI &amp; Eligibility Stats'!$A$8:$M$8,0))/1000)</f>
        <v>0</v>
      </c>
      <c r="D40" s="260">
        <f>B40*(INDEX('Ex post LI &amp; Eligibility Stats'!$A:$N,MATCH($A40,'Ex post LI &amp; Eligibility Stats'!$A:$A,0),MATCH('Program MW '!C$28,'Ex post LI &amp; Eligibility Stats'!$A$8:$N$8,0))/1000)</f>
        <v>0</v>
      </c>
      <c r="E40" s="93"/>
      <c r="F40" s="259">
        <f>E40*(INDEX('Ex ante LI &amp; Eligibility Stats'!$A:$M,MATCH('Program MW '!$A40,'Ex ante LI &amp; Eligibility Stats'!$A:$A,0),MATCH('Program MW '!F$28,'Ex ante LI &amp; Eligibility Stats'!$A$8:$M$8,0))/1000)</f>
        <v>0</v>
      </c>
      <c r="G40" s="260">
        <f>E40*(INDEX('Ex post LI &amp; Eligibility Stats'!$A:$N,MATCH($A40,'Ex post LI &amp; Eligibility Stats'!$A:$A,0),MATCH('Program MW '!F$28,'Ex post LI &amp; Eligibility Stats'!$A$8:$N$8,0))/1000)</f>
        <v>0</v>
      </c>
      <c r="H40" s="93"/>
      <c r="I40" s="259">
        <f>H40*(INDEX('Ex ante LI &amp; Eligibility Stats'!$A:$M,MATCH('Program MW '!$A40,'Ex ante LI &amp; Eligibility Stats'!$A:$A,0),MATCH('Program MW '!I$28,'Ex ante LI &amp; Eligibility Stats'!$A$8:$M$8,0))/1000)</f>
        <v>0</v>
      </c>
      <c r="J40" s="260">
        <f>H40*(INDEX('Ex post LI &amp; Eligibility Stats'!$A:$N,MATCH($A40,'Ex post LI &amp; Eligibility Stats'!$A:$A,0),MATCH('Program MW '!I$28,'Ex post LI &amp; Eligibility Stats'!$A$8:$N$8,0))/1000)</f>
        <v>0</v>
      </c>
      <c r="K40" s="93"/>
      <c r="L40" s="259">
        <f>K40*(INDEX('Ex ante LI &amp; Eligibility Stats'!$A:$M,MATCH('Program MW '!$A40,'Ex ante LI &amp; Eligibility Stats'!$A:$A,0),MATCH('Program MW '!L$28,'Ex ante LI &amp; Eligibility Stats'!$A$8:$M$8,0))/1000)</f>
        <v>0</v>
      </c>
      <c r="M40" s="260">
        <f>K40*(INDEX('Ex post LI &amp; Eligibility Stats'!$A:$N,MATCH($A40,'Ex post LI &amp; Eligibility Stats'!$A:$A,0),MATCH('Program MW '!L$28,'Ex post LI &amp; Eligibility Stats'!$A$8:$N$8,0))/1000)</f>
        <v>0</v>
      </c>
      <c r="N40" s="93"/>
      <c r="O40" s="259">
        <f>N40*(INDEX('Ex ante LI &amp; Eligibility Stats'!$A:$M,MATCH('Program MW '!$A40,'Ex ante LI &amp; Eligibility Stats'!$A:$A,0),MATCH('Program MW '!O$28,'Ex ante LI &amp; Eligibility Stats'!$A$8:$M$8,0))/1000)</f>
        <v>0</v>
      </c>
      <c r="P40" s="260">
        <f>N40*(INDEX('Ex post LI &amp; Eligibility Stats'!$A:$N,MATCH($A40,'Ex post LI &amp; Eligibility Stats'!$A:$A,0),MATCH('Program MW '!O$28,'Ex post LI &amp; Eligibility Stats'!$A$8:$N$8,0))/1000)</f>
        <v>0</v>
      </c>
      <c r="Q40" s="93"/>
      <c r="R40" s="259">
        <f>Q40*(INDEX('Ex ante LI &amp; Eligibility Stats'!$A:$M,MATCH('Program MW '!$A40,'Ex ante LI &amp; Eligibility Stats'!$A:$A,0),MATCH('Program MW '!R$28,'Ex ante LI &amp; Eligibility Stats'!$A$8:$M$8,0))/1000)</f>
        <v>0</v>
      </c>
      <c r="S40" s="260">
        <f>Q40*(INDEX('Ex post LI &amp; Eligibility Stats'!$A:$N,MATCH($A40,'Ex post LI &amp; Eligibility Stats'!$A:$A,0),MATCH('Program MW '!R$28,'Ex post LI &amp; Eligibility Stats'!$A$8:$N$8,0))/1000)</f>
        <v>0</v>
      </c>
      <c r="T40" s="4">
        <v>157189</v>
      </c>
    </row>
    <row r="41" spans="1:26">
      <c r="A41" s="69" t="s">
        <v>24</v>
      </c>
      <c r="B41" s="124"/>
      <c r="C41" s="259">
        <f>B41*(INDEX('Ex ante LI &amp; Eligibility Stats'!$A:$M,MATCH('Program MW '!$A41,'Ex ante LI &amp; Eligibility Stats'!$A:$A,0),MATCH('Program MW '!C$28,'Ex ante LI &amp; Eligibility Stats'!$A$8:$M$8,0))/1000)</f>
        <v>0</v>
      </c>
      <c r="D41" s="260">
        <f>B41*(INDEX('Ex post LI &amp; Eligibility Stats'!$A:$N,MATCH($A41,'Ex post LI &amp; Eligibility Stats'!$A:$A,0),MATCH('Program MW '!C$28,'Ex post LI &amp; Eligibility Stats'!$A$8:$N$8,0))/1000)</f>
        <v>0</v>
      </c>
      <c r="E41" s="124"/>
      <c r="F41" s="259">
        <f>E41*(INDEX('Ex ante LI &amp; Eligibility Stats'!$A:$M,MATCH('Program MW '!$A41,'Ex ante LI &amp; Eligibility Stats'!$A:$A,0),MATCH('Program MW '!F$28,'Ex ante LI &amp; Eligibility Stats'!$A$8:$M$8,0))/1000)</f>
        <v>0</v>
      </c>
      <c r="G41" s="260">
        <f>E41*(INDEX('Ex post LI &amp; Eligibility Stats'!$A:$N,MATCH($A41,'Ex post LI &amp; Eligibility Stats'!$A:$A,0),MATCH('Program MW '!F$28,'Ex post LI &amp; Eligibility Stats'!$A$8:$N$8,0))/1000)</f>
        <v>0</v>
      </c>
      <c r="H41" s="153"/>
      <c r="I41" s="259">
        <f>H41*(INDEX('Ex ante LI &amp; Eligibility Stats'!$A:$M,MATCH('Program MW '!$A41,'Ex ante LI &amp; Eligibility Stats'!$A:$A,0),MATCH('Program MW '!I$28,'Ex ante LI &amp; Eligibility Stats'!$A$8:$M$8,0))/1000)</f>
        <v>0</v>
      </c>
      <c r="J41" s="260">
        <f>H41*(INDEX('Ex post LI &amp; Eligibility Stats'!$A:$N,MATCH($A41,'Ex post LI &amp; Eligibility Stats'!$A:$A,0),MATCH('Program MW '!I$28,'Ex post LI &amp; Eligibility Stats'!$A$8:$N$8,0))/1000)</f>
        <v>0</v>
      </c>
      <c r="K41" s="124"/>
      <c r="L41" s="259">
        <f>K41*(INDEX('Ex ante LI &amp; Eligibility Stats'!$A:$M,MATCH('Program MW '!$A41,'Ex ante LI &amp; Eligibility Stats'!$A:$A,0),MATCH('Program MW '!L$28,'Ex ante LI &amp; Eligibility Stats'!$A$8:$M$8,0))/1000)</f>
        <v>0</v>
      </c>
      <c r="M41" s="260">
        <f>K41*(INDEX('Ex post LI &amp; Eligibility Stats'!$A:$N,MATCH($A41,'Ex post LI &amp; Eligibility Stats'!$A:$A,0),MATCH('Program MW '!L$28,'Ex post LI &amp; Eligibility Stats'!$A$8:$N$8,0))/1000)</f>
        <v>0</v>
      </c>
      <c r="N41" s="124"/>
      <c r="O41" s="259">
        <f>N41*(INDEX('Ex ante LI &amp; Eligibility Stats'!$A:$M,MATCH('Program MW '!$A41,'Ex ante LI &amp; Eligibility Stats'!$A:$A,0),MATCH('Program MW '!O$28,'Ex ante LI &amp; Eligibility Stats'!$A$8:$M$8,0))/1000)</f>
        <v>0</v>
      </c>
      <c r="P41" s="260">
        <f>N41*(INDEX('Ex post LI &amp; Eligibility Stats'!$A:$N,MATCH($A41,'Ex post LI &amp; Eligibility Stats'!$A:$A,0),MATCH('Program MW '!O$28,'Ex post LI &amp; Eligibility Stats'!$A$8:$N$8,0))/1000)</f>
        <v>0</v>
      </c>
      <c r="Q41" s="124"/>
      <c r="R41" s="259">
        <f>Q41*(INDEX('Ex ante LI &amp; Eligibility Stats'!$A:$M,MATCH('Program MW '!$A41,'Ex ante LI &amp; Eligibility Stats'!$A:$A,0),MATCH('Program MW '!R$28,'Ex ante LI &amp; Eligibility Stats'!$A$8:$M$8,0))/1000)</f>
        <v>0</v>
      </c>
      <c r="S41" s="260">
        <f>Q41*(INDEX('Ex post LI &amp; Eligibility Stats'!$A:$N,MATCH($A41,'Ex post LI &amp; Eligibility Stats'!$A:$A,0),MATCH('Program MW '!R$28,'Ex post LI &amp; Eligibility Stats'!$A$8:$N$8,0))/1000)</f>
        <v>0</v>
      </c>
      <c r="T41" s="4">
        <v>18875</v>
      </c>
      <c r="V41" s="308" t="s">
        <v>56</v>
      </c>
    </row>
    <row r="42" spans="1:26">
      <c r="A42" s="69" t="s">
        <v>25</v>
      </c>
      <c r="B42" s="124"/>
      <c r="C42" s="259">
        <f>B42*(INDEX('Ex ante LI &amp; Eligibility Stats'!$A:$M,MATCH('Program MW '!$A42,'Ex ante LI &amp; Eligibility Stats'!$A:$A,0),MATCH('Program MW '!C$28,'Ex ante LI &amp; Eligibility Stats'!$A$8:$M$8,0))/1000)</f>
        <v>0</v>
      </c>
      <c r="D42" s="260">
        <f>B42*(INDEX('Ex post LI &amp; Eligibility Stats'!$A:$N,MATCH($A42,'Ex post LI &amp; Eligibility Stats'!$A:$A,0),MATCH('Program MW '!C$28,'Ex post LI &amp; Eligibility Stats'!$A$8:$N$8,0))/1000)</f>
        <v>0</v>
      </c>
      <c r="E42" s="124"/>
      <c r="F42" s="259">
        <f>E42*(INDEX('Ex ante LI &amp; Eligibility Stats'!$A:$M,MATCH('Program MW '!$A42,'Ex ante LI &amp; Eligibility Stats'!$A:$A,0),MATCH('Program MW '!F$28,'Ex ante LI &amp; Eligibility Stats'!$A$8:$M$8,0))/1000)</f>
        <v>0</v>
      </c>
      <c r="G42" s="260">
        <f>E42*(INDEX('Ex post LI &amp; Eligibility Stats'!$A:$N,MATCH($A42,'Ex post LI &amp; Eligibility Stats'!$A:$A,0),MATCH('Program MW '!F$28,'Ex post LI &amp; Eligibility Stats'!$A$8:$N$8,0))/1000)</f>
        <v>0</v>
      </c>
      <c r="H42" s="153"/>
      <c r="I42" s="259">
        <f>H42*(INDEX('Ex ante LI &amp; Eligibility Stats'!$A:$M,MATCH('Program MW '!$A42,'Ex ante LI &amp; Eligibility Stats'!$A:$A,0),MATCH('Program MW '!I$28,'Ex ante LI &amp; Eligibility Stats'!$A$8:$M$8,0))/1000)</f>
        <v>0</v>
      </c>
      <c r="J42" s="260">
        <f>H42*(INDEX('Ex post LI &amp; Eligibility Stats'!$A:$N,MATCH($A42,'Ex post LI &amp; Eligibility Stats'!$A:$A,0),MATCH('Program MW '!I$28,'Ex post LI &amp; Eligibility Stats'!$A$8:$N$8,0))/1000)</f>
        <v>0</v>
      </c>
      <c r="K42" s="124"/>
      <c r="L42" s="259">
        <f>K42*(INDEX('Ex ante LI &amp; Eligibility Stats'!$A:$M,MATCH('Program MW '!$A42,'Ex ante LI &amp; Eligibility Stats'!$A:$A,0),MATCH('Program MW '!L$28,'Ex ante LI &amp; Eligibility Stats'!$A$8:$M$8,0))/1000)</f>
        <v>0</v>
      </c>
      <c r="M42" s="260">
        <f>K42*(INDEX('Ex post LI &amp; Eligibility Stats'!$A:$N,MATCH($A42,'Ex post LI &amp; Eligibility Stats'!$A:$A,0),MATCH('Program MW '!L$28,'Ex post LI &amp; Eligibility Stats'!$A$8:$N$8,0))/1000)</f>
        <v>0</v>
      </c>
      <c r="N42" s="124"/>
      <c r="O42" s="259">
        <f>N42*(INDEX('Ex ante LI &amp; Eligibility Stats'!$A:$M,MATCH('Program MW '!$A42,'Ex ante LI &amp; Eligibility Stats'!$A:$A,0),MATCH('Program MW '!O$28,'Ex ante LI &amp; Eligibility Stats'!$A$8:$M$8,0))/1000)</f>
        <v>0</v>
      </c>
      <c r="P42" s="260">
        <f>N42*(INDEX('Ex post LI &amp; Eligibility Stats'!$A:$N,MATCH($A42,'Ex post LI &amp; Eligibility Stats'!$A:$A,0),MATCH('Program MW '!O$28,'Ex post LI &amp; Eligibility Stats'!$A$8:$N$8,0))/1000)</f>
        <v>0</v>
      </c>
      <c r="Q42" s="124"/>
      <c r="R42" s="259">
        <f>Q42*(INDEX('Ex ante LI &amp; Eligibility Stats'!$A:$M,MATCH('Program MW '!$A42,'Ex ante LI &amp; Eligibility Stats'!$A:$A,0),MATCH('Program MW '!R$28,'Ex ante LI &amp; Eligibility Stats'!$A$8:$M$8,0))/1000)</f>
        <v>0</v>
      </c>
      <c r="S42" s="260">
        <f>Q42*(INDEX('Ex post LI &amp; Eligibility Stats'!$A:$N,MATCH($A42,'Ex post LI &amp; Eligibility Stats'!$A:$A,0),MATCH('Program MW '!R$28,'Ex post LI &amp; Eligibility Stats'!$A$8:$N$8,0))/1000)</f>
        <v>0</v>
      </c>
      <c r="T42" s="4">
        <v>18875</v>
      </c>
    </row>
    <row r="43" spans="1:26" s="118" customFormat="1">
      <c r="A43" s="216" t="s">
        <v>55</v>
      </c>
      <c r="B43" s="153"/>
      <c r="C43" s="259">
        <f>B43*(INDEX('Ex ante LI &amp; Eligibility Stats'!$A:$M,MATCH('Program MW '!$A43,'Ex ante LI &amp; Eligibility Stats'!$A:$A,0),MATCH('Program MW '!C$28,'Ex ante LI &amp; Eligibility Stats'!$A$8:$M$8,0))/1000)</f>
        <v>0</v>
      </c>
      <c r="D43" s="260">
        <f>B43*(INDEX('Ex post LI &amp; Eligibility Stats'!$A:$N,MATCH($A43,'Ex post LI &amp; Eligibility Stats'!$A:$A,0),MATCH('Program MW '!C$28,'Ex post LI &amp; Eligibility Stats'!$A$8:$N$8,0))/1000)</f>
        <v>0</v>
      </c>
      <c r="E43" s="153"/>
      <c r="F43" s="259">
        <f>E43*(INDEX('Ex ante LI &amp; Eligibility Stats'!$A:$M,MATCH('Program MW '!$A43,'Ex ante LI &amp; Eligibility Stats'!$A:$A,0),MATCH('Program MW '!F$28,'Ex ante LI &amp; Eligibility Stats'!$A$8:$M$8,0))/1000)</f>
        <v>0</v>
      </c>
      <c r="G43" s="260">
        <f>E43*(INDEX('Ex post LI &amp; Eligibility Stats'!$A:$N,MATCH($A43,'Ex post LI &amp; Eligibility Stats'!$A:$A,0),MATCH('Program MW '!F$28,'Ex post LI &amp; Eligibility Stats'!$A$8:$N$8,0))/1000)</f>
        <v>0</v>
      </c>
      <c r="H43" s="153"/>
      <c r="I43" s="259">
        <f>H43*(INDEX('Ex ante LI &amp; Eligibility Stats'!$A:$M,MATCH('Program MW '!$A43,'Ex ante LI &amp; Eligibility Stats'!$A:$A,0),MATCH('Program MW '!I$28,'Ex ante LI &amp; Eligibility Stats'!$A$8:$M$8,0))/1000)</f>
        <v>0</v>
      </c>
      <c r="J43" s="260">
        <f>H43*(INDEX('Ex post LI &amp; Eligibility Stats'!$A:$N,MATCH($A43,'Ex post LI &amp; Eligibility Stats'!$A:$A,0),MATCH('Program MW '!I$28,'Ex post LI &amp; Eligibility Stats'!$A$8:$N$8,0))/1000)</f>
        <v>0</v>
      </c>
      <c r="K43" s="153"/>
      <c r="L43" s="259">
        <f>K43*(INDEX('Ex ante LI &amp; Eligibility Stats'!$A:$M,MATCH('Program MW '!$A43,'Ex ante LI &amp; Eligibility Stats'!$A:$A,0),MATCH('Program MW '!L$28,'Ex ante LI &amp; Eligibility Stats'!$A$8:$M$8,0))/1000)</f>
        <v>0</v>
      </c>
      <c r="M43" s="260">
        <f>K43*(INDEX('Ex post LI &amp; Eligibility Stats'!$A:$N,MATCH($A43,'Ex post LI &amp; Eligibility Stats'!$A:$A,0),MATCH('Program MW '!L$28,'Ex post LI &amp; Eligibility Stats'!$A$8:$N$8,0))/1000)</f>
        <v>0</v>
      </c>
      <c r="N43" s="153"/>
      <c r="O43" s="259">
        <f>N43*(INDEX('Ex ante LI &amp; Eligibility Stats'!$A:$M,MATCH('Program MW '!$A43,'Ex ante LI &amp; Eligibility Stats'!$A:$A,0),MATCH('Program MW '!O$28,'Ex ante LI &amp; Eligibility Stats'!$A$8:$M$8,0))/1000)</f>
        <v>0</v>
      </c>
      <c r="P43" s="260">
        <f>N43*(INDEX('Ex post LI &amp; Eligibility Stats'!$A:$N,MATCH($A43,'Ex post LI &amp; Eligibility Stats'!$A:$A,0),MATCH('Program MW '!O$28,'Ex post LI &amp; Eligibility Stats'!$A$8:$N$8,0))/1000)</f>
        <v>0</v>
      </c>
      <c r="Q43" s="153"/>
      <c r="R43" s="259">
        <f>Q43*(INDEX('Ex ante LI &amp; Eligibility Stats'!$A:$M,MATCH('Program MW '!$A43,'Ex ante LI &amp; Eligibility Stats'!$A:$A,0),MATCH('Program MW '!R$28,'Ex ante LI &amp; Eligibility Stats'!$A$8:$M$8,0))/1000)</f>
        <v>0</v>
      </c>
      <c r="S43" s="260">
        <f>Q43*(INDEX('Ex post LI &amp; Eligibility Stats'!$A:$N,MATCH($A43,'Ex post LI &amp; Eligibility Stats'!$A:$A,0),MATCH('Program MW '!R$28,'Ex post LI &amp; Eligibility Stats'!$A$8:$N$8,0))/1000)</f>
        <v>0</v>
      </c>
      <c r="T43" s="323"/>
    </row>
    <row r="44" spans="1:26">
      <c r="A44" s="69" t="s">
        <v>26</v>
      </c>
      <c r="B44" s="124"/>
      <c r="C44" s="259">
        <f>B44*(INDEX('Ex ante LI &amp; Eligibility Stats'!$A:$M,MATCH('Program MW '!$A44,'Ex ante LI &amp; Eligibility Stats'!$A:$A,0),MATCH('Program MW '!C$28,'Ex ante LI &amp; Eligibility Stats'!$A$8:$M$8,0))/1000)</f>
        <v>0</v>
      </c>
      <c r="D44" s="260">
        <f>B44*(INDEX('Ex post LI &amp; Eligibility Stats'!$A:$N,MATCH($A44,'Ex post LI &amp; Eligibility Stats'!$A:$A,0),MATCH('Program MW '!C$28,'Ex post LI &amp; Eligibility Stats'!$A$8:$N$8,0))/1000)</f>
        <v>0</v>
      </c>
      <c r="E44" s="124"/>
      <c r="F44" s="259">
        <f>E44*(INDEX('Ex ante LI &amp; Eligibility Stats'!$A:$M,MATCH('Program MW '!$A44,'Ex ante LI &amp; Eligibility Stats'!$A:$A,0),MATCH('Program MW '!F$28,'Ex ante LI &amp; Eligibility Stats'!$A$8:$M$8,0))/1000)</f>
        <v>0</v>
      </c>
      <c r="G44" s="260">
        <f>E44*(INDEX('Ex post LI &amp; Eligibility Stats'!$A:$N,MATCH($A44,'Ex post LI &amp; Eligibility Stats'!$A:$A,0),MATCH('Program MW '!F$28,'Ex post LI &amp; Eligibility Stats'!$A$8:$N$8,0))/1000)</f>
        <v>0</v>
      </c>
      <c r="H44" s="124"/>
      <c r="I44" s="259">
        <f>H44*(INDEX('Ex ante LI &amp; Eligibility Stats'!$A:$M,MATCH('Program MW '!$A44,'Ex ante LI &amp; Eligibility Stats'!$A:$A,0),MATCH('Program MW '!I$28,'Ex ante LI &amp; Eligibility Stats'!$A$8:$M$8,0))/1000)</f>
        <v>0</v>
      </c>
      <c r="J44" s="260">
        <f>H44*(INDEX('Ex post LI &amp; Eligibility Stats'!$A:$N,MATCH($A44,'Ex post LI &amp; Eligibility Stats'!$A:$A,0),MATCH('Program MW '!I$28,'Ex post LI &amp; Eligibility Stats'!$A$8:$N$8,0))/1000)</f>
        <v>0</v>
      </c>
      <c r="K44" s="124"/>
      <c r="L44" s="259">
        <f>K44*(INDEX('Ex ante LI &amp; Eligibility Stats'!$A:$M,MATCH('Program MW '!$A44,'Ex ante LI &amp; Eligibility Stats'!$A:$A,0),MATCH('Program MW '!L$28,'Ex ante LI &amp; Eligibility Stats'!$A$8:$M$8,0))/1000)</f>
        <v>0</v>
      </c>
      <c r="M44" s="260">
        <f>K44*(INDEX('Ex post LI &amp; Eligibility Stats'!$A:$N,MATCH($A44,'Ex post LI &amp; Eligibility Stats'!$A:$A,0),MATCH('Program MW '!L$28,'Ex post LI &amp; Eligibility Stats'!$A$8:$N$8,0))/1000)</f>
        <v>0</v>
      </c>
      <c r="N44" s="124"/>
      <c r="O44" s="259">
        <f>N44*(INDEX('Ex ante LI &amp; Eligibility Stats'!$A:$M,MATCH('Program MW '!$A44,'Ex ante LI &amp; Eligibility Stats'!$A:$A,0),MATCH('Program MW '!O$28,'Ex ante LI &amp; Eligibility Stats'!$A$8:$M$8,0))/1000)</f>
        <v>0</v>
      </c>
      <c r="P44" s="260">
        <f>N44*(INDEX('Ex post LI &amp; Eligibility Stats'!$A:$N,MATCH($A44,'Ex post LI &amp; Eligibility Stats'!$A:$A,0),MATCH('Program MW '!O$28,'Ex post LI &amp; Eligibility Stats'!$A$8:$N$8,0))/1000)</f>
        <v>0</v>
      </c>
      <c r="Q44" s="124"/>
      <c r="R44" s="259">
        <f>Q44*(INDEX('Ex ante LI &amp; Eligibility Stats'!$A:$M,MATCH('Program MW '!$A44,'Ex ante LI &amp; Eligibility Stats'!$A:$A,0),MATCH('Program MW '!R$28,'Ex ante LI &amp; Eligibility Stats'!$A$8:$M$8,0))/1000)</f>
        <v>0</v>
      </c>
      <c r="S44" s="260">
        <f>Q44*(INDEX('Ex post LI &amp; Eligibility Stats'!$A:$N,MATCH($A44,'Ex post LI &amp; Eligibility Stats'!$A:$A,0),MATCH('Program MW '!R$28,'Ex post LI &amp; Eligibility Stats'!$A$8:$N$8,0))/1000)</f>
        <v>0</v>
      </c>
      <c r="T44" s="4"/>
    </row>
    <row r="45" spans="1:26">
      <c r="A45" s="39" t="s">
        <v>27</v>
      </c>
      <c r="B45" s="214"/>
      <c r="C45" s="259">
        <f>B45*(INDEX('Ex ante LI &amp; Eligibility Stats'!$A:$M,MATCH('Program MW '!$A45,'Ex ante LI &amp; Eligibility Stats'!$A:$A,0),MATCH('Program MW '!C$28,'Ex ante LI &amp; Eligibility Stats'!$A$8:$M$8,0))/1000)</f>
        <v>0</v>
      </c>
      <c r="D45" s="260">
        <f>B45*(INDEX('Ex post LI &amp; Eligibility Stats'!$A:$N,MATCH($A45,'Ex post LI &amp; Eligibility Stats'!$A:$A,0),MATCH('Program MW '!C$28,'Ex post LI &amp; Eligibility Stats'!$A$8:$N$8,0))/1000)</f>
        <v>0</v>
      </c>
      <c r="E45" s="214"/>
      <c r="F45" s="259">
        <f>E45*(INDEX('Ex ante LI &amp; Eligibility Stats'!$A:$M,MATCH('Program MW '!$A45,'Ex ante LI &amp; Eligibility Stats'!$A:$A,0),MATCH('Program MW '!F$28,'Ex ante LI &amp; Eligibility Stats'!$A$8:$M$8,0))/1000)</f>
        <v>0</v>
      </c>
      <c r="G45" s="260">
        <f>E45*(INDEX('Ex post LI &amp; Eligibility Stats'!$A:$N,MATCH($A45,'Ex post LI &amp; Eligibility Stats'!$A:$A,0),MATCH('Program MW '!F$28,'Ex post LI &amp; Eligibility Stats'!$A$8:$N$8,0))/1000)</f>
        <v>0</v>
      </c>
      <c r="H45" s="214"/>
      <c r="I45" s="259">
        <f>H45*(INDEX('Ex ante LI &amp; Eligibility Stats'!$A:$M,MATCH('Program MW '!$A45,'Ex ante LI &amp; Eligibility Stats'!$A:$A,0),MATCH('Program MW '!I$28,'Ex ante LI &amp; Eligibility Stats'!$A$8:$M$8,0))/1000)</f>
        <v>0</v>
      </c>
      <c r="J45" s="260">
        <f>H45*(INDEX('Ex post LI &amp; Eligibility Stats'!$A:$N,MATCH($A45,'Ex post LI &amp; Eligibility Stats'!$A:$A,0),MATCH('Program MW '!I$28,'Ex post LI &amp; Eligibility Stats'!$A$8:$N$8,0))/1000)</f>
        <v>0</v>
      </c>
      <c r="K45" s="214"/>
      <c r="L45" s="259">
        <f>K45*(INDEX('Ex ante LI &amp; Eligibility Stats'!$A:$M,MATCH('Program MW '!$A45,'Ex ante LI &amp; Eligibility Stats'!$A:$A,0),MATCH('Program MW '!L$28,'Ex ante LI &amp; Eligibility Stats'!$A$8:$M$8,0))/1000)</f>
        <v>0</v>
      </c>
      <c r="M45" s="260">
        <f>K45*(INDEX('Ex post LI &amp; Eligibility Stats'!$A:$N,MATCH($A45,'Ex post LI &amp; Eligibility Stats'!$A:$A,0),MATCH('Program MW '!L$28,'Ex post LI &amp; Eligibility Stats'!$A$8:$N$8,0))/1000)</f>
        <v>0</v>
      </c>
      <c r="N45" s="214"/>
      <c r="O45" s="259">
        <f>N45*(INDEX('Ex ante LI &amp; Eligibility Stats'!$A:$M,MATCH('Program MW '!$A45,'Ex ante LI &amp; Eligibility Stats'!$A:$A,0),MATCH('Program MW '!O$28,'Ex ante LI &amp; Eligibility Stats'!$A$8:$M$8,0))/1000)</f>
        <v>0</v>
      </c>
      <c r="P45" s="260">
        <f>N45*(INDEX('Ex post LI &amp; Eligibility Stats'!$A:$N,MATCH($A45,'Ex post LI &amp; Eligibility Stats'!$A:$A,0),MATCH('Program MW '!O$28,'Ex post LI &amp; Eligibility Stats'!$A$8:$N$8,0))/1000)</f>
        <v>0</v>
      </c>
      <c r="Q45" s="214"/>
      <c r="R45" s="259">
        <f>Q45*(INDEX('Ex ante LI &amp; Eligibility Stats'!$A:$M,MATCH('Program MW '!$A45,'Ex ante LI &amp; Eligibility Stats'!$A:$A,0),MATCH('Program MW '!R$28,'Ex ante LI &amp; Eligibility Stats'!$A$8:$M$8,0))/1000)</f>
        <v>0</v>
      </c>
      <c r="S45" s="260">
        <f>Q45*(INDEX('Ex post LI &amp; Eligibility Stats'!$A:$N,MATCH($A45,'Ex post LI &amp; Eligibility Stats'!$A:$A,0),MATCH('Program MW '!R$28,'Ex post LI &amp; Eligibility Stats'!$A$8:$N$8,0))/1000)</f>
        <v>0</v>
      </c>
      <c r="T45" s="4"/>
    </row>
    <row r="46" spans="1:26" ht="13.5" thickBot="1">
      <c r="A46" s="136" t="s">
        <v>57</v>
      </c>
      <c r="B46" s="3">
        <f t="shared" ref="B46:S46" si="11">SUM(B34:B45)</f>
        <v>0</v>
      </c>
      <c r="C46" s="199">
        <f t="shared" si="11"/>
        <v>0</v>
      </c>
      <c r="D46" s="180">
        <f t="shared" si="11"/>
        <v>0</v>
      </c>
      <c r="E46" s="3">
        <f t="shared" si="11"/>
        <v>0</v>
      </c>
      <c r="F46" s="199">
        <f t="shared" si="11"/>
        <v>0</v>
      </c>
      <c r="G46" s="180">
        <f t="shared" si="11"/>
        <v>0</v>
      </c>
      <c r="H46" s="3">
        <f t="shared" si="11"/>
        <v>0</v>
      </c>
      <c r="I46" s="199">
        <f t="shared" si="11"/>
        <v>0</v>
      </c>
      <c r="J46" s="180">
        <f t="shared" si="11"/>
        <v>0</v>
      </c>
      <c r="K46" s="3">
        <f t="shared" si="11"/>
        <v>0</v>
      </c>
      <c r="L46" s="199">
        <f t="shared" si="11"/>
        <v>0</v>
      </c>
      <c r="M46" s="180">
        <f t="shared" si="11"/>
        <v>0</v>
      </c>
      <c r="N46" s="3">
        <f t="shared" si="11"/>
        <v>0</v>
      </c>
      <c r="O46" s="199">
        <f t="shared" si="11"/>
        <v>0</v>
      </c>
      <c r="P46" s="180">
        <f t="shared" si="11"/>
        <v>0</v>
      </c>
      <c r="Q46" s="3">
        <f t="shared" si="11"/>
        <v>0</v>
      </c>
      <c r="R46" s="199">
        <f t="shared" si="11"/>
        <v>0</v>
      </c>
      <c r="S46" s="180">
        <f t="shared" si="11"/>
        <v>0</v>
      </c>
      <c r="T46" s="8"/>
    </row>
    <row r="47" spans="1:26" ht="14.25" thickTop="1" thickBot="1">
      <c r="A47" s="139" t="s">
        <v>58</v>
      </c>
      <c r="B47" s="2">
        <f t="shared" ref="B47:S47" si="12">+B32+B46</f>
        <v>0</v>
      </c>
      <c r="C47" s="200">
        <f t="shared" si="12"/>
        <v>0</v>
      </c>
      <c r="D47" s="179">
        <f t="shared" si="12"/>
        <v>0</v>
      </c>
      <c r="E47" s="2">
        <f t="shared" si="12"/>
        <v>0</v>
      </c>
      <c r="F47" s="200">
        <f t="shared" si="12"/>
        <v>0</v>
      </c>
      <c r="G47" s="179">
        <f t="shared" si="12"/>
        <v>0</v>
      </c>
      <c r="H47" s="2">
        <f t="shared" si="12"/>
        <v>0</v>
      </c>
      <c r="I47" s="200">
        <f t="shared" si="12"/>
        <v>0</v>
      </c>
      <c r="J47" s="179">
        <f t="shared" si="12"/>
        <v>0</v>
      </c>
      <c r="K47" s="2">
        <f t="shared" si="12"/>
        <v>0</v>
      </c>
      <c r="L47" s="200">
        <f t="shared" si="12"/>
        <v>0</v>
      </c>
      <c r="M47" s="179">
        <f t="shared" si="12"/>
        <v>0</v>
      </c>
      <c r="N47" s="2">
        <f t="shared" si="12"/>
        <v>0</v>
      </c>
      <c r="O47" s="200">
        <f t="shared" si="12"/>
        <v>0</v>
      </c>
      <c r="P47" s="179">
        <f t="shared" si="12"/>
        <v>0</v>
      </c>
      <c r="Q47" s="2">
        <f t="shared" si="12"/>
        <v>0</v>
      </c>
      <c r="R47" s="200">
        <f t="shared" si="12"/>
        <v>0</v>
      </c>
      <c r="S47" s="179">
        <f t="shared" si="12"/>
        <v>0</v>
      </c>
      <c r="T47" s="11"/>
      <c r="U47" s="6"/>
      <c r="V47" s="11"/>
      <c r="W47" s="11"/>
      <c r="X47" s="6"/>
      <c r="Y47" s="11"/>
      <c r="Z47" s="11"/>
    </row>
    <row r="48" spans="1:26" ht="13.5" thickTop="1">
      <c r="A48" s="112"/>
      <c r="B48" s="11"/>
      <c r="C48" s="11"/>
      <c r="D48" s="6"/>
      <c r="E48" s="11"/>
      <c r="F48" s="11"/>
      <c r="G48" s="11"/>
      <c r="H48" s="6"/>
      <c r="I48" s="11"/>
      <c r="J48" s="11"/>
      <c r="K48" s="11"/>
      <c r="L48" s="11"/>
      <c r="M48" s="6"/>
      <c r="N48" s="11"/>
      <c r="O48" s="11"/>
      <c r="P48" s="11"/>
      <c r="Q48" s="6"/>
      <c r="R48" s="11"/>
      <c r="S48" s="11"/>
      <c r="T48" s="11"/>
      <c r="U48" s="6"/>
      <c r="V48" s="6"/>
      <c r="W48" s="11"/>
      <c r="X48" s="6"/>
      <c r="Y48" s="6"/>
      <c r="Z48" s="11"/>
    </row>
    <row r="49" spans="1:31" ht="15">
      <c r="A49" s="190" t="s">
        <v>67</v>
      </c>
      <c r="B49" s="140"/>
      <c r="C49" s="140"/>
      <c r="D49" s="140"/>
      <c r="E49" s="306"/>
      <c r="F49" s="141"/>
      <c r="G49" s="140"/>
      <c r="H49" s="141"/>
      <c r="I49" s="140"/>
      <c r="J49" s="140"/>
      <c r="K49" s="140"/>
      <c r="L49" s="140"/>
      <c r="M49" s="140"/>
      <c r="N49" s="140"/>
      <c r="O49" s="140"/>
      <c r="P49" s="142"/>
      <c r="Q49" s="140"/>
      <c r="R49" s="140"/>
      <c r="S49" s="140"/>
      <c r="T49" s="12"/>
      <c r="U49" s="12"/>
      <c r="V49" s="12"/>
      <c r="W49" s="12"/>
      <c r="X49" s="12"/>
      <c r="Y49" s="12"/>
      <c r="Z49" s="12"/>
    </row>
    <row r="50" spans="1:31" ht="14.25">
      <c r="A50" s="687" t="s">
        <v>292</v>
      </c>
      <c r="B50" s="687"/>
      <c r="C50" s="687"/>
      <c r="D50" s="687"/>
      <c r="E50" s="687"/>
      <c r="F50" s="687"/>
      <c r="G50" s="687"/>
      <c r="H50" s="687"/>
      <c r="I50" s="687"/>
      <c r="J50" s="687"/>
      <c r="K50" s="687"/>
      <c r="L50" s="687"/>
      <c r="M50" s="687"/>
      <c r="N50" s="687"/>
      <c r="O50" s="687"/>
    </row>
    <row r="51" spans="1:31" ht="14.25">
      <c r="A51" s="687" t="s">
        <v>293</v>
      </c>
      <c r="B51" s="687"/>
      <c r="C51" s="687"/>
      <c r="D51" s="687"/>
      <c r="E51" s="687"/>
      <c r="F51" s="687"/>
      <c r="G51" s="687"/>
      <c r="H51" s="687"/>
      <c r="I51" s="687"/>
      <c r="J51" s="687"/>
      <c r="K51" s="687"/>
      <c r="L51" s="687"/>
      <c r="M51" s="687"/>
      <c r="N51" s="687"/>
      <c r="O51" s="687"/>
      <c r="P51" s="12"/>
      <c r="Q51" s="12"/>
      <c r="R51" s="12"/>
      <c r="S51" s="12"/>
      <c r="T51" s="112"/>
      <c r="U51" s="112"/>
      <c r="V51" s="112"/>
      <c r="W51" s="112"/>
      <c r="X51" s="112"/>
      <c r="Y51" s="112"/>
      <c r="Z51" s="112"/>
    </row>
    <row r="52" spans="1:31" s="118" customFormat="1" ht="18" customHeight="1">
      <c r="A52" s="687" t="s">
        <v>68</v>
      </c>
      <c r="B52" s="687"/>
      <c r="C52" s="687"/>
      <c r="D52" s="687"/>
      <c r="E52" s="687"/>
      <c r="F52" s="687"/>
      <c r="G52" s="687"/>
      <c r="H52" s="687"/>
      <c r="I52" s="687"/>
      <c r="J52" s="687"/>
      <c r="K52" s="687"/>
      <c r="L52" s="687"/>
      <c r="M52" s="687"/>
      <c r="N52" s="687"/>
      <c r="O52" s="687"/>
      <c r="P52" s="304"/>
      <c r="Q52" s="304"/>
      <c r="R52" s="304"/>
      <c r="S52" s="304"/>
      <c r="T52" s="150"/>
      <c r="U52" s="150"/>
      <c r="V52" s="150"/>
      <c r="W52" s="150"/>
      <c r="X52" s="150"/>
      <c r="Y52" s="150"/>
      <c r="Z52" s="150"/>
    </row>
    <row r="53" spans="1:31" s="118" customFormat="1" ht="18" customHeight="1">
      <c r="A53" s="687" t="s">
        <v>69</v>
      </c>
      <c r="B53" s="687"/>
      <c r="C53" s="687"/>
      <c r="D53" s="687"/>
      <c r="E53" s="687"/>
      <c r="F53" s="687"/>
      <c r="G53" s="687"/>
      <c r="H53" s="687"/>
      <c r="I53" s="687"/>
      <c r="J53" s="687"/>
      <c r="K53" s="687"/>
      <c r="L53" s="687"/>
      <c r="M53" s="687"/>
      <c r="N53" s="687"/>
      <c r="O53" s="687"/>
      <c r="P53" s="304"/>
      <c r="Q53" s="304"/>
      <c r="R53" s="304"/>
      <c r="S53" s="304"/>
      <c r="T53" s="150"/>
      <c r="U53" s="150"/>
      <c r="V53" s="150"/>
      <c r="W53" s="150"/>
      <c r="X53" s="150"/>
      <c r="Y53" s="150"/>
      <c r="Z53" s="150"/>
    </row>
    <row r="54" spans="1:31" s="118" customFormat="1" ht="14.1" customHeight="1">
      <c r="A54" s="687" t="s">
        <v>70</v>
      </c>
      <c r="B54" s="687"/>
      <c r="C54" s="687"/>
      <c r="D54" s="687"/>
      <c r="E54" s="687"/>
      <c r="F54" s="687"/>
      <c r="G54" s="687"/>
      <c r="H54" s="687"/>
      <c r="I54" s="687"/>
      <c r="J54" s="687"/>
      <c r="K54" s="687"/>
      <c r="L54" s="687"/>
      <c r="M54" s="687"/>
      <c r="N54" s="687"/>
      <c r="O54" s="444"/>
      <c r="P54" s="304"/>
      <c r="Q54" s="304"/>
      <c r="R54" s="304"/>
      <c r="S54" s="304"/>
      <c r="T54" s="150"/>
      <c r="U54" s="150"/>
      <c r="V54" s="150"/>
      <c r="W54" s="150"/>
      <c r="X54" s="150"/>
      <c r="Y54" s="150"/>
      <c r="Z54" s="150"/>
    </row>
    <row r="55" spans="1:31" ht="15.75" customHeight="1">
      <c r="A55" s="373" t="s">
        <v>71</v>
      </c>
      <c r="B55" s="446"/>
      <c r="C55" s="446"/>
      <c r="D55" s="446"/>
      <c r="E55" s="446"/>
      <c r="F55" s="446"/>
      <c r="G55" s="446"/>
      <c r="H55" s="446"/>
      <c r="I55" s="446"/>
      <c r="J55" s="446"/>
      <c r="K55" s="446"/>
      <c r="L55" s="446"/>
      <c r="M55" s="446"/>
      <c r="N55" s="446"/>
      <c r="O55" s="447"/>
    </row>
    <row r="56" spans="1:31" ht="14.25">
      <c r="A56" s="373" t="s">
        <v>72</v>
      </c>
      <c r="B56" s="446"/>
      <c r="C56" s="446"/>
      <c r="D56" s="446"/>
      <c r="E56" s="446"/>
      <c r="F56" s="446"/>
      <c r="G56" s="446"/>
      <c r="H56" s="446"/>
      <c r="I56" s="446"/>
      <c r="J56" s="446"/>
      <c r="K56" s="446"/>
      <c r="L56" s="446"/>
      <c r="M56" s="446"/>
      <c r="N56" s="446"/>
      <c r="O56" s="447"/>
    </row>
    <row r="57" spans="1:31" ht="14.25">
      <c r="A57" s="445" t="s">
        <v>73</v>
      </c>
      <c r="B57" s="446"/>
      <c r="C57" s="446"/>
      <c r="D57" s="446"/>
      <c r="E57" s="446"/>
      <c r="F57" s="446"/>
      <c r="G57" s="446"/>
      <c r="H57" s="446"/>
      <c r="I57" s="446"/>
      <c r="J57" s="446"/>
      <c r="K57" s="446"/>
      <c r="L57" s="446"/>
      <c r="M57" s="446"/>
      <c r="N57" s="446"/>
      <c r="O57" s="447"/>
    </row>
    <row r="58" spans="1:31" s="118" customFormat="1" ht="14.25">
      <c r="A58" s="480" t="s">
        <v>74</v>
      </c>
    </row>
    <row r="59" spans="1:31" s="118" customFormat="1" ht="14.25">
      <c r="A59" s="480" t="s">
        <v>75</v>
      </c>
    </row>
    <row r="60" spans="1:31" ht="14.25">
      <c r="A60" s="373" t="s">
        <v>76</v>
      </c>
      <c r="B60" s="446"/>
      <c r="C60" s="446"/>
      <c r="D60" s="446"/>
      <c r="E60" s="446"/>
      <c r="F60" s="446"/>
      <c r="G60" s="446"/>
      <c r="H60" s="446"/>
      <c r="I60" s="446"/>
      <c r="J60" s="446"/>
      <c r="K60" s="446"/>
      <c r="L60" s="446"/>
      <c r="M60" s="446"/>
      <c r="N60" s="446"/>
      <c r="O60" s="447"/>
      <c r="P60" s="479"/>
      <c r="Q60" s="479"/>
      <c r="R60" s="479"/>
      <c r="S60" s="479"/>
      <c r="T60" s="479"/>
      <c r="U60" s="479"/>
      <c r="V60" s="479"/>
      <c r="W60" s="479"/>
      <c r="X60" s="479"/>
      <c r="Y60" s="479"/>
      <c r="Z60" s="479"/>
      <c r="AA60" s="479"/>
      <c r="AB60" s="479"/>
      <c r="AC60" s="479"/>
      <c r="AD60" s="479"/>
      <c r="AE60" s="479"/>
    </row>
    <row r="61" spans="1:31" ht="15">
      <c r="A61" s="181" t="s">
        <v>77</v>
      </c>
    </row>
  </sheetData>
  <mergeCells count="5">
    <mergeCell ref="A50:O50"/>
    <mergeCell ref="A51:O51"/>
    <mergeCell ref="A52:O52"/>
    <mergeCell ref="A53:O53"/>
    <mergeCell ref="A54:N54"/>
  </mergeCells>
  <phoneticPr fontId="0" type="noConversion"/>
  <printOptions horizontalCentered="1"/>
  <pageMargins left="0" right="0" top="0.3" bottom="0.17" header="0.3" footer="0.15"/>
  <pageSetup paperSize="5" scale="51"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zoomScaleNormal="100" zoomScaleSheetLayoutView="100" workbookViewId="0">
      <selection activeCell="A7" sqref="A7:N7"/>
    </sheetView>
  </sheetViews>
  <sheetFormatPr defaultColWidth="9.28515625" defaultRowHeight="12.75"/>
  <cols>
    <col min="1" max="1" width="33.5703125" customWidth="1"/>
    <col min="2" max="2" width="9" customWidth="1"/>
    <col min="3" max="3" width="10.285156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19" customWidth="1"/>
    <col min="15" max="15" width="149.5703125" customWidth="1"/>
  </cols>
  <sheetData>
    <row r="2" spans="1:16">
      <c r="A2" s="36"/>
      <c r="H2" s="114" t="s">
        <v>39</v>
      </c>
      <c r="N2" s="280"/>
    </row>
    <row r="3" spans="1:16">
      <c r="E3" s="281"/>
      <c r="H3" s="117">
        <f>'Program MW '!H3</f>
        <v>44593</v>
      </c>
      <c r="N3" s="280"/>
    </row>
    <row r="4" spans="1:16" ht="12.75" customHeight="1">
      <c r="E4" s="116"/>
      <c r="F4" s="116"/>
      <c r="G4" s="116"/>
      <c r="I4" s="116"/>
      <c r="N4" s="280"/>
    </row>
    <row r="5" spans="1:16">
      <c r="B5" s="116"/>
      <c r="C5" s="116"/>
      <c r="D5" s="116"/>
      <c r="F5" s="115"/>
      <c r="N5" s="280"/>
      <c r="O5" s="38"/>
    </row>
    <row r="6" spans="1:16">
      <c r="F6" s="115"/>
      <c r="N6" s="280"/>
    </row>
    <row r="7" spans="1:16" ht="13.5" customHeight="1">
      <c r="A7" s="688" t="s">
        <v>78</v>
      </c>
      <c r="B7" s="689"/>
      <c r="C7" s="689"/>
      <c r="D7" s="689"/>
      <c r="E7" s="689"/>
      <c r="F7" s="689"/>
      <c r="G7" s="689"/>
      <c r="H7" s="689"/>
      <c r="I7" s="689"/>
      <c r="J7" s="689"/>
      <c r="K7" s="689"/>
      <c r="L7" s="689"/>
      <c r="M7" s="689"/>
      <c r="N7" s="690"/>
      <c r="O7" s="511"/>
    </row>
    <row r="8" spans="1:16" ht="38.25" customHeight="1">
      <c r="A8" s="37" t="s">
        <v>1</v>
      </c>
      <c r="B8" s="329" t="s">
        <v>41</v>
      </c>
      <c r="C8" s="329" t="s">
        <v>42</v>
      </c>
      <c r="D8" s="329" t="s">
        <v>43</v>
      </c>
      <c r="E8" s="329" t="s">
        <v>44</v>
      </c>
      <c r="F8" s="329" t="s">
        <v>31</v>
      </c>
      <c r="G8" s="329" t="s">
        <v>45</v>
      </c>
      <c r="H8" s="329" t="s">
        <v>59</v>
      </c>
      <c r="I8" s="329" t="s">
        <v>60</v>
      </c>
      <c r="J8" s="329" t="s">
        <v>61</v>
      </c>
      <c r="K8" s="329" t="s">
        <v>62</v>
      </c>
      <c r="L8" s="329" t="s">
        <v>63</v>
      </c>
      <c r="M8" s="329" t="s">
        <v>64</v>
      </c>
      <c r="N8" s="328" t="s">
        <v>79</v>
      </c>
      <c r="O8" s="217" t="s">
        <v>80</v>
      </c>
      <c r="P8" s="621"/>
    </row>
    <row r="9" spans="1:16" ht="75.75" customHeight="1">
      <c r="A9" s="330" t="s">
        <v>8</v>
      </c>
      <c r="B9" s="512">
        <v>147.93927001953125</v>
      </c>
      <c r="C9" s="512">
        <v>123.35836029052734</v>
      </c>
      <c r="D9" s="512">
        <v>154.17617797851563</v>
      </c>
      <c r="E9" s="512">
        <v>141.36283874511719</v>
      </c>
      <c r="F9" s="512">
        <v>137.30026245117188</v>
      </c>
      <c r="G9" s="512">
        <v>167.08448791503906</v>
      </c>
      <c r="H9" s="512">
        <v>159.48800659179688</v>
      </c>
      <c r="I9" s="512">
        <v>159.82838439941406</v>
      </c>
      <c r="J9" s="512">
        <v>182.0330810546875</v>
      </c>
      <c r="K9" s="512">
        <v>153.41392517089844</v>
      </c>
      <c r="L9" s="512">
        <v>178.67237854003906</v>
      </c>
      <c r="M9" s="512">
        <v>115.07282257080078</v>
      </c>
      <c r="N9" s="513">
        <v>5326</v>
      </c>
      <c r="O9" s="625" t="s">
        <v>286</v>
      </c>
      <c r="P9" s="624"/>
    </row>
    <row r="10" spans="1:16" ht="75.75" customHeight="1">
      <c r="A10" s="331" t="s">
        <v>11</v>
      </c>
      <c r="B10" s="332">
        <v>0.14000000000000001</v>
      </c>
      <c r="C10" s="332">
        <v>0.14000000000000001</v>
      </c>
      <c r="D10" s="512">
        <v>0</v>
      </c>
      <c r="E10" s="512">
        <v>0</v>
      </c>
      <c r="F10" s="512">
        <v>0</v>
      </c>
      <c r="G10" s="512">
        <v>0</v>
      </c>
      <c r="H10" s="512">
        <v>0</v>
      </c>
      <c r="I10" s="512">
        <v>0</v>
      </c>
      <c r="J10" s="512">
        <v>0</v>
      </c>
      <c r="K10" s="512">
        <v>0</v>
      </c>
      <c r="L10" s="512">
        <v>0</v>
      </c>
      <c r="M10" s="512">
        <v>0</v>
      </c>
      <c r="N10" s="333">
        <v>24298</v>
      </c>
      <c r="O10" s="625" t="s">
        <v>81</v>
      </c>
    </row>
    <row r="11" spans="1:16" ht="75.75" customHeight="1">
      <c r="A11" s="331" t="s">
        <v>17</v>
      </c>
      <c r="B11" s="332">
        <v>1.1249953786318656E-5</v>
      </c>
      <c r="C11" s="332">
        <v>2.6053535293613095E-6</v>
      </c>
      <c r="D11" s="512">
        <v>0</v>
      </c>
      <c r="E11" s="512">
        <v>3.6579277366399765E-2</v>
      </c>
      <c r="F11" s="512">
        <v>8.1266388297080994E-2</v>
      </c>
      <c r="G11" s="512">
        <v>5.1364414393901825E-2</v>
      </c>
      <c r="H11" s="512">
        <v>0.16627712547779083</v>
      </c>
      <c r="I11" s="512">
        <v>0.22152504324913025</v>
      </c>
      <c r="J11" s="512">
        <v>0.28739506006240845</v>
      </c>
      <c r="K11" s="512">
        <v>0.1512436717748642</v>
      </c>
      <c r="L11" s="512">
        <v>2.2867627441883087E-2</v>
      </c>
      <c r="M11" s="512">
        <v>0</v>
      </c>
      <c r="N11" s="334">
        <v>590220</v>
      </c>
      <c r="O11" s="625" t="s">
        <v>287</v>
      </c>
    </row>
    <row r="12" spans="1:16" ht="75.75" customHeight="1">
      <c r="A12" s="331" t="s">
        <v>20</v>
      </c>
      <c r="B12" s="332">
        <v>3.6358251236379147E-4</v>
      </c>
      <c r="C12" s="332">
        <v>8.4200954006519169E-5</v>
      </c>
      <c r="D12" s="512">
        <v>0</v>
      </c>
      <c r="E12" s="512">
        <v>0.3435758650302887</v>
      </c>
      <c r="F12" s="512">
        <v>0.92136132717132568</v>
      </c>
      <c r="G12" s="512">
        <v>0.85638010501861572</v>
      </c>
      <c r="H12" s="512">
        <v>2.0786657333374023</v>
      </c>
      <c r="I12" s="512">
        <v>3.0234215259552002</v>
      </c>
      <c r="J12" s="512">
        <v>2.5092508792877197</v>
      </c>
      <c r="K12" s="512">
        <v>2.084477424621582</v>
      </c>
      <c r="L12" s="512">
        <v>0.46237781643867493</v>
      </c>
      <c r="M12" s="512">
        <v>0</v>
      </c>
      <c r="N12" s="334">
        <v>133226</v>
      </c>
      <c r="O12" s="625" t="s">
        <v>82</v>
      </c>
    </row>
    <row r="13" spans="1:16" ht="75.75" customHeight="1">
      <c r="A13" s="331" t="s">
        <v>21</v>
      </c>
      <c r="B13" s="335">
        <v>0</v>
      </c>
      <c r="C13" s="335">
        <v>0</v>
      </c>
      <c r="D13" s="512">
        <v>0</v>
      </c>
      <c r="E13" s="512">
        <v>2.7623999999999999E-2</v>
      </c>
      <c r="F13" s="512">
        <v>5.7694599999999999E-2</v>
      </c>
      <c r="G13" s="512">
        <v>3.6857399999999998E-2</v>
      </c>
      <c r="H13" s="512">
        <v>0.13324759999999999</v>
      </c>
      <c r="I13" s="512">
        <v>0.19637180000000001</v>
      </c>
      <c r="J13" s="512">
        <v>0.24341650000000001</v>
      </c>
      <c r="K13" s="512">
        <v>0.12678610000000001</v>
      </c>
      <c r="L13" s="512">
        <v>0</v>
      </c>
      <c r="M13" s="512">
        <v>0</v>
      </c>
      <c r="N13" s="334">
        <v>590220</v>
      </c>
      <c r="O13" s="625" t="s">
        <v>288</v>
      </c>
    </row>
    <row r="14" spans="1:16" ht="75.75" customHeight="1">
      <c r="A14" s="331" t="s">
        <v>23</v>
      </c>
      <c r="B14" s="335">
        <v>0</v>
      </c>
      <c r="C14" s="335">
        <v>0</v>
      </c>
      <c r="D14" s="512">
        <v>0</v>
      </c>
      <c r="E14" s="512">
        <v>5.6296800000000001E-2</v>
      </c>
      <c r="F14" s="512">
        <v>6.4429500000000001E-2</v>
      </c>
      <c r="G14" s="512">
        <v>5.9807899999999997E-2</v>
      </c>
      <c r="H14" s="512">
        <v>8.1098299999999998E-2</v>
      </c>
      <c r="I14" s="512">
        <v>9.1515600000000003E-2</v>
      </c>
      <c r="J14" s="512">
        <v>0.1040353</v>
      </c>
      <c r="K14" s="512">
        <v>8.3492899999999995E-2</v>
      </c>
      <c r="L14" s="512">
        <v>0</v>
      </c>
      <c r="M14" s="512">
        <v>0</v>
      </c>
      <c r="N14" s="334">
        <v>133226</v>
      </c>
      <c r="O14" s="625" t="s">
        <v>83</v>
      </c>
    </row>
    <row r="15" spans="1:16" ht="75.75" customHeight="1">
      <c r="A15" s="331" t="s">
        <v>24</v>
      </c>
      <c r="B15" s="335">
        <v>0</v>
      </c>
      <c r="C15" s="335">
        <v>0</v>
      </c>
      <c r="D15" s="512">
        <v>0</v>
      </c>
      <c r="E15" s="512">
        <v>0</v>
      </c>
      <c r="F15" s="512">
        <v>11.825189999999999</v>
      </c>
      <c r="G15" s="512">
        <v>11.825189999999999</v>
      </c>
      <c r="H15" s="512">
        <v>11.825189999999999</v>
      </c>
      <c r="I15" s="512">
        <v>11.825189999999999</v>
      </c>
      <c r="J15" s="512">
        <v>11.825189999999999</v>
      </c>
      <c r="K15" s="512">
        <v>11.825189999999999</v>
      </c>
      <c r="L15" s="512">
        <v>0</v>
      </c>
      <c r="M15" s="512">
        <v>0</v>
      </c>
      <c r="N15" s="333">
        <v>78368</v>
      </c>
      <c r="O15" s="625" t="s">
        <v>84</v>
      </c>
    </row>
    <row r="16" spans="1:16" ht="75.75" customHeight="1">
      <c r="A16" s="331" t="s">
        <v>25</v>
      </c>
      <c r="B16" s="335">
        <v>0</v>
      </c>
      <c r="C16" s="335">
        <v>0</v>
      </c>
      <c r="D16" s="512">
        <v>0</v>
      </c>
      <c r="E16" s="512">
        <v>0</v>
      </c>
      <c r="F16" s="512">
        <v>9.0606369999999998</v>
      </c>
      <c r="G16" s="512">
        <v>9.0606369999999998</v>
      </c>
      <c r="H16" s="512">
        <v>9.0606369999999998</v>
      </c>
      <c r="I16" s="512">
        <v>9.0606369999999998</v>
      </c>
      <c r="J16" s="512">
        <v>9.0606369999999998</v>
      </c>
      <c r="K16" s="512">
        <v>9.0606369999999998</v>
      </c>
      <c r="L16" s="512">
        <v>0</v>
      </c>
      <c r="M16" s="512">
        <v>0</v>
      </c>
      <c r="N16" s="333">
        <v>78368</v>
      </c>
      <c r="O16" s="625" t="s">
        <v>84</v>
      </c>
    </row>
    <row r="17" spans="1:15" ht="75.75" customHeight="1">
      <c r="A17" s="331" t="s">
        <v>27</v>
      </c>
      <c r="B17" s="332">
        <v>3.8699023425579071E-2</v>
      </c>
      <c r="C17" s="332">
        <v>3.4362420439720154E-2</v>
      </c>
      <c r="D17" s="512">
        <v>4.2291874821189825E-2</v>
      </c>
      <c r="E17" s="512">
        <v>4.6052272182349342E-2</v>
      </c>
      <c r="F17" s="512">
        <v>9.885066047078217E-2</v>
      </c>
      <c r="G17" s="512">
        <v>7.4932532811322408E-2</v>
      </c>
      <c r="H17" s="512">
        <v>8.597143254338098E-2</v>
      </c>
      <c r="I17" s="512">
        <v>9.1918985532060252E-2</v>
      </c>
      <c r="J17" s="512">
        <v>0.10056453415944168</v>
      </c>
      <c r="K17" s="512">
        <v>9.3665201236999687E-2</v>
      </c>
      <c r="L17" s="512">
        <v>0.14194687939870335</v>
      </c>
      <c r="M17" s="512">
        <v>0.16120215621047654</v>
      </c>
      <c r="N17" s="333">
        <v>1292629</v>
      </c>
      <c r="O17" s="625" t="s">
        <v>85</v>
      </c>
    </row>
    <row r="18" spans="1:15" ht="160.5" customHeight="1">
      <c r="A18" s="375" t="s">
        <v>26</v>
      </c>
      <c r="B18" s="336">
        <v>0.01</v>
      </c>
      <c r="C18" s="336">
        <v>0.01</v>
      </c>
      <c r="D18" s="514">
        <v>1.04106768919839E-4</v>
      </c>
      <c r="E18" s="514">
        <v>7.3445614094823331E-4</v>
      </c>
      <c r="F18" s="514">
        <v>1.3674112203188298E-3</v>
      </c>
      <c r="G18" s="514">
        <v>8.7751531743847301E-4</v>
      </c>
      <c r="H18" s="514">
        <v>2.1878068924228323E-3</v>
      </c>
      <c r="I18" s="514">
        <v>3.1452219928486133E-3</v>
      </c>
      <c r="J18" s="514">
        <v>4.4619246315722007E-3</v>
      </c>
      <c r="K18" s="514">
        <v>2.8590413124677172E-3</v>
      </c>
      <c r="L18" s="514">
        <v>3.151220920205923E-4</v>
      </c>
      <c r="M18" s="514">
        <v>-7.7720472862196388E-5</v>
      </c>
      <c r="N18" s="376">
        <v>120672</v>
      </c>
      <c r="O18" s="625" t="s">
        <v>289</v>
      </c>
    </row>
    <row r="19" spans="1:15" ht="51" customHeight="1">
      <c r="A19" s="330" t="s">
        <v>55</v>
      </c>
      <c r="B19" s="377">
        <v>7.0191817358136177E-3</v>
      </c>
      <c r="C19" s="377">
        <v>7.0191817358136177E-3</v>
      </c>
      <c r="D19" s="377">
        <v>8.5556581616401672E-3</v>
      </c>
      <c r="E19" s="377">
        <v>0</v>
      </c>
      <c r="F19" s="377">
        <v>0</v>
      </c>
      <c r="G19" s="377">
        <v>0</v>
      </c>
      <c r="H19" s="377">
        <v>0</v>
      </c>
      <c r="I19" s="377">
        <v>0</v>
      </c>
      <c r="J19" s="377">
        <v>0</v>
      </c>
      <c r="K19" s="377">
        <v>0</v>
      </c>
      <c r="L19" s="377">
        <v>0</v>
      </c>
      <c r="M19" s="377">
        <v>0</v>
      </c>
      <c r="N19" s="378">
        <v>2822</v>
      </c>
      <c r="O19" s="625" t="s">
        <v>86</v>
      </c>
    </row>
    <row r="20" spans="1:15" ht="51" customHeight="1">
      <c r="A20" s="345"/>
      <c r="B20" s="346"/>
      <c r="C20" s="346"/>
      <c r="D20" s="346"/>
      <c r="E20" s="346"/>
      <c r="F20" s="346"/>
      <c r="G20" s="346"/>
      <c r="H20" s="346"/>
      <c r="I20" s="346"/>
      <c r="J20" s="346"/>
      <c r="K20" s="346"/>
      <c r="L20" s="346"/>
      <c r="M20" s="346"/>
      <c r="N20" s="347"/>
      <c r="O20" s="327"/>
    </row>
    <row r="21" spans="1:15" ht="12.75" customHeight="1">
      <c r="A21" s="345"/>
      <c r="B21" s="346"/>
      <c r="C21" s="346"/>
      <c r="D21" s="346"/>
      <c r="E21" s="346"/>
      <c r="F21" s="346"/>
      <c r="G21" s="346"/>
      <c r="H21" s="346"/>
      <c r="I21" s="346"/>
      <c r="J21" s="346"/>
      <c r="K21" s="346"/>
      <c r="L21" s="346"/>
      <c r="M21" s="346"/>
      <c r="N21" s="348"/>
      <c r="O21" s="327"/>
    </row>
    <row r="22" spans="1:15" ht="15">
      <c r="A22" s="191" t="s">
        <v>67</v>
      </c>
      <c r="B22" s="282"/>
      <c r="C22" s="282"/>
      <c r="D22" s="282"/>
      <c r="E22" s="282"/>
      <c r="F22" s="283"/>
      <c r="G22" s="282"/>
      <c r="H22" s="283"/>
      <c r="I22" s="282"/>
      <c r="J22" s="282"/>
      <c r="K22" s="282"/>
      <c r="L22" s="282"/>
      <c r="M22" s="282"/>
      <c r="N22" s="280"/>
      <c r="O22" s="282"/>
    </row>
    <row r="23" spans="1:15" ht="18" customHeight="1">
      <c r="A23" s="695" t="s">
        <v>291</v>
      </c>
      <c r="B23" s="695"/>
      <c r="C23" s="695"/>
      <c r="D23" s="695"/>
      <c r="E23" s="695"/>
      <c r="F23" s="695"/>
      <c r="G23" s="695"/>
      <c r="H23" s="695"/>
      <c r="I23" s="695"/>
      <c r="J23" s="695"/>
      <c r="K23" s="695"/>
      <c r="L23" s="695"/>
      <c r="M23" s="695"/>
      <c r="N23" s="411"/>
      <c r="O23" s="411"/>
    </row>
    <row r="24" spans="1:15" ht="13.5" customHeight="1">
      <c r="A24" s="691" t="s">
        <v>87</v>
      </c>
      <c r="B24" s="692"/>
      <c r="C24" s="692"/>
      <c r="D24" s="692"/>
      <c r="E24" s="692"/>
      <c r="F24" s="692"/>
      <c r="G24" s="692"/>
      <c r="H24" s="692"/>
      <c r="I24" s="692"/>
      <c r="J24" s="692"/>
      <c r="K24" s="692"/>
      <c r="L24" s="692"/>
      <c r="M24" s="692"/>
      <c r="N24" s="692"/>
      <c r="O24" s="38"/>
    </row>
    <row r="25" spans="1:15" ht="13.5" customHeight="1">
      <c r="A25" s="351" t="s">
        <v>88</v>
      </c>
      <c r="B25" s="38"/>
      <c r="C25" s="38"/>
      <c r="D25" s="38"/>
      <c r="E25" s="38"/>
      <c r="F25" s="38"/>
      <c r="G25" s="38"/>
      <c r="H25" s="38"/>
      <c r="I25" s="38"/>
      <c r="J25" s="38"/>
      <c r="K25" s="38"/>
      <c r="L25" s="38"/>
      <c r="M25" s="38"/>
      <c r="N25" s="38"/>
      <c r="O25" s="38"/>
    </row>
    <row r="26" spans="1:15" s="116" customFormat="1" ht="13.5" customHeight="1">
      <c r="A26" s="693" t="s">
        <v>89</v>
      </c>
      <c r="B26" s="694"/>
      <c r="C26" s="694"/>
      <c r="D26" s="694"/>
      <c r="E26" s="694"/>
      <c r="F26" s="694"/>
      <c r="G26" s="694"/>
      <c r="H26" s="694"/>
      <c r="I26" s="694"/>
      <c r="J26" s="694"/>
      <c r="K26" s="694"/>
      <c r="L26" s="694"/>
      <c r="M26" s="694"/>
      <c r="N26" s="694"/>
      <c r="O26" s="38"/>
    </row>
    <row r="27" spans="1:15" ht="15">
      <c r="A27" s="181" t="s">
        <v>77</v>
      </c>
      <c r="B27" s="381"/>
      <c r="C27" s="381"/>
      <c r="D27" s="381"/>
      <c r="E27" s="381"/>
      <c r="F27" s="381"/>
      <c r="G27" s="381"/>
      <c r="H27" s="381"/>
      <c r="I27" s="381"/>
      <c r="J27" s="381"/>
      <c r="K27" s="381"/>
      <c r="L27" s="381"/>
      <c r="M27" s="381"/>
      <c r="N27" s="381"/>
      <c r="O27" s="374" t="s">
        <v>90</v>
      </c>
    </row>
    <row r="28" spans="1:15" ht="13.5" customHeight="1">
      <c r="A28" s="351"/>
      <c r="B28" s="38"/>
      <c r="C28" s="38"/>
      <c r="D28" s="38"/>
      <c r="E28" s="38"/>
      <c r="F28" s="38"/>
      <c r="G28" s="38"/>
      <c r="H28" s="38"/>
      <c r="I28" s="38"/>
      <c r="J28" s="38"/>
      <c r="K28" s="38"/>
      <c r="L28" s="38"/>
      <c r="M28" s="38"/>
      <c r="N28" s="38"/>
      <c r="O28" s="38"/>
    </row>
    <row r="29" spans="1:15" ht="12.75" customHeight="1">
      <c r="N29" s="280"/>
    </row>
    <row r="30" spans="1:15" ht="12.75" customHeight="1">
      <c r="N30" s="280"/>
    </row>
    <row r="34" spans="8:8" ht="12.75" customHeight="1">
      <c r="H34">
        <v>0</v>
      </c>
    </row>
  </sheetData>
  <mergeCells count="4">
    <mergeCell ref="A7:N7"/>
    <mergeCell ref="A24:N24"/>
    <mergeCell ref="A26:N26"/>
    <mergeCell ref="A23:M23"/>
  </mergeCells>
  <phoneticPr fontId="45" type="noConversion"/>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zoomScaleNormal="100" zoomScaleSheetLayoutView="100" workbookViewId="0">
      <selection activeCell="A7" sqref="A7:N7"/>
    </sheetView>
  </sheetViews>
  <sheetFormatPr defaultColWidth="9.28515625" defaultRowHeight="40.5" customHeight="1"/>
  <cols>
    <col min="1" max="1" width="35" customWidth="1"/>
    <col min="2" max="9" width="10.7109375" customWidth="1"/>
    <col min="10" max="10" width="11.28515625" customWidth="1"/>
    <col min="11" max="13" width="10.7109375" customWidth="1"/>
    <col min="14" max="14" width="14.28515625" style="148" bestFit="1" customWidth="1"/>
    <col min="15" max="15" width="149.5703125" customWidth="1"/>
  </cols>
  <sheetData>
    <row r="1" spans="1:16" ht="12.75">
      <c r="N1" s="284"/>
    </row>
    <row r="2" spans="1:16" ht="12.75">
      <c r="H2" s="114" t="s">
        <v>39</v>
      </c>
      <c r="N2" s="284"/>
    </row>
    <row r="3" spans="1:16" ht="12.75">
      <c r="H3" s="145">
        <f>'Program MW '!H3</f>
        <v>44593</v>
      </c>
      <c r="N3" s="284"/>
    </row>
    <row r="4" spans="1:16" ht="12.75">
      <c r="F4" s="116"/>
      <c r="G4" s="116"/>
      <c r="I4" s="116"/>
      <c r="N4" s="284"/>
      <c r="O4" s="38"/>
    </row>
    <row r="5" spans="1:16" ht="12.75">
      <c r="B5" s="116"/>
      <c r="C5" s="116"/>
      <c r="D5" s="116"/>
      <c r="F5" s="114"/>
      <c r="N5" s="284"/>
    </row>
    <row r="6" spans="1:16" ht="12.75">
      <c r="F6" s="114"/>
      <c r="N6" s="284"/>
    </row>
    <row r="7" spans="1:16" ht="22.5" customHeight="1">
      <c r="A7" s="696" t="s">
        <v>91</v>
      </c>
      <c r="B7" s="697"/>
      <c r="C7" s="697"/>
      <c r="D7" s="697"/>
      <c r="E7" s="697"/>
      <c r="F7" s="697"/>
      <c r="G7" s="697"/>
      <c r="H7" s="697"/>
      <c r="I7" s="697"/>
      <c r="J7" s="697"/>
      <c r="K7" s="697"/>
      <c r="L7" s="697"/>
      <c r="M7" s="697"/>
      <c r="N7" s="698"/>
      <c r="O7" s="515"/>
    </row>
    <row r="8" spans="1:16" ht="40.5" customHeight="1">
      <c r="A8" s="37" t="s">
        <v>1</v>
      </c>
      <c r="B8" s="329" t="s">
        <v>41</v>
      </c>
      <c r="C8" s="329" t="s">
        <v>42</v>
      </c>
      <c r="D8" s="329" t="s">
        <v>43</v>
      </c>
      <c r="E8" s="329" t="s">
        <v>44</v>
      </c>
      <c r="F8" s="329" t="s">
        <v>31</v>
      </c>
      <c r="G8" s="329" t="s">
        <v>45</v>
      </c>
      <c r="H8" s="329" t="s">
        <v>59</v>
      </c>
      <c r="I8" s="329" t="s">
        <v>60</v>
      </c>
      <c r="J8" s="329" t="s">
        <v>61</v>
      </c>
      <c r="K8" s="329" t="s">
        <v>62</v>
      </c>
      <c r="L8" s="329" t="s">
        <v>63</v>
      </c>
      <c r="M8" s="329" t="s">
        <v>64</v>
      </c>
      <c r="N8" s="516" t="str">
        <f>'Ex ante LI &amp; Eligibility Stats'!N8:N8</f>
        <v>Eligible Accounts as of January</v>
      </c>
      <c r="O8" s="217" t="s">
        <v>80</v>
      </c>
    </row>
    <row r="9" spans="1:16" ht="75.75" customHeight="1">
      <c r="A9" s="330" t="s">
        <v>8</v>
      </c>
      <c r="B9" s="512">
        <v>106</v>
      </c>
      <c r="C9" s="512">
        <v>106</v>
      </c>
      <c r="D9" s="512">
        <v>106</v>
      </c>
      <c r="E9" s="512">
        <v>106</v>
      </c>
      <c r="F9" s="512">
        <v>106</v>
      </c>
      <c r="G9" s="512">
        <v>106</v>
      </c>
      <c r="H9" s="512">
        <v>106</v>
      </c>
      <c r="I9" s="512">
        <v>106</v>
      </c>
      <c r="J9" s="512">
        <v>106</v>
      </c>
      <c r="K9" s="512">
        <v>106</v>
      </c>
      <c r="L9" s="512">
        <v>106</v>
      </c>
      <c r="M9" s="512">
        <v>106</v>
      </c>
      <c r="N9" s="517">
        <f>'Ex ante LI &amp; Eligibility Stats'!N9</f>
        <v>5326</v>
      </c>
      <c r="O9" s="218" t="str">
        <f>'Ex ante LI &amp; Eligibility Stats'!O9</f>
        <v>Direct Participation Customers: Any non-residential customer who can commit to reducing at least 15% of their Monthly Average Peak Demand, may participate in Schedule BIP directly with the Utility. Aggregator Customers: Any non-residential customer may participate in Schedule BIP through an aggregator. This tariff is available to bundled, Direct Access (DA), and Community Choice Aggregation (CCA) customers.</v>
      </c>
      <c r="P9" s="512"/>
    </row>
    <row r="10" spans="1:16" ht="75.75" customHeight="1">
      <c r="A10" s="382" t="s">
        <v>11</v>
      </c>
      <c r="B10" s="383">
        <v>0.48120716908709499</v>
      </c>
      <c r="C10" s="383">
        <v>0.48120716908709499</v>
      </c>
      <c r="D10" s="512">
        <v>0.48120716908709499</v>
      </c>
      <c r="E10" s="512">
        <v>0.48120716908709499</v>
      </c>
      <c r="F10" s="512">
        <v>0.48120716908709499</v>
      </c>
      <c r="G10" s="512">
        <v>0.48120716908709499</v>
      </c>
      <c r="H10" s="512">
        <v>0.48120716908709499</v>
      </c>
      <c r="I10" s="512">
        <v>0.48120716908709499</v>
      </c>
      <c r="J10" s="512">
        <v>0.48120716908709499</v>
      </c>
      <c r="K10" s="512">
        <v>0.48120716908709499</v>
      </c>
      <c r="L10" s="512">
        <v>0.48120716908709499</v>
      </c>
      <c r="M10" s="512">
        <v>0.48120716908709499</v>
      </c>
      <c r="N10" s="334">
        <f>'Ex ante LI &amp; Eligibility Stats'!N10</f>
        <v>24298</v>
      </c>
      <c r="O10" s="21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331" t="s">
        <v>17</v>
      </c>
      <c r="B11" s="332">
        <v>0.30028513073921204</v>
      </c>
      <c r="C11" s="332">
        <v>0.30028513073921204</v>
      </c>
      <c r="D11" s="512">
        <v>0.30028513073921204</v>
      </c>
      <c r="E11" s="512">
        <v>0.30028513073921204</v>
      </c>
      <c r="F11" s="512">
        <v>0.30028513073921204</v>
      </c>
      <c r="G11" s="512">
        <v>0.30028513073921204</v>
      </c>
      <c r="H11" s="512">
        <v>0.30028513073921204</v>
      </c>
      <c r="I11" s="512">
        <v>0.30028513073921204</v>
      </c>
      <c r="J11" s="512">
        <v>0.30028513073921204</v>
      </c>
      <c r="K11" s="512">
        <v>0.30028513073921204</v>
      </c>
      <c r="L11" s="512">
        <v>0.30028513073921204</v>
      </c>
      <c r="M11" s="512">
        <v>0.30028513073921204</v>
      </c>
      <c r="N11" s="334">
        <f>'Ex ante LI &amp; Eligibility Stats'!N11</f>
        <v>590220</v>
      </c>
      <c r="O11" s="21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331" t="s">
        <v>20</v>
      </c>
      <c r="B12" s="332">
        <v>0.4638446569442749</v>
      </c>
      <c r="C12" s="332">
        <v>0.4638446569442749</v>
      </c>
      <c r="D12" s="512">
        <v>0.4638446569442749</v>
      </c>
      <c r="E12" s="512">
        <v>0.4638446569442749</v>
      </c>
      <c r="F12" s="512">
        <v>0.4638446569442749</v>
      </c>
      <c r="G12" s="512">
        <v>0.4638446569442749</v>
      </c>
      <c r="H12" s="512">
        <v>0.4638446569442749</v>
      </c>
      <c r="I12" s="512">
        <v>0.4638446569442749</v>
      </c>
      <c r="J12" s="512">
        <v>0.4638446569442749</v>
      </c>
      <c r="K12" s="512">
        <v>0.4638446569442749</v>
      </c>
      <c r="L12" s="512">
        <v>0.4638446569442749</v>
      </c>
      <c r="M12" s="512">
        <v>0.4638446569442749</v>
      </c>
      <c r="N12" s="334">
        <f>'Ex ante LI &amp; Eligibility Stats'!N12</f>
        <v>133226</v>
      </c>
      <c r="O12" s="21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331" t="s">
        <v>21</v>
      </c>
      <c r="B13" s="332">
        <v>0.13413890000000001</v>
      </c>
      <c r="C13" s="332">
        <v>0.13413890000000001</v>
      </c>
      <c r="D13" s="512">
        <v>0.13413890000000001</v>
      </c>
      <c r="E13" s="512">
        <v>0.13413890000000001</v>
      </c>
      <c r="F13" s="512">
        <v>0.13413890000000001</v>
      </c>
      <c r="G13" s="512">
        <v>0.13413890000000001</v>
      </c>
      <c r="H13" s="512">
        <v>0.13413890000000001</v>
      </c>
      <c r="I13" s="512">
        <v>0.13413890000000001</v>
      </c>
      <c r="J13" s="512">
        <v>0.13413890000000001</v>
      </c>
      <c r="K13" s="512">
        <v>0.13413890000000001</v>
      </c>
      <c r="L13" s="512">
        <v>0.13413890000000001</v>
      </c>
      <c r="M13" s="512">
        <v>0.13413890000000001</v>
      </c>
      <c r="N13" s="334">
        <f>'Ex ante LI &amp; Eligibility Stats'!N13</f>
        <v>590220</v>
      </c>
      <c r="O13" s="21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331" t="s">
        <v>23</v>
      </c>
      <c r="B14" s="332">
        <v>4.9344300000000001E-2</v>
      </c>
      <c r="C14" s="332">
        <v>4.9344300000000001E-2</v>
      </c>
      <c r="D14" s="512">
        <v>4.9344300000000001E-2</v>
      </c>
      <c r="E14" s="512">
        <v>4.9344300000000001E-2</v>
      </c>
      <c r="F14" s="512">
        <v>4.9344300000000001E-2</v>
      </c>
      <c r="G14" s="512">
        <v>4.9344300000000001E-2</v>
      </c>
      <c r="H14" s="512">
        <v>4.9344300000000001E-2</v>
      </c>
      <c r="I14" s="512">
        <v>4.9344300000000001E-2</v>
      </c>
      <c r="J14" s="512">
        <v>4.9344300000000001E-2</v>
      </c>
      <c r="K14" s="512">
        <v>4.9344300000000001E-2</v>
      </c>
      <c r="L14" s="512">
        <v>4.9344300000000001E-2</v>
      </c>
      <c r="M14" s="512">
        <v>4.9344300000000001E-2</v>
      </c>
      <c r="N14" s="334">
        <f>'Ex ante LI &amp; Eligibility Stats'!N14</f>
        <v>133226</v>
      </c>
      <c r="O14" s="21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82" t="s">
        <v>24</v>
      </c>
      <c r="B15" s="518">
        <v>17.953320000000001</v>
      </c>
      <c r="C15" s="518">
        <v>17.953320000000001</v>
      </c>
      <c r="D15" s="512">
        <v>17.953320000000001</v>
      </c>
      <c r="E15" s="512">
        <v>17.953320000000001</v>
      </c>
      <c r="F15" s="512">
        <v>17.953320000000001</v>
      </c>
      <c r="G15" s="512">
        <v>17.953320000000001</v>
      </c>
      <c r="H15" s="512">
        <v>17.953320000000001</v>
      </c>
      <c r="I15" s="512">
        <v>17.953320000000001</v>
      </c>
      <c r="J15" s="512">
        <v>17.953320000000001</v>
      </c>
      <c r="K15" s="512">
        <v>17.953320000000001</v>
      </c>
      <c r="L15" s="512">
        <v>17.953320000000001</v>
      </c>
      <c r="M15" s="512">
        <v>17.953320000000001</v>
      </c>
      <c r="N15" s="334">
        <f>'Ex ante LI &amp; Eligibility Stats'!N15</f>
        <v>78368</v>
      </c>
      <c r="O15" s="21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82" t="s">
        <v>25</v>
      </c>
      <c r="B16" s="518">
        <v>13.800850000000001</v>
      </c>
      <c r="C16" s="518">
        <v>13.800850000000001</v>
      </c>
      <c r="D16" s="512">
        <v>13.800850000000001</v>
      </c>
      <c r="E16" s="512">
        <v>13.800850000000001</v>
      </c>
      <c r="F16" s="512">
        <v>13.800850000000001</v>
      </c>
      <c r="G16" s="512">
        <v>13.800850000000001</v>
      </c>
      <c r="H16" s="512">
        <v>13.800850000000001</v>
      </c>
      <c r="I16" s="512">
        <v>13.800850000000001</v>
      </c>
      <c r="J16" s="512">
        <v>13.800850000000001</v>
      </c>
      <c r="K16" s="512">
        <v>13.800850000000001</v>
      </c>
      <c r="L16" s="512">
        <v>13.800850000000001</v>
      </c>
      <c r="M16" s="512">
        <v>13.800850000000001</v>
      </c>
      <c r="N16" s="334">
        <f>'Ex ante LI &amp; Eligibility Stats'!N16</f>
        <v>78368</v>
      </c>
      <c r="O16" s="21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331" t="s">
        <v>27</v>
      </c>
      <c r="B17" s="512">
        <v>0.16711041871077983</v>
      </c>
      <c r="C17" s="512">
        <v>0.16711041871077983</v>
      </c>
      <c r="D17" s="512">
        <v>0.16711041871077983</v>
      </c>
      <c r="E17" s="512">
        <v>0.16711041871077983</v>
      </c>
      <c r="F17" s="512">
        <v>0.16711041871077983</v>
      </c>
      <c r="G17" s="512">
        <v>0.16711041871077983</v>
      </c>
      <c r="H17" s="512">
        <v>0.16711041871077983</v>
      </c>
      <c r="I17" s="512">
        <v>0.16711041871077983</v>
      </c>
      <c r="J17" s="512">
        <v>0.16711041871077983</v>
      </c>
      <c r="K17" s="512">
        <v>0.16711041871077983</v>
      </c>
      <c r="L17" s="512">
        <v>0.16711041871077983</v>
      </c>
      <c r="M17" s="512">
        <v>0.16711041871077983</v>
      </c>
      <c r="N17" s="334">
        <f>'Ex ante LI &amp; Eligibility Stats'!N17</f>
        <v>1292629</v>
      </c>
      <c r="O17" s="21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75" t="s">
        <v>26</v>
      </c>
      <c r="B18" s="336">
        <v>4.9964198690539703E-2</v>
      </c>
      <c r="C18" s="336">
        <v>4.9964198690539703E-2</v>
      </c>
      <c r="D18" s="514">
        <v>4.9964198690539703E-2</v>
      </c>
      <c r="E18" s="514">
        <v>4.9964198690539703E-2</v>
      </c>
      <c r="F18" s="514">
        <v>4.9964198690539703E-2</v>
      </c>
      <c r="G18" s="514">
        <v>4.9964198690539703E-2</v>
      </c>
      <c r="H18" s="514">
        <v>4.9964198690539703E-2</v>
      </c>
      <c r="I18" s="514">
        <v>4.9964198690539703E-2</v>
      </c>
      <c r="J18" s="514">
        <v>4.9964198690539703E-2</v>
      </c>
      <c r="K18" s="514">
        <v>4.9964198690539703E-2</v>
      </c>
      <c r="L18" s="514">
        <v>4.9964198690539703E-2</v>
      </c>
      <c r="M18" s="514">
        <v>4.9964198690539703E-2</v>
      </c>
      <c r="N18" s="379">
        <f>'Ex ante LI &amp; Eligibility Stats'!N18</f>
        <v>120672</v>
      </c>
      <c r="O18" s="519"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TOU-A-2, and/or TOU-A-3.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330" t="s">
        <v>55</v>
      </c>
      <c r="B19" s="377">
        <v>0.47450989484786987</v>
      </c>
      <c r="C19" s="377">
        <v>0.47450989484786987</v>
      </c>
      <c r="D19" s="377">
        <v>0.47450989484786987</v>
      </c>
      <c r="E19" s="377">
        <v>0.47450989484786987</v>
      </c>
      <c r="F19" s="377">
        <v>0.47450989484786987</v>
      </c>
      <c r="G19" s="377">
        <v>0.47450989484786987</v>
      </c>
      <c r="H19" s="377">
        <v>0.47450989484786987</v>
      </c>
      <c r="I19" s="377">
        <v>0.47450989484786987</v>
      </c>
      <c r="J19" s="377">
        <v>0.47450989484786987</v>
      </c>
      <c r="K19" s="377">
        <v>0.47450989484786987</v>
      </c>
      <c r="L19" s="377">
        <v>0.47450989484786987</v>
      </c>
      <c r="M19" s="377">
        <v>0.47450989484786987</v>
      </c>
      <c r="N19" s="380">
        <f>'Ex ante LI &amp; Eligibility Stats'!N19</f>
        <v>2822</v>
      </c>
      <c r="O19" s="218"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345"/>
      <c r="B20" s="346"/>
      <c r="C20" s="346"/>
      <c r="D20" s="346"/>
      <c r="E20" s="346"/>
      <c r="F20" s="346"/>
      <c r="G20" s="346"/>
      <c r="H20" s="346"/>
      <c r="I20" s="346"/>
      <c r="J20" s="346"/>
      <c r="K20" s="346"/>
      <c r="L20" s="346"/>
      <c r="M20" s="346"/>
      <c r="N20" s="347"/>
      <c r="O20" s="327"/>
    </row>
    <row r="21" spans="1:26" ht="15">
      <c r="A21" s="699" t="s">
        <v>92</v>
      </c>
      <c r="B21" s="699"/>
      <c r="C21" s="699"/>
      <c r="D21" s="699"/>
      <c r="E21" s="699"/>
      <c r="F21" s="699"/>
      <c r="G21" s="699"/>
      <c r="H21" s="699"/>
      <c r="I21" s="699"/>
      <c r="J21" s="699"/>
      <c r="K21" s="699"/>
      <c r="L21" s="699"/>
      <c r="M21" s="699"/>
      <c r="N21" s="699"/>
      <c r="O21" s="699"/>
    </row>
    <row r="22" spans="1:26" s="9" customFormat="1" ht="17.25" customHeight="1">
      <c r="A22" s="695" t="s">
        <v>290</v>
      </c>
      <c r="B22" s="700"/>
      <c r="C22" s="700"/>
      <c r="D22" s="700"/>
      <c r="E22" s="700"/>
      <c r="F22" s="700"/>
      <c r="G22" s="700"/>
      <c r="H22" s="700"/>
      <c r="I22" s="700"/>
      <c r="J22" s="700"/>
      <c r="K22" s="700"/>
      <c r="L22" s="700"/>
      <c r="M22" s="412"/>
      <c r="N22" s="412"/>
      <c r="O22" s="412"/>
      <c r="P22" s="12"/>
      <c r="Q22" s="12"/>
      <c r="R22" s="12"/>
      <c r="S22" s="12"/>
      <c r="T22" s="112"/>
      <c r="U22" s="112"/>
      <c r="V22" s="112"/>
      <c r="W22" s="112"/>
      <c r="X22" s="112"/>
      <c r="Y22" s="112"/>
      <c r="Z22" s="112"/>
    </row>
    <row r="23" spans="1:26" ht="12.75" customHeight="1">
      <c r="A23" s="691" t="s">
        <v>93</v>
      </c>
      <c r="B23" s="692"/>
      <c r="C23" s="692"/>
      <c r="D23" s="692"/>
      <c r="E23" s="692"/>
      <c r="F23" s="692"/>
      <c r="G23" s="692"/>
      <c r="H23" s="692"/>
      <c r="I23" s="692"/>
      <c r="J23" s="692"/>
      <c r="K23" s="692"/>
      <c r="L23" s="692"/>
      <c r="M23" s="692"/>
      <c r="N23" s="692"/>
      <c r="O23" s="692"/>
    </row>
    <row r="24" spans="1:26" ht="12.75" customHeight="1">
      <c r="A24" s="693" t="s">
        <v>94</v>
      </c>
      <c r="B24" s="694"/>
      <c r="C24" s="694"/>
      <c r="D24" s="694"/>
      <c r="E24" s="694"/>
      <c r="F24" s="694"/>
      <c r="G24" s="694"/>
      <c r="H24" s="694"/>
      <c r="I24" s="694"/>
      <c r="J24" s="694"/>
      <c r="K24" s="694"/>
      <c r="L24" s="694"/>
      <c r="M24" s="694"/>
      <c r="N24" s="694"/>
    </row>
    <row r="25" spans="1:26" s="9" customFormat="1" ht="15">
      <c r="A25" s="192" t="s">
        <v>77</v>
      </c>
      <c r="B25"/>
      <c r="C25"/>
      <c r="D25"/>
      <c r="E25"/>
      <c r="F25"/>
      <c r="G25"/>
      <c r="H25"/>
      <c r="I25"/>
      <c r="J25"/>
      <c r="K25"/>
      <c r="L25"/>
      <c r="M25"/>
      <c r="N25" s="284"/>
      <c r="O25"/>
      <c r="P25" s="12"/>
      <c r="Q25" s="12"/>
      <c r="R25" s="12"/>
      <c r="S25" s="12"/>
      <c r="T25" s="112"/>
      <c r="U25" s="112"/>
      <c r="V25" s="112"/>
      <c r="W25" s="112"/>
      <c r="X25" s="112"/>
      <c r="Y25" s="112"/>
      <c r="Z25" s="112"/>
    </row>
    <row r="26" spans="1:26" ht="40.5" customHeight="1">
      <c r="N26" s="284"/>
    </row>
    <row r="29" spans="1:26" ht="40.5" customHeight="1">
      <c r="H29" t="s">
        <v>56</v>
      </c>
    </row>
    <row r="53" spans="1:1" ht="40.5" customHeight="1">
      <c r="A53" s="151"/>
    </row>
  </sheetData>
  <mergeCells count="5">
    <mergeCell ref="A7:N7"/>
    <mergeCell ref="A21:O21"/>
    <mergeCell ref="A23:O23"/>
    <mergeCell ref="A24:N24"/>
    <mergeCell ref="A22:L22"/>
  </mergeCells>
  <phoneticPr fontId="0" type="noConversion"/>
  <printOptions horizontalCentered="1"/>
  <pageMargins left="0" right="0" top="0" bottom="0" header="0.3" footer="0.15"/>
  <pageSetup paperSize="5" scale="42"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1" customWidth="1"/>
    <col min="2" max="4" width="10.7109375" style="41" customWidth="1"/>
    <col min="5" max="5" width="12.7109375" style="41" customWidth="1"/>
    <col min="6" max="8" width="10.5703125" style="41" customWidth="1"/>
    <col min="9" max="9" width="12.7109375" style="41" customWidth="1"/>
    <col min="10" max="12" width="10.7109375" style="41" customWidth="1"/>
    <col min="13" max="13" width="12.7109375" style="41" customWidth="1"/>
    <col min="14" max="16" width="10.7109375" style="41" customWidth="1"/>
    <col min="17" max="17" width="12.7109375" style="41" customWidth="1"/>
    <col min="18" max="20" width="10.7109375" style="41" customWidth="1"/>
    <col min="21" max="21" width="12.7109375" style="41" customWidth="1"/>
    <col min="22" max="24" width="10.7109375" style="41" customWidth="1"/>
    <col min="25" max="25" width="12.7109375" style="41" customWidth="1"/>
    <col min="26" max="16384" width="9.28515625" style="41"/>
  </cols>
  <sheetData>
    <row r="1" spans="1:25">
      <c r="A1" s="40" t="s">
        <v>95</v>
      </c>
    </row>
    <row r="3" spans="1:25" ht="21.75" customHeight="1">
      <c r="A3" s="77">
        <v>2016</v>
      </c>
      <c r="B3" s="701" t="s">
        <v>41</v>
      </c>
      <c r="C3" s="701"/>
      <c r="D3" s="701"/>
      <c r="E3" s="701"/>
      <c r="F3" s="702" t="s">
        <v>42</v>
      </c>
      <c r="G3" s="702"/>
      <c r="H3" s="702"/>
      <c r="I3" s="702"/>
      <c r="J3" s="702" t="s">
        <v>43</v>
      </c>
      <c r="K3" s="702"/>
      <c r="L3" s="702"/>
      <c r="M3" s="702"/>
      <c r="N3" s="702" t="s">
        <v>44</v>
      </c>
      <c r="O3" s="702"/>
      <c r="P3" s="702"/>
      <c r="Q3" s="702"/>
      <c r="R3" s="702" t="s">
        <v>31</v>
      </c>
      <c r="S3" s="702"/>
      <c r="T3" s="702"/>
      <c r="U3" s="702"/>
      <c r="V3" s="702" t="s">
        <v>45</v>
      </c>
      <c r="W3" s="702"/>
      <c r="X3" s="702"/>
      <c r="Y3" s="702"/>
    </row>
    <row r="4" spans="1:25" ht="79.5" customHeight="1">
      <c r="A4" s="352" t="s">
        <v>96</v>
      </c>
      <c r="B4" s="51" t="s">
        <v>97</v>
      </c>
      <c r="C4" s="51" t="s">
        <v>98</v>
      </c>
      <c r="D4" s="51" t="s">
        <v>99</v>
      </c>
      <c r="E4" s="51" t="s">
        <v>100</v>
      </c>
      <c r="F4" s="51" t="s">
        <v>97</v>
      </c>
      <c r="G4" s="51" t="s">
        <v>98</v>
      </c>
      <c r="H4" s="51" t="s">
        <v>99</v>
      </c>
      <c r="I4" s="51" t="s">
        <v>100</v>
      </c>
      <c r="J4" s="51" t="s">
        <v>97</v>
      </c>
      <c r="K4" s="51" t="s">
        <v>98</v>
      </c>
      <c r="L4" s="51" t="s">
        <v>99</v>
      </c>
      <c r="M4" s="51" t="s">
        <v>100</v>
      </c>
      <c r="N4" s="51" t="s">
        <v>97</v>
      </c>
      <c r="O4" s="51" t="s">
        <v>98</v>
      </c>
      <c r="P4" s="51" t="s">
        <v>99</v>
      </c>
      <c r="Q4" s="51" t="s">
        <v>100</v>
      </c>
      <c r="R4" s="51" t="s">
        <v>97</v>
      </c>
      <c r="S4" s="51" t="s">
        <v>98</v>
      </c>
      <c r="T4" s="51" t="s">
        <v>99</v>
      </c>
      <c r="U4" s="51" t="s">
        <v>100</v>
      </c>
      <c r="V4" s="51" t="s">
        <v>97</v>
      </c>
      <c r="W4" s="51" t="s">
        <v>98</v>
      </c>
      <c r="X4" s="51" t="s">
        <v>99</v>
      </c>
      <c r="Y4" s="51" t="s">
        <v>100</v>
      </c>
    </row>
    <row r="5" spans="1:25">
      <c r="A5" s="78" t="s">
        <v>101</v>
      </c>
      <c r="B5" s="53"/>
      <c r="C5" s="54">
        <v>5.8977000000000004</v>
      </c>
      <c r="D5" s="55">
        <v>2.3029999999999999</v>
      </c>
      <c r="E5" s="56">
        <f>SUM(B5:D5)</f>
        <v>8.2007000000000012</v>
      </c>
      <c r="F5" s="52"/>
      <c r="G5" s="55">
        <v>5.8977000000000004</v>
      </c>
      <c r="H5" s="55">
        <v>2.3029999999999999</v>
      </c>
      <c r="I5" s="57">
        <f>SUM(G5:H5)</f>
        <v>8.2007000000000012</v>
      </c>
      <c r="J5" s="52"/>
      <c r="K5" s="55"/>
      <c r="L5" s="55"/>
      <c r="M5" s="57">
        <f>SUM(K5:L5)</f>
        <v>0</v>
      </c>
      <c r="N5" s="52"/>
      <c r="O5" s="55"/>
      <c r="P5" s="55"/>
      <c r="Q5" s="57">
        <f>SUM(O5:P5)</f>
        <v>0</v>
      </c>
      <c r="R5" s="52"/>
      <c r="S5" s="55"/>
      <c r="T5" s="55"/>
      <c r="U5" s="57">
        <f>SUM(S5:T5)</f>
        <v>0</v>
      </c>
      <c r="V5" s="52"/>
      <c r="W5" s="55"/>
      <c r="X5" s="55"/>
      <c r="Y5" s="57">
        <f>SUM(W5:X5)</f>
        <v>0</v>
      </c>
    </row>
    <row r="6" spans="1:25">
      <c r="A6" s="78" t="s">
        <v>102</v>
      </c>
      <c r="B6" s="83"/>
      <c r="C6" s="84">
        <v>12.8962</v>
      </c>
      <c r="D6" s="54">
        <v>1.4750000000000001</v>
      </c>
      <c r="E6" s="56">
        <f>SUM(B6:D6)</f>
        <v>14.3712</v>
      </c>
      <c r="F6" s="52"/>
      <c r="G6" s="55">
        <v>12.911899999999999</v>
      </c>
      <c r="H6" s="58">
        <v>1.4750000000000001</v>
      </c>
      <c r="I6" s="57">
        <f>SUM(G6:H6)</f>
        <v>14.386899999999999</v>
      </c>
      <c r="J6" s="59"/>
      <c r="K6" s="55"/>
      <c r="L6" s="58"/>
      <c r="M6" s="57">
        <f>SUM(K6:L6)</f>
        <v>0</v>
      </c>
      <c r="N6" s="59"/>
      <c r="O6" s="55"/>
      <c r="P6" s="58"/>
      <c r="Q6" s="57">
        <f>SUM(O6:P6)</f>
        <v>0</v>
      </c>
      <c r="R6" s="59"/>
      <c r="S6" s="55"/>
      <c r="T6" s="58"/>
      <c r="U6" s="57">
        <f>SUM(S6:T6)</f>
        <v>0</v>
      </c>
      <c r="V6" s="59"/>
      <c r="W6" s="55"/>
      <c r="X6" s="58"/>
      <c r="Y6" s="57">
        <f>SUM(W6:X6)</f>
        <v>0</v>
      </c>
    </row>
    <row r="7" spans="1:25" s="40" customFormat="1">
      <c r="A7" s="520" t="s">
        <v>103</v>
      </c>
      <c r="B7" s="521"/>
      <c r="C7" s="522">
        <f>SUM(C5:C6)</f>
        <v>18.793900000000001</v>
      </c>
      <c r="D7" s="522">
        <f>SUM(D5:D6)</f>
        <v>3.778</v>
      </c>
      <c r="E7" s="522">
        <f>SUM(E5:E6)</f>
        <v>22.571899999999999</v>
      </c>
      <c r="F7" s="523"/>
      <c r="G7" s="57">
        <f t="shared" ref="G7:Y7" si="0">SUM(G5:G6)</f>
        <v>18.8096</v>
      </c>
      <c r="H7" s="57">
        <f t="shared" si="0"/>
        <v>3.778</v>
      </c>
      <c r="I7" s="57">
        <f t="shared" si="0"/>
        <v>22.587600000000002</v>
      </c>
      <c r="J7" s="57"/>
      <c r="K7" s="57">
        <f t="shared" si="0"/>
        <v>0</v>
      </c>
      <c r="L7" s="57">
        <f t="shared" si="0"/>
        <v>0</v>
      </c>
      <c r="M7" s="57">
        <f t="shared" si="0"/>
        <v>0</v>
      </c>
      <c r="N7" s="57"/>
      <c r="O7" s="57">
        <f t="shared" si="0"/>
        <v>0</v>
      </c>
      <c r="P7" s="57">
        <f t="shared" si="0"/>
        <v>0</v>
      </c>
      <c r="Q7" s="57">
        <f t="shared" si="0"/>
        <v>0</v>
      </c>
      <c r="R7" s="57"/>
      <c r="S7" s="57">
        <f t="shared" si="0"/>
        <v>0</v>
      </c>
      <c r="T7" s="57">
        <f t="shared" si="0"/>
        <v>0</v>
      </c>
      <c r="U7" s="57">
        <f t="shared" si="0"/>
        <v>0</v>
      </c>
      <c r="V7" s="57"/>
      <c r="W7" s="57">
        <f t="shared" si="0"/>
        <v>0</v>
      </c>
      <c r="X7" s="57">
        <f t="shared" si="0"/>
        <v>0</v>
      </c>
      <c r="Y7" s="57">
        <f t="shared" si="0"/>
        <v>0</v>
      </c>
    </row>
    <row r="8" spans="1:25" ht="4.5" customHeight="1">
      <c r="A8" s="520"/>
      <c r="B8" s="523"/>
      <c r="C8" s="85"/>
      <c r="D8" s="85"/>
      <c r="E8" s="86"/>
      <c r="F8" s="523"/>
      <c r="G8" s="59"/>
      <c r="H8" s="59"/>
      <c r="I8" s="57"/>
      <c r="J8" s="524"/>
      <c r="K8" s="59"/>
      <c r="L8" s="59"/>
      <c r="M8" s="57"/>
      <c r="N8" s="524"/>
      <c r="O8" s="59"/>
      <c r="P8" s="59"/>
      <c r="Q8" s="57"/>
      <c r="R8" s="524"/>
      <c r="S8" s="59"/>
      <c r="T8" s="59"/>
      <c r="U8" s="57"/>
      <c r="V8" s="524"/>
      <c r="W8" s="59"/>
      <c r="X8" s="59"/>
      <c r="Y8" s="57"/>
    </row>
    <row r="9" spans="1:25">
      <c r="A9" s="525" t="s">
        <v>51</v>
      </c>
      <c r="B9" s="526"/>
      <c r="C9" s="51"/>
      <c r="D9" s="51"/>
      <c r="E9" s="353"/>
      <c r="F9" s="526"/>
      <c r="G9" s="60"/>
      <c r="H9" s="61"/>
      <c r="I9" s="61"/>
      <c r="J9" s="527"/>
      <c r="K9" s="60"/>
      <c r="L9" s="61"/>
      <c r="M9" s="57"/>
      <c r="N9" s="527"/>
      <c r="O9" s="60"/>
      <c r="P9" s="61"/>
      <c r="Q9" s="57"/>
      <c r="R9" s="527"/>
      <c r="S9" s="60"/>
      <c r="T9" s="61"/>
      <c r="U9" s="57"/>
      <c r="V9" s="527"/>
      <c r="W9" s="60"/>
      <c r="X9" s="61"/>
      <c r="Y9" s="57">
        <f>SUM(W9:X9)</f>
        <v>0</v>
      </c>
    </row>
    <row r="10" spans="1:25">
      <c r="A10" s="78" t="s">
        <v>104</v>
      </c>
      <c r="B10" s="83"/>
      <c r="C10" s="83"/>
      <c r="D10" s="54"/>
      <c r="E10" s="56"/>
      <c r="F10" s="52"/>
      <c r="G10" s="55"/>
      <c r="H10" s="54"/>
      <c r="I10" s="56"/>
      <c r="J10" s="59"/>
      <c r="K10" s="54" t="s">
        <v>56</v>
      </c>
      <c r="L10" s="54"/>
      <c r="M10" s="57"/>
      <c r="N10" s="59"/>
      <c r="O10" s="54" t="s">
        <v>56</v>
      </c>
      <c r="P10" s="54"/>
      <c r="Q10" s="57"/>
      <c r="R10" s="59"/>
      <c r="S10" s="54" t="s">
        <v>56</v>
      </c>
      <c r="T10" s="54"/>
      <c r="U10" s="57"/>
      <c r="V10" s="59"/>
      <c r="W10" s="54" t="s">
        <v>56</v>
      </c>
      <c r="X10" s="54"/>
      <c r="Y10" s="57">
        <f>SUM(W10:X10)</f>
        <v>0</v>
      </c>
    </row>
    <row r="11" spans="1:25">
      <c r="A11" s="78" t="s">
        <v>105</v>
      </c>
      <c r="B11" s="83"/>
      <c r="C11" s="83"/>
      <c r="D11" s="54"/>
      <c r="E11" s="56"/>
      <c r="F11" s="52"/>
      <c r="G11" s="55"/>
      <c r="H11" s="55"/>
      <c r="I11" s="59"/>
      <c r="J11" s="59"/>
      <c r="K11" s="55"/>
      <c r="L11" s="55"/>
      <c r="M11" s="57"/>
      <c r="N11" s="59"/>
      <c r="O11" s="55"/>
      <c r="P11" s="55"/>
      <c r="Q11" s="57"/>
      <c r="R11" s="59"/>
      <c r="S11" s="55"/>
      <c r="T11" s="55"/>
      <c r="U11" s="57"/>
      <c r="V11" s="59"/>
      <c r="W11" s="55"/>
      <c r="X11" s="55"/>
      <c r="Y11" s="57">
        <f>SUM(W11:X11)</f>
        <v>0</v>
      </c>
    </row>
    <row r="12" spans="1:25">
      <c r="A12" s="78"/>
      <c r="B12" s="53"/>
      <c r="C12" s="54"/>
      <c r="D12" s="54"/>
      <c r="E12" s="87"/>
      <c r="F12" s="52"/>
      <c r="G12" s="55"/>
      <c r="H12" s="55"/>
      <c r="I12" s="59"/>
      <c r="J12" s="59"/>
      <c r="K12" s="55"/>
      <c r="L12" s="55"/>
      <c r="M12" s="57" t="s">
        <v>56</v>
      </c>
      <c r="N12" s="59"/>
      <c r="O12" s="55"/>
      <c r="P12" s="55"/>
      <c r="Q12" s="57" t="s">
        <v>56</v>
      </c>
      <c r="R12" s="59"/>
      <c r="S12" s="55"/>
      <c r="T12" s="55"/>
      <c r="U12" s="57" t="s">
        <v>56</v>
      </c>
      <c r="V12" s="59"/>
      <c r="W12" s="55"/>
      <c r="X12" s="55"/>
      <c r="Y12" s="57" t="s">
        <v>56</v>
      </c>
    </row>
    <row r="13" spans="1:25" s="40" customFormat="1">
      <c r="A13" s="520" t="s">
        <v>103</v>
      </c>
      <c r="B13" s="521"/>
      <c r="C13" s="522">
        <v>0</v>
      </c>
      <c r="D13" s="522">
        <f>SUM(D10:D12)</f>
        <v>0</v>
      </c>
      <c r="E13" s="522">
        <f>SUM(E10:E12)</f>
        <v>0</v>
      </c>
      <c r="F13" s="523"/>
      <c r="G13" s="57">
        <f>SUM(G9:G12)</f>
        <v>0</v>
      </c>
      <c r="H13" s="57">
        <f>SUM(H9:H12)</f>
        <v>0</v>
      </c>
      <c r="I13" s="57">
        <f>SUM(I9:I12)</f>
        <v>0</v>
      </c>
      <c r="J13" s="524"/>
      <c r="K13" s="57">
        <f>SUM(K9:K12)</f>
        <v>0</v>
      </c>
      <c r="L13" s="57">
        <f>SUM(L9:L12)</f>
        <v>0</v>
      </c>
      <c r="M13" s="57">
        <f>SUM(M9:M12)</f>
        <v>0</v>
      </c>
      <c r="N13" s="524"/>
      <c r="O13" s="57">
        <f>SUM(O9:O12)</f>
        <v>0</v>
      </c>
      <c r="P13" s="57">
        <f>SUM(P9:P12)</f>
        <v>0</v>
      </c>
      <c r="Q13" s="57">
        <f>SUM(Q9:Q12)</f>
        <v>0</v>
      </c>
      <c r="R13" s="524"/>
      <c r="S13" s="57">
        <f>SUM(S9:S12)</f>
        <v>0</v>
      </c>
      <c r="T13" s="57">
        <f>SUM(T9:T12)</f>
        <v>0</v>
      </c>
      <c r="U13" s="57">
        <f>SUM(U9:U12)</f>
        <v>0</v>
      </c>
      <c r="V13" s="524"/>
      <c r="W13" s="57">
        <f>SUM(W9:W12)</f>
        <v>0</v>
      </c>
      <c r="X13" s="57">
        <f>SUM(X9:X12)</f>
        <v>0</v>
      </c>
      <c r="Y13" s="57">
        <f>SUM(Y9:Y12)</f>
        <v>0</v>
      </c>
    </row>
    <row r="14" spans="1:25" ht="4.5" customHeight="1">
      <c r="A14" s="520"/>
      <c r="B14" s="523"/>
      <c r="C14" s="85"/>
      <c r="D14" s="85"/>
      <c r="E14" s="86"/>
      <c r="F14" s="523"/>
      <c r="G14" s="59"/>
      <c r="H14" s="59"/>
      <c r="I14" s="57"/>
      <c r="J14" s="524"/>
      <c r="K14" s="59"/>
      <c r="L14" s="59"/>
      <c r="M14" s="57">
        <f>SUM(M9:M12)</f>
        <v>0</v>
      </c>
      <c r="N14" s="524"/>
      <c r="O14" s="59"/>
      <c r="P14" s="59"/>
      <c r="Q14" s="57">
        <f>SUM(Q9:Q12)</f>
        <v>0</v>
      </c>
      <c r="R14" s="524"/>
      <c r="S14" s="59"/>
      <c r="T14" s="59"/>
      <c r="U14" s="57">
        <f>SUM(U9:U12)</f>
        <v>0</v>
      </c>
      <c r="V14" s="524"/>
      <c r="W14" s="59"/>
      <c r="X14" s="59"/>
      <c r="Y14" s="57"/>
    </row>
    <row r="15" spans="1:25" s="40" customFormat="1" ht="17.25" customHeight="1">
      <c r="A15" s="520" t="s">
        <v>100</v>
      </c>
      <c r="B15" s="523"/>
      <c r="C15" s="522">
        <f>C7+C13</f>
        <v>18.793900000000001</v>
      </c>
      <c r="D15" s="522">
        <f>D7+D13</f>
        <v>3.778</v>
      </c>
      <c r="E15" s="522">
        <f>E7+E13</f>
        <v>22.571899999999999</v>
      </c>
      <c r="F15" s="523"/>
      <c r="G15" s="57">
        <f>G7+G13</f>
        <v>18.8096</v>
      </c>
      <c r="H15" s="57">
        <f>H7+H13</f>
        <v>3.778</v>
      </c>
      <c r="I15" s="57">
        <f>I7+I13</f>
        <v>22.587600000000002</v>
      </c>
      <c r="J15" s="524"/>
      <c r="K15" s="57">
        <f>K7+K13</f>
        <v>0</v>
      </c>
      <c r="L15" s="57">
        <f>L7+L13</f>
        <v>0</v>
      </c>
      <c r="M15" s="57">
        <f>M7+M13</f>
        <v>0</v>
      </c>
      <c r="N15" s="524"/>
      <c r="O15" s="57">
        <f>O7+O13</f>
        <v>0</v>
      </c>
      <c r="P15" s="57">
        <f>P7+P13</f>
        <v>0</v>
      </c>
      <c r="Q15" s="57">
        <f>Q7+Q13</f>
        <v>0</v>
      </c>
      <c r="R15" s="524"/>
      <c r="S15" s="57">
        <f>S7+S13</f>
        <v>0</v>
      </c>
      <c r="T15" s="57">
        <f>T7+T13</f>
        <v>0</v>
      </c>
      <c r="U15" s="57">
        <f>U7+U13</f>
        <v>0</v>
      </c>
      <c r="V15" s="524"/>
      <c r="W15" s="57">
        <f>W7+W13</f>
        <v>0</v>
      </c>
      <c r="X15" s="57">
        <f>X7+X13</f>
        <v>0</v>
      </c>
      <c r="Y15" s="57">
        <f>Y7+Y13</f>
        <v>0</v>
      </c>
    </row>
    <row r="16" spans="1:25" ht="17.25" customHeight="1">
      <c r="A16" s="528"/>
      <c r="B16" s="529"/>
      <c r="C16" s="530"/>
      <c r="D16" s="530"/>
      <c r="E16" s="531"/>
      <c r="F16" s="529"/>
      <c r="G16" s="532"/>
      <c r="H16" s="532"/>
      <c r="I16" s="533"/>
      <c r="J16" s="533"/>
      <c r="K16" s="532"/>
      <c r="L16" s="532"/>
      <c r="M16" s="533"/>
      <c r="N16" s="533"/>
      <c r="O16" s="532"/>
      <c r="P16" s="532"/>
      <c r="Q16" s="533"/>
      <c r="R16" s="533"/>
      <c r="S16" s="532"/>
      <c r="T16" s="532"/>
      <c r="U16" s="533"/>
      <c r="V16" s="533"/>
      <c r="W16" s="532"/>
      <c r="X16" s="532"/>
      <c r="Y16" s="533"/>
    </row>
    <row r="17" spans="1:25">
      <c r="A17" s="352" t="s">
        <v>106</v>
      </c>
      <c r="B17" s="534"/>
      <c r="C17" s="535"/>
      <c r="D17" s="535"/>
      <c r="E17" s="536"/>
      <c r="F17" s="537"/>
      <c r="G17" s="538"/>
      <c r="H17" s="538"/>
      <c r="I17" s="539"/>
      <c r="J17" s="539"/>
      <c r="K17" s="538"/>
      <c r="L17" s="538"/>
      <c r="M17" s="539"/>
      <c r="N17" s="539"/>
      <c r="O17" s="538"/>
      <c r="P17" s="538"/>
      <c r="Q17" s="539"/>
      <c r="R17" s="539"/>
      <c r="S17" s="538"/>
      <c r="T17" s="538"/>
      <c r="U17" s="539"/>
      <c r="V17" s="539"/>
      <c r="W17" s="538"/>
      <c r="X17" s="538"/>
      <c r="Y17" s="540"/>
    </row>
    <row r="18" spans="1:25">
      <c r="A18" s="79" t="s">
        <v>107</v>
      </c>
      <c r="B18" s="53"/>
      <c r="C18" s="83"/>
      <c r="D18" s="83"/>
      <c r="E18" s="87"/>
      <c r="F18" s="53"/>
      <c r="G18" s="55"/>
      <c r="H18" s="55"/>
      <c r="I18" s="59"/>
      <c r="J18" s="53"/>
      <c r="K18" s="55"/>
      <c r="L18" s="55"/>
      <c r="M18" s="59"/>
      <c r="N18" s="53"/>
      <c r="O18" s="55"/>
      <c r="P18" s="55"/>
      <c r="Q18" s="59"/>
      <c r="R18" s="53"/>
      <c r="S18" s="55"/>
      <c r="T18" s="55"/>
      <c r="U18" s="59"/>
      <c r="V18" s="53"/>
      <c r="W18" s="55"/>
      <c r="X18" s="55"/>
      <c r="Y18" s="59"/>
    </row>
    <row r="19" spans="1:25">
      <c r="A19" s="78"/>
      <c r="B19" s="52"/>
      <c r="C19" s="88"/>
      <c r="D19" s="88"/>
      <c r="E19" s="89">
        <v>59.3</v>
      </c>
      <c r="F19" s="52"/>
      <c r="G19" s="55"/>
      <c r="H19" s="55"/>
      <c r="I19" s="89">
        <v>59.3</v>
      </c>
      <c r="J19" s="59"/>
      <c r="K19" s="55"/>
      <c r="L19" s="55"/>
      <c r="M19" s="59"/>
      <c r="N19" s="59"/>
      <c r="O19" s="55"/>
      <c r="P19" s="55"/>
      <c r="Q19" s="59"/>
      <c r="R19" s="59"/>
      <c r="S19" s="55"/>
      <c r="T19" s="55"/>
      <c r="U19" s="59"/>
      <c r="V19" s="59"/>
      <c r="W19" s="55"/>
      <c r="X19" s="55"/>
      <c r="Y19" s="59"/>
    </row>
    <row r="20" spans="1:25" s="40" customFormat="1">
      <c r="A20" s="80" t="s">
        <v>103</v>
      </c>
      <c r="B20" s="522">
        <f>SUM(B18:B19)</f>
        <v>0</v>
      </c>
      <c r="C20" s="522"/>
      <c r="D20" s="522"/>
      <c r="E20" s="522">
        <v>59.3</v>
      </c>
      <c r="F20" s="62">
        <f>SUM(F18:F19)</f>
        <v>0</v>
      </c>
      <c r="G20" s="63"/>
      <c r="H20" s="63"/>
      <c r="I20" s="522">
        <v>59.3</v>
      </c>
      <c r="J20" s="57">
        <f>SUM(J18:J19)</f>
        <v>0</v>
      </c>
      <c r="K20" s="63"/>
      <c r="L20" s="63"/>
      <c r="M20" s="57"/>
      <c r="N20" s="57">
        <f>SUM(N18:N19)</f>
        <v>0</v>
      </c>
      <c r="O20" s="63"/>
      <c r="P20" s="63"/>
      <c r="Q20" s="57"/>
      <c r="R20" s="57">
        <f>SUM(R18:R19)</f>
        <v>0</v>
      </c>
      <c r="S20" s="63"/>
      <c r="T20" s="63"/>
      <c r="U20" s="57"/>
      <c r="V20" s="57">
        <f>SUM(V18:V19)</f>
        <v>0</v>
      </c>
      <c r="W20" s="63"/>
      <c r="X20" s="63"/>
      <c r="Y20" s="57"/>
    </row>
    <row r="21" spans="1:25" ht="4.5" customHeight="1">
      <c r="A21" s="520"/>
      <c r="B21" s="85"/>
      <c r="C21" s="85"/>
      <c r="D21" s="85"/>
      <c r="E21" s="86"/>
      <c r="F21" s="523"/>
      <c r="G21" s="59"/>
      <c r="H21" s="59"/>
      <c r="I21" s="86"/>
      <c r="J21" s="524"/>
      <c r="K21" s="59"/>
      <c r="L21" s="59"/>
      <c r="M21" s="57"/>
      <c r="N21" s="524"/>
      <c r="O21" s="59"/>
      <c r="P21" s="59"/>
      <c r="Q21" s="57"/>
      <c r="R21" s="524"/>
      <c r="S21" s="59"/>
      <c r="T21" s="59"/>
      <c r="U21" s="57"/>
      <c r="V21" s="524"/>
      <c r="W21" s="59"/>
      <c r="X21" s="59"/>
      <c r="Y21" s="57"/>
    </row>
    <row r="22" spans="1:25" s="40" customFormat="1">
      <c r="A22" s="520" t="s">
        <v>108</v>
      </c>
      <c r="B22" s="541">
        <f>B20</f>
        <v>0</v>
      </c>
      <c r="C22" s="541"/>
      <c r="D22" s="541"/>
      <c r="E22" s="542">
        <v>59.3</v>
      </c>
      <c r="F22" s="62">
        <f>F20</f>
        <v>0</v>
      </c>
      <c r="G22" s="541"/>
      <c r="H22" s="541"/>
      <c r="I22" s="542">
        <v>59.3</v>
      </c>
      <c r="J22" s="524">
        <f>J20</f>
        <v>0</v>
      </c>
      <c r="K22" s="541"/>
      <c r="L22" s="541"/>
      <c r="M22" s="542"/>
      <c r="N22" s="524">
        <f>N20</f>
        <v>0</v>
      </c>
      <c r="O22" s="541"/>
      <c r="P22" s="541"/>
      <c r="Q22" s="542"/>
      <c r="R22" s="524">
        <f>R20</f>
        <v>0</v>
      </c>
      <c r="S22" s="541"/>
      <c r="T22" s="541"/>
      <c r="U22" s="542"/>
      <c r="V22" s="524">
        <f>V20</f>
        <v>0</v>
      </c>
      <c r="W22" s="541"/>
      <c r="X22" s="541"/>
      <c r="Y22" s="542"/>
    </row>
    <row r="23" spans="1:25">
      <c r="A23" s="40"/>
      <c r="B23" s="66"/>
      <c r="C23" s="67"/>
      <c r="D23" s="67"/>
      <c r="E23" s="68"/>
      <c r="F23" s="66"/>
      <c r="G23" s="67"/>
      <c r="H23" s="68"/>
      <c r="I23" s="66"/>
      <c r="J23" s="66"/>
      <c r="K23" s="67"/>
      <c r="L23" s="68"/>
      <c r="M23" s="66"/>
      <c r="N23" s="66"/>
      <c r="O23" s="67"/>
      <c r="P23" s="68"/>
      <c r="Q23" s="66"/>
      <c r="R23" s="66"/>
      <c r="S23" s="67"/>
      <c r="T23" s="68"/>
      <c r="U23" s="66"/>
      <c r="V23" s="66"/>
      <c r="W23" s="67"/>
      <c r="X23" s="68"/>
      <c r="Y23" s="66"/>
    </row>
    <row r="24" spans="1:25">
      <c r="B24" s="50"/>
      <c r="C24" s="50"/>
      <c r="D24" s="50"/>
      <c r="E24" s="50"/>
      <c r="F24" s="50"/>
      <c r="G24" s="50"/>
      <c r="H24" s="50"/>
      <c r="I24" s="50"/>
      <c r="J24" s="50"/>
      <c r="K24" s="50"/>
      <c r="L24" s="50"/>
      <c r="M24" s="50"/>
      <c r="N24" s="50"/>
      <c r="O24" s="50"/>
      <c r="P24" s="50"/>
      <c r="Q24" s="50"/>
      <c r="R24" s="50"/>
      <c r="S24" s="50"/>
      <c r="T24" s="50"/>
      <c r="U24" s="50"/>
      <c r="V24" s="50"/>
      <c r="W24" s="50"/>
      <c r="X24" s="50"/>
      <c r="Y24" s="50"/>
    </row>
    <row r="25" spans="1:25">
      <c r="A25" s="81"/>
      <c r="B25" s="702" t="s">
        <v>59</v>
      </c>
      <c r="C25" s="702"/>
      <c r="D25" s="702"/>
      <c r="E25" s="702"/>
      <c r="F25" s="702" t="s">
        <v>60</v>
      </c>
      <c r="G25" s="702"/>
      <c r="H25" s="702"/>
      <c r="I25" s="702" t="s">
        <v>59</v>
      </c>
      <c r="J25" s="702" t="s">
        <v>61</v>
      </c>
      <c r="K25" s="702"/>
      <c r="L25" s="702"/>
      <c r="M25" s="702" t="s">
        <v>59</v>
      </c>
      <c r="N25" s="702" t="s">
        <v>62</v>
      </c>
      <c r="O25" s="702"/>
      <c r="P25" s="702"/>
      <c r="Q25" s="702" t="s">
        <v>59</v>
      </c>
      <c r="R25" s="702" t="s">
        <v>63</v>
      </c>
      <c r="S25" s="702"/>
      <c r="T25" s="702"/>
      <c r="U25" s="702" t="s">
        <v>59</v>
      </c>
      <c r="V25" s="702" t="s">
        <v>64</v>
      </c>
      <c r="W25" s="702"/>
      <c r="X25" s="702"/>
      <c r="Y25" s="702" t="s">
        <v>59</v>
      </c>
    </row>
    <row r="26" spans="1:25" ht="38.25">
      <c r="A26" s="352" t="s">
        <v>96</v>
      </c>
      <c r="B26" s="51" t="s">
        <v>97</v>
      </c>
      <c r="C26" s="51" t="s">
        <v>98</v>
      </c>
      <c r="D26" s="51" t="s">
        <v>99</v>
      </c>
      <c r="E26" s="51" t="s">
        <v>100</v>
      </c>
      <c r="F26" s="51" t="s">
        <v>97</v>
      </c>
      <c r="G26" s="51" t="s">
        <v>98</v>
      </c>
      <c r="H26" s="51" t="s">
        <v>99</v>
      </c>
      <c r="I26" s="51" t="s">
        <v>100</v>
      </c>
      <c r="J26" s="51" t="s">
        <v>97</v>
      </c>
      <c r="K26" s="51" t="s">
        <v>98</v>
      </c>
      <c r="L26" s="51" t="s">
        <v>99</v>
      </c>
      <c r="M26" s="51" t="s">
        <v>100</v>
      </c>
      <c r="N26" s="51" t="s">
        <v>97</v>
      </c>
      <c r="O26" s="51" t="s">
        <v>98</v>
      </c>
      <c r="P26" s="51" t="s">
        <v>99</v>
      </c>
      <c r="Q26" s="51" t="s">
        <v>100</v>
      </c>
      <c r="R26" s="51" t="s">
        <v>97</v>
      </c>
      <c r="S26" s="51" t="s">
        <v>98</v>
      </c>
      <c r="T26" s="51" t="s">
        <v>99</v>
      </c>
      <c r="U26" s="51" t="s">
        <v>100</v>
      </c>
      <c r="V26" s="51" t="s">
        <v>97</v>
      </c>
      <c r="W26" s="51" t="s">
        <v>98</v>
      </c>
      <c r="X26" s="51" t="s">
        <v>99</v>
      </c>
      <c r="Y26" s="51" t="s">
        <v>100</v>
      </c>
    </row>
    <row r="27" spans="1:25">
      <c r="A27" s="78" t="s">
        <v>109</v>
      </c>
      <c r="B27" s="64"/>
      <c r="C27" s="64"/>
      <c r="D27" s="55"/>
      <c r="E27" s="90"/>
      <c r="F27" s="59"/>
      <c r="G27" s="55"/>
      <c r="H27" s="58"/>
      <c r="I27" s="57"/>
      <c r="J27" s="59"/>
      <c r="K27" s="55"/>
      <c r="L27" s="58"/>
      <c r="M27" s="57"/>
      <c r="N27" s="59"/>
      <c r="O27" s="55"/>
      <c r="P27" s="58"/>
      <c r="Q27" s="57"/>
      <c r="R27" s="59"/>
      <c r="S27" s="55"/>
      <c r="T27" s="58"/>
      <c r="U27" s="57"/>
      <c r="V27" s="59"/>
      <c r="W27" s="55"/>
      <c r="X27" s="58"/>
      <c r="Y27" s="57"/>
    </row>
    <row r="28" spans="1:25">
      <c r="A28" s="78" t="s">
        <v>102</v>
      </c>
      <c r="B28" s="64"/>
      <c r="C28" s="91"/>
      <c r="D28" s="55"/>
      <c r="E28" s="90">
        <f>SUM(B28:D28)</f>
        <v>0</v>
      </c>
      <c r="F28" s="59"/>
      <c r="G28" s="55"/>
      <c r="H28" s="58"/>
      <c r="I28" s="57">
        <f>SUM(G28:H28)</f>
        <v>0</v>
      </c>
      <c r="J28" s="59"/>
      <c r="K28" s="55"/>
      <c r="L28" s="58"/>
      <c r="M28" s="57">
        <f>SUM(K28:L28)</f>
        <v>0</v>
      </c>
      <c r="N28" s="59"/>
      <c r="O28" s="55"/>
      <c r="P28" s="58"/>
      <c r="Q28" s="57">
        <f t="shared" ref="Q28:Q33" si="1">SUM(O28:P28)</f>
        <v>0</v>
      </c>
      <c r="R28" s="59"/>
      <c r="S28" s="55"/>
      <c r="T28" s="58"/>
      <c r="U28" s="57">
        <f>SUM(S28:T28)</f>
        <v>0</v>
      </c>
      <c r="V28" s="59"/>
      <c r="W28" s="55"/>
      <c r="X28" s="58"/>
      <c r="Y28" s="57">
        <f>SUM(W28:X28)</f>
        <v>0</v>
      </c>
    </row>
    <row r="29" spans="1:25">
      <c r="A29" s="78" t="s">
        <v>110</v>
      </c>
      <c r="B29" s="64"/>
      <c r="C29" s="55"/>
      <c r="D29" s="55"/>
      <c r="E29" s="90"/>
      <c r="F29" s="59"/>
      <c r="G29" s="55"/>
      <c r="H29" s="58"/>
      <c r="I29" s="57">
        <f>SUM(G29:H29)</f>
        <v>0</v>
      </c>
      <c r="J29" s="59"/>
      <c r="K29" s="55"/>
      <c r="L29" s="58"/>
      <c r="M29" s="57">
        <f t="shared" ref="M29:M40" si="2">SUM(K29:L29)</f>
        <v>0</v>
      </c>
      <c r="N29" s="59"/>
      <c r="O29" s="55"/>
      <c r="P29" s="58"/>
      <c r="Q29" s="57">
        <f t="shared" si="1"/>
        <v>0</v>
      </c>
      <c r="R29" s="59"/>
      <c r="S29" s="55"/>
      <c r="T29" s="58"/>
      <c r="U29" s="57"/>
      <c r="V29" s="59"/>
      <c r="W29" s="55"/>
      <c r="X29" s="58"/>
      <c r="Y29" s="57"/>
    </row>
    <row r="30" spans="1:25">
      <c r="A30" s="78" t="s">
        <v>111</v>
      </c>
      <c r="B30" s="64"/>
      <c r="C30" s="55"/>
      <c r="D30" s="55"/>
      <c r="E30" s="90"/>
      <c r="F30" s="59"/>
      <c r="G30" s="65"/>
      <c r="H30" s="65"/>
      <c r="I30" s="57">
        <f>SUM(G30:H30)</f>
        <v>0</v>
      </c>
      <c r="J30" s="59"/>
      <c r="K30" s="65"/>
      <c r="L30" s="65"/>
      <c r="M30" s="57">
        <f t="shared" si="2"/>
        <v>0</v>
      </c>
      <c r="N30" s="59"/>
      <c r="O30" s="65"/>
      <c r="P30" s="65"/>
      <c r="Q30" s="57">
        <f t="shared" si="1"/>
        <v>0</v>
      </c>
      <c r="R30" s="59"/>
      <c r="S30" s="65"/>
      <c r="T30" s="65"/>
      <c r="U30" s="57"/>
      <c r="V30" s="59"/>
      <c r="W30" s="65"/>
      <c r="X30" s="65"/>
      <c r="Y30" s="57"/>
    </row>
    <row r="31" spans="1:25">
      <c r="A31" s="78" t="s">
        <v>112</v>
      </c>
      <c r="B31" s="64"/>
      <c r="C31" s="55"/>
      <c r="D31" s="55"/>
      <c r="E31" s="90"/>
      <c r="F31" s="59"/>
      <c r="G31" s="65"/>
      <c r="H31" s="65"/>
      <c r="I31" s="57">
        <f>SUM(G31:H31)</f>
        <v>0</v>
      </c>
      <c r="J31" s="59"/>
      <c r="K31" s="65"/>
      <c r="L31" s="65"/>
      <c r="M31" s="57">
        <f t="shared" si="2"/>
        <v>0</v>
      </c>
      <c r="N31" s="59"/>
      <c r="O31" s="65"/>
      <c r="P31" s="65"/>
      <c r="Q31" s="57">
        <f t="shared" si="1"/>
        <v>0</v>
      </c>
      <c r="R31" s="59"/>
      <c r="S31" s="65"/>
      <c r="T31" s="65"/>
      <c r="U31" s="57"/>
      <c r="V31" s="59"/>
      <c r="W31" s="65"/>
      <c r="X31" s="65"/>
      <c r="Y31" s="57"/>
    </row>
    <row r="32" spans="1:25">
      <c r="A32" s="78" t="s">
        <v>113</v>
      </c>
      <c r="B32" s="59"/>
      <c r="C32" s="55"/>
      <c r="D32" s="55"/>
      <c r="E32" s="90">
        <f>SUM(B32:D32)</f>
        <v>0</v>
      </c>
      <c r="F32" s="59"/>
      <c r="G32" s="55"/>
      <c r="H32" s="55"/>
      <c r="I32" s="57">
        <f>SUM(G32:H32)</f>
        <v>0</v>
      </c>
      <c r="J32" s="59"/>
      <c r="K32" s="55"/>
      <c r="L32" s="55"/>
      <c r="M32" s="57">
        <f t="shared" si="2"/>
        <v>0</v>
      </c>
      <c r="N32" s="59"/>
      <c r="O32" s="55"/>
      <c r="P32" s="55"/>
      <c r="Q32" s="57">
        <f t="shared" si="1"/>
        <v>0</v>
      </c>
      <c r="R32" s="59"/>
      <c r="S32" s="55"/>
      <c r="T32" s="55"/>
      <c r="U32" s="57">
        <f>SUM(S32:T32)</f>
        <v>0</v>
      </c>
      <c r="V32" s="59"/>
      <c r="W32" s="55"/>
      <c r="X32" s="55"/>
      <c r="Y32" s="57">
        <f>SUM(W32:X32)</f>
        <v>0</v>
      </c>
    </row>
    <row r="33" spans="1:25" s="40" customFormat="1">
      <c r="A33" s="520" t="s">
        <v>103</v>
      </c>
      <c r="B33" s="543"/>
      <c r="C33" s="524">
        <f>SUM(C27:C32)</f>
        <v>0</v>
      </c>
      <c r="D33" s="524">
        <f>SUM(D27:D32)</f>
        <v>0</v>
      </c>
      <c r="E33" s="524">
        <f>SUM(E27:E32)</f>
        <v>0</v>
      </c>
      <c r="F33" s="524"/>
      <c r="G33" s="57">
        <f>SUM(G27:G32)</f>
        <v>0</v>
      </c>
      <c r="H33" s="57">
        <f>SUM(H27:H32)</f>
        <v>0</v>
      </c>
      <c r="I33" s="57">
        <f>SUM(I27:I32)</f>
        <v>0</v>
      </c>
      <c r="J33" s="524"/>
      <c r="K33" s="57">
        <f>SUM(K28:K32)</f>
        <v>0</v>
      </c>
      <c r="L33" s="57">
        <f>SUM(L28:L32)</f>
        <v>0</v>
      </c>
      <c r="M33" s="57">
        <f t="shared" si="2"/>
        <v>0</v>
      </c>
      <c r="N33" s="524"/>
      <c r="O33" s="57">
        <f>SUM(O28:O32)</f>
        <v>0</v>
      </c>
      <c r="P33" s="57">
        <f>SUM(P28:P32)</f>
        <v>0</v>
      </c>
      <c r="Q33" s="57">
        <f t="shared" si="1"/>
        <v>0</v>
      </c>
      <c r="R33" s="524"/>
      <c r="S33" s="57">
        <f>SUM(S28:S32)</f>
        <v>0</v>
      </c>
      <c r="T33" s="57">
        <f>SUM(T28:T32)</f>
        <v>0</v>
      </c>
      <c r="U33" s="57">
        <f>SUM(S33:T33)</f>
        <v>0</v>
      </c>
      <c r="V33" s="524"/>
      <c r="W33" s="57">
        <f>SUM(W28:W32)</f>
        <v>0</v>
      </c>
      <c r="X33" s="57">
        <f>SUM(X28:X32)</f>
        <v>0</v>
      </c>
      <c r="Y33" s="57">
        <f>SUM(W33:X33)</f>
        <v>0</v>
      </c>
    </row>
    <row r="34" spans="1:25" ht="4.5" customHeight="1">
      <c r="A34" s="520"/>
      <c r="B34" s="524"/>
      <c r="C34" s="59"/>
      <c r="D34" s="59"/>
      <c r="E34" s="57"/>
      <c r="F34" s="524"/>
      <c r="G34" s="59"/>
      <c r="H34" s="59"/>
      <c r="I34" s="57"/>
      <c r="J34" s="524"/>
      <c r="K34" s="59"/>
      <c r="L34" s="59"/>
      <c r="M34" s="57"/>
      <c r="N34" s="524"/>
      <c r="O34" s="59"/>
      <c r="P34" s="59"/>
      <c r="Q34" s="57"/>
      <c r="R34" s="524"/>
      <c r="S34" s="59"/>
      <c r="T34" s="59"/>
      <c r="U34" s="57"/>
      <c r="V34" s="524"/>
      <c r="W34" s="59"/>
      <c r="X34" s="59"/>
      <c r="Y34" s="57"/>
    </row>
    <row r="35" spans="1:25">
      <c r="A35" s="525" t="s">
        <v>51</v>
      </c>
      <c r="B35" s="527"/>
      <c r="C35" s="60"/>
      <c r="D35" s="60"/>
      <c r="E35" s="61"/>
      <c r="F35" s="527"/>
      <c r="G35" s="60"/>
      <c r="H35" s="61"/>
      <c r="I35" s="57">
        <f>SUM(G35:H35)</f>
        <v>0</v>
      </c>
      <c r="J35" s="527"/>
      <c r="K35" s="60"/>
      <c r="L35" s="61"/>
      <c r="M35" s="57">
        <f t="shared" si="2"/>
        <v>0</v>
      </c>
      <c r="N35" s="527"/>
      <c r="O35" s="57"/>
      <c r="P35" s="61"/>
      <c r="Q35" s="57">
        <f t="shared" ref="Q35:Q40" si="3">SUM(O35:P35)</f>
        <v>0</v>
      </c>
      <c r="R35" s="527"/>
      <c r="S35" s="60"/>
      <c r="T35" s="61"/>
      <c r="U35" s="57">
        <f t="shared" ref="U35:U40" si="4">SUM(S35:T35)</f>
        <v>0</v>
      </c>
      <c r="V35" s="527"/>
      <c r="W35" s="60"/>
      <c r="X35" s="61"/>
      <c r="Y35" s="57">
        <f t="shared" ref="Y35:Y40" si="5">SUM(W35:X35)</f>
        <v>0</v>
      </c>
    </row>
    <row r="36" spans="1:25">
      <c r="A36" s="78" t="s">
        <v>104</v>
      </c>
      <c r="B36" s="64"/>
      <c r="C36" s="64"/>
      <c r="D36" s="55"/>
      <c r="E36" s="90"/>
      <c r="F36" s="59"/>
      <c r="G36" s="55"/>
      <c r="H36" s="55"/>
      <c r="I36" s="57">
        <f>SUM(G36:H36)</f>
        <v>0</v>
      </c>
      <c r="J36" s="59"/>
      <c r="K36" s="55"/>
      <c r="L36" s="55"/>
      <c r="M36" s="57">
        <f t="shared" si="2"/>
        <v>0</v>
      </c>
      <c r="N36" s="59"/>
      <c r="O36" s="57"/>
      <c r="P36" s="55"/>
      <c r="Q36" s="57">
        <f t="shared" si="3"/>
        <v>0</v>
      </c>
      <c r="R36" s="59"/>
      <c r="S36" s="55"/>
      <c r="T36" s="55"/>
      <c r="U36" s="57">
        <f t="shared" si="4"/>
        <v>0</v>
      </c>
      <c r="V36" s="59"/>
      <c r="W36" s="55"/>
      <c r="X36" s="55"/>
      <c r="Y36" s="57">
        <f t="shared" si="5"/>
        <v>0</v>
      </c>
    </row>
    <row r="37" spans="1:25">
      <c r="A37" s="78" t="s">
        <v>114</v>
      </c>
      <c r="B37" s="64"/>
      <c r="C37" s="64"/>
      <c r="D37" s="55"/>
      <c r="E37" s="90"/>
      <c r="F37" s="59"/>
      <c r="G37" s="55"/>
      <c r="H37" s="55"/>
      <c r="I37" s="57">
        <f>SUM(G37:H37)</f>
        <v>0</v>
      </c>
      <c r="J37" s="59"/>
      <c r="K37" s="55"/>
      <c r="L37" s="55"/>
      <c r="M37" s="57">
        <f t="shared" si="2"/>
        <v>0</v>
      </c>
      <c r="N37" s="59"/>
      <c r="O37" s="57"/>
      <c r="P37" s="55"/>
      <c r="Q37" s="57">
        <f t="shared" si="3"/>
        <v>0</v>
      </c>
      <c r="R37" s="59"/>
      <c r="S37" s="55"/>
      <c r="T37" s="55"/>
      <c r="U37" s="57">
        <f t="shared" si="4"/>
        <v>0</v>
      </c>
      <c r="V37" s="59"/>
      <c r="W37" s="55"/>
      <c r="X37" s="55"/>
      <c r="Y37" s="57">
        <f t="shared" si="5"/>
        <v>0</v>
      </c>
    </row>
    <row r="38" spans="1:25">
      <c r="A38" s="78" t="s">
        <v>105</v>
      </c>
      <c r="B38" s="64"/>
      <c r="C38" s="64"/>
      <c r="D38" s="55"/>
      <c r="E38" s="90"/>
      <c r="F38" s="59"/>
      <c r="G38" s="55"/>
      <c r="H38" s="55"/>
      <c r="I38" s="57">
        <f>SUM(G38:H38)</f>
        <v>0</v>
      </c>
      <c r="J38" s="59"/>
      <c r="K38" s="55"/>
      <c r="L38" s="55"/>
      <c r="M38" s="57">
        <f t="shared" si="2"/>
        <v>0</v>
      </c>
      <c r="N38" s="59"/>
      <c r="O38" s="57"/>
      <c r="P38" s="55"/>
      <c r="Q38" s="57">
        <f t="shared" si="3"/>
        <v>0</v>
      </c>
      <c r="R38" s="59"/>
      <c r="S38" s="55"/>
      <c r="T38" s="55"/>
      <c r="U38" s="57">
        <f t="shared" si="4"/>
        <v>0</v>
      </c>
      <c r="V38" s="59"/>
      <c r="W38" s="55"/>
      <c r="X38" s="55"/>
      <c r="Y38" s="57">
        <f t="shared" si="5"/>
        <v>0</v>
      </c>
    </row>
    <row r="39" spans="1:25">
      <c r="A39" s="78"/>
      <c r="B39" s="59"/>
      <c r="C39" s="55"/>
      <c r="D39" s="55"/>
      <c r="E39" s="63"/>
      <c r="F39" s="59"/>
      <c r="G39" s="55"/>
      <c r="H39" s="55"/>
      <c r="I39" s="57">
        <f>SUM(G39:H39)</f>
        <v>0</v>
      </c>
      <c r="J39" s="59"/>
      <c r="K39" s="55"/>
      <c r="L39" s="55"/>
      <c r="M39" s="57">
        <f t="shared" si="2"/>
        <v>0</v>
      </c>
      <c r="N39" s="59"/>
      <c r="O39" s="57"/>
      <c r="P39" s="55"/>
      <c r="Q39" s="57">
        <f t="shared" si="3"/>
        <v>0</v>
      </c>
      <c r="R39" s="59"/>
      <c r="S39" s="55"/>
      <c r="T39" s="55"/>
      <c r="U39" s="57">
        <f t="shared" si="4"/>
        <v>0</v>
      </c>
      <c r="V39" s="59"/>
      <c r="W39" s="55"/>
      <c r="X39" s="55"/>
      <c r="Y39" s="57">
        <f t="shared" si="5"/>
        <v>0</v>
      </c>
    </row>
    <row r="40" spans="1:25" s="40" customFormat="1">
      <c r="A40" s="520" t="s">
        <v>103</v>
      </c>
      <c r="B40" s="543"/>
      <c r="C40" s="524">
        <f>SUM(C35:C39)</f>
        <v>0</v>
      </c>
      <c r="D40" s="524">
        <f>SUM(D36:D39)</f>
        <v>0</v>
      </c>
      <c r="E40" s="524">
        <f>SUM(E36:E39)</f>
        <v>0</v>
      </c>
      <c r="F40" s="524"/>
      <c r="G40" s="57">
        <f>SUM(G35:G39)</f>
        <v>0</v>
      </c>
      <c r="H40" s="57">
        <f>SUM(H35:H39)</f>
        <v>0</v>
      </c>
      <c r="I40" s="57">
        <f>SUM(I35:I39)</f>
        <v>0</v>
      </c>
      <c r="J40" s="524"/>
      <c r="K40" s="57">
        <f>(K35+K39)</f>
        <v>0</v>
      </c>
      <c r="L40" s="57">
        <f>(L35+L39)</f>
        <v>0</v>
      </c>
      <c r="M40" s="57">
        <f t="shared" si="2"/>
        <v>0</v>
      </c>
      <c r="N40" s="524"/>
      <c r="O40" s="57"/>
      <c r="P40" s="57"/>
      <c r="Q40" s="57">
        <f t="shared" si="3"/>
        <v>0</v>
      </c>
      <c r="R40" s="524"/>
      <c r="S40" s="57"/>
      <c r="T40" s="57"/>
      <c r="U40" s="57">
        <f t="shared" si="4"/>
        <v>0</v>
      </c>
      <c r="V40" s="524"/>
      <c r="W40" s="57"/>
      <c r="X40" s="57"/>
      <c r="Y40" s="57">
        <f t="shared" si="5"/>
        <v>0</v>
      </c>
    </row>
    <row r="41" spans="1:25" ht="4.5" customHeight="1">
      <c r="A41" s="520"/>
      <c r="B41" s="524"/>
      <c r="C41" s="59"/>
      <c r="D41" s="59"/>
      <c r="E41" s="57"/>
      <c r="F41" s="524"/>
      <c r="G41" s="59"/>
      <c r="H41" s="59"/>
      <c r="I41" s="57"/>
      <c r="J41" s="524"/>
      <c r="K41" s="59"/>
      <c r="L41" s="59"/>
      <c r="M41" s="57"/>
      <c r="N41" s="524"/>
      <c r="O41" s="59"/>
      <c r="P41" s="59"/>
      <c r="Q41" s="57"/>
      <c r="R41" s="524"/>
      <c r="S41" s="59"/>
      <c r="T41" s="59"/>
      <c r="U41" s="57"/>
      <c r="V41" s="524"/>
      <c r="W41" s="59"/>
      <c r="X41" s="59"/>
      <c r="Y41" s="57"/>
    </row>
    <row r="42" spans="1:25" ht="17.25" customHeight="1">
      <c r="A42" s="520" t="s">
        <v>100</v>
      </c>
      <c r="B42" s="524"/>
      <c r="C42" s="524">
        <f>C33+C40</f>
        <v>0</v>
      </c>
      <c r="D42" s="524">
        <f>D33+D40</f>
        <v>0</v>
      </c>
      <c r="E42" s="524">
        <f>E33+E40</f>
        <v>0</v>
      </c>
      <c r="F42" s="524"/>
      <c r="G42" s="57">
        <f>G33+G40</f>
        <v>0</v>
      </c>
      <c r="H42" s="57">
        <f>H33+H40</f>
        <v>0</v>
      </c>
      <c r="I42" s="57">
        <f>I33+I40</f>
        <v>0</v>
      </c>
      <c r="J42" s="524"/>
      <c r="K42" s="57">
        <f>(K33+K40)</f>
        <v>0</v>
      </c>
      <c r="L42" s="57">
        <f>(L33+L40)</f>
        <v>0</v>
      </c>
      <c r="M42" s="57">
        <f>(M33+M40)</f>
        <v>0</v>
      </c>
      <c r="N42" s="57">
        <f>N33+N40</f>
        <v>0</v>
      </c>
      <c r="O42" s="57">
        <f>O33+O40</f>
        <v>0</v>
      </c>
      <c r="P42" s="57">
        <f>(P33+P40)</f>
        <v>0</v>
      </c>
      <c r="Q42" s="57">
        <f>(Q33+Q40)</f>
        <v>0</v>
      </c>
      <c r="R42" s="57">
        <f t="shared" ref="R42:Y42" si="6">SUM(R33:R40)</f>
        <v>0</v>
      </c>
      <c r="S42" s="57">
        <f t="shared" si="6"/>
        <v>0</v>
      </c>
      <c r="T42" s="57">
        <f t="shared" si="6"/>
        <v>0</v>
      </c>
      <c r="U42" s="57">
        <f t="shared" si="6"/>
        <v>0</v>
      </c>
      <c r="V42" s="57">
        <f t="shared" si="6"/>
        <v>0</v>
      </c>
      <c r="W42" s="57">
        <f t="shared" si="6"/>
        <v>0</v>
      </c>
      <c r="X42" s="57">
        <f t="shared" si="6"/>
        <v>0</v>
      </c>
      <c r="Y42" s="57">
        <f t="shared" si="6"/>
        <v>0</v>
      </c>
    </row>
    <row r="43" spans="1:25" ht="17.25" customHeight="1">
      <c r="A43" s="528"/>
      <c r="B43" s="533"/>
      <c r="C43" s="532"/>
      <c r="D43" s="532"/>
      <c r="E43" s="533"/>
      <c r="F43" s="533"/>
      <c r="G43" s="532"/>
      <c r="H43" s="532"/>
      <c r="I43" s="533"/>
      <c r="J43" s="533"/>
      <c r="K43" s="532"/>
      <c r="L43" s="532"/>
      <c r="M43" s="533"/>
      <c r="N43" s="533"/>
      <c r="O43" s="532"/>
      <c r="P43" s="532"/>
      <c r="Q43" s="533"/>
      <c r="R43" s="533"/>
      <c r="S43" s="532"/>
      <c r="T43" s="532"/>
      <c r="U43" s="533"/>
      <c r="V43" s="533"/>
      <c r="W43" s="532"/>
      <c r="X43" s="532"/>
      <c r="Y43" s="533"/>
    </row>
    <row r="44" spans="1:25">
      <c r="A44" s="352" t="s">
        <v>106</v>
      </c>
      <c r="B44" s="544"/>
      <c r="C44" s="538"/>
      <c r="D44" s="538"/>
      <c r="E44" s="545"/>
      <c r="F44" s="539"/>
      <c r="G44" s="538"/>
      <c r="H44" s="538"/>
      <c r="I44" s="539"/>
      <c r="J44" s="539"/>
      <c r="K44" s="538"/>
      <c r="L44" s="538"/>
      <c r="M44" s="539"/>
      <c r="N44" s="539"/>
      <c r="O44" s="538"/>
      <c r="P44" s="538"/>
      <c r="Q44" s="539"/>
      <c r="R44" s="539"/>
      <c r="S44" s="538"/>
      <c r="T44" s="538"/>
      <c r="U44" s="539"/>
      <c r="V44" s="539"/>
      <c r="W44" s="538"/>
      <c r="X44" s="538"/>
      <c r="Y44" s="540"/>
    </row>
    <row r="45" spans="1:25">
      <c r="A45" s="79" t="s">
        <v>107</v>
      </c>
      <c r="B45" s="59"/>
      <c r="C45" s="64"/>
      <c r="D45" s="64"/>
      <c r="E45" s="63"/>
      <c r="F45" s="53"/>
      <c r="G45" s="64"/>
      <c r="H45" s="64"/>
      <c r="I45" s="63"/>
      <c r="J45" s="53"/>
      <c r="K45" s="64"/>
      <c r="L45" s="64"/>
      <c r="M45" s="63"/>
      <c r="N45" s="53"/>
      <c r="O45" s="64"/>
      <c r="P45" s="64"/>
      <c r="Q45" s="63"/>
      <c r="R45" s="53"/>
      <c r="S45" s="64"/>
      <c r="T45" s="64"/>
      <c r="U45" s="63"/>
      <c r="V45" s="53"/>
      <c r="W45" s="64"/>
      <c r="X45" s="64"/>
      <c r="Y45" s="63"/>
    </row>
    <row r="46" spans="1:25">
      <c r="A46" s="78"/>
      <c r="B46" s="59"/>
      <c r="C46" s="55"/>
      <c r="D46" s="55"/>
      <c r="E46" s="63"/>
      <c r="F46" s="59"/>
      <c r="G46" s="55"/>
      <c r="H46" s="55"/>
      <c r="I46" s="63"/>
      <c r="J46" s="59"/>
      <c r="K46" s="55"/>
      <c r="L46" s="55"/>
      <c r="M46" s="63"/>
      <c r="N46" s="59"/>
      <c r="O46" s="55"/>
      <c r="P46" s="55"/>
      <c r="Q46" s="63"/>
      <c r="R46" s="59"/>
      <c r="S46" s="55"/>
      <c r="T46" s="55"/>
      <c r="U46" s="63"/>
      <c r="V46" s="59"/>
      <c r="W46" s="55"/>
      <c r="X46" s="55"/>
      <c r="Y46" s="63"/>
    </row>
    <row r="47" spans="1:25" s="40" customFormat="1">
      <c r="A47" s="80" t="s">
        <v>103</v>
      </c>
      <c r="B47" s="524">
        <f>SUM(B45:B46)</f>
        <v>0</v>
      </c>
      <c r="C47" s="524"/>
      <c r="D47" s="524"/>
      <c r="E47" s="524"/>
      <c r="F47" s="524">
        <f>SUM(F45:F46)</f>
        <v>0</v>
      </c>
      <c r="G47" s="524"/>
      <c r="H47" s="524"/>
      <c r="I47" s="524">
        <f>SUM(I45:I46)</f>
        <v>0</v>
      </c>
      <c r="J47" s="524"/>
      <c r="K47" s="524"/>
      <c r="L47" s="524"/>
      <c r="M47" s="524">
        <f>SUM(M45:M46)</f>
        <v>0</v>
      </c>
      <c r="N47" s="524"/>
      <c r="O47" s="524"/>
      <c r="P47" s="524"/>
      <c r="Q47" s="524">
        <f>SUM(Q45:Q46)</f>
        <v>0</v>
      </c>
      <c r="R47" s="524"/>
      <c r="S47" s="524"/>
      <c r="T47" s="524"/>
      <c r="U47" s="524">
        <f>SUM(U45:U46)</f>
        <v>0</v>
      </c>
      <c r="V47" s="524"/>
      <c r="W47" s="524"/>
      <c r="X47" s="524"/>
      <c r="Y47" s="524"/>
    </row>
    <row r="48" spans="1:25" ht="4.5" customHeight="1">
      <c r="A48" s="520"/>
      <c r="B48" s="59"/>
      <c r="C48" s="59"/>
      <c r="D48" s="59"/>
      <c r="E48" s="57"/>
      <c r="F48" s="59"/>
      <c r="G48" s="59"/>
      <c r="H48" s="59"/>
      <c r="I48" s="57"/>
      <c r="J48" s="59"/>
      <c r="K48" s="59"/>
      <c r="L48" s="59"/>
      <c r="M48" s="57"/>
      <c r="N48" s="59"/>
      <c r="O48" s="59"/>
      <c r="P48" s="59"/>
      <c r="Q48" s="57"/>
      <c r="R48" s="59"/>
      <c r="S48" s="59"/>
      <c r="T48" s="59"/>
      <c r="U48" s="57"/>
      <c r="V48" s="59"/>
      <c r="W48" s="59"/>
      <c r="X48" s="59"/>
      <c r="Y48" s="57"/>
    </row>
    <row r="49" spans="1:25" s="43" customFormat="1">
      <c r="A49" s="520" t="s">
        <v>108</v>
      </c>
      <c r="B49" s="546">
        <f>B47</f>
        <v>0</v>
      </c>
      <c r="C49" s="546"/>
      <c r="D49" s="546"/>
      <c r="E49" s="546"/>
      <c r="F49" s="546">
        <f>F47</f>
        <v>0</v>
      </c>
      <c r="G49" s="546"/>
      <c r="H49" s="546"/>
      <c r="I49" s="546">
        <f>I47</f>
        <v>0</v>
      </c>
      <c r="J49" s="546"/>
      <c r="K49" s="546"/>
      <c r="L49" s="546"/>
      <c r="M49" s="546">
        <f>M47</f>
        <v>0</v>
      </c>
      <c r="N49" s="546"/>
      <c r="O49" s="546"/>
      <c r="P49" s="546"/>
      <c r="Q49" s="546">
        <f>Q47</f>
        <v>0</v>
      </c>
      <c r="R49" s="546"/>
      <c r="S49" s="546"/>
      <c r="T49" s="546"/>
      <c r="U49" s="546">
        <f>U47</f>
        <v>0</v>
      </c>
      <c r="V49" s="546"/>
      <c r="W49" s="546"/>
      <c r="X49" s="546"/>
      <c r="Y49" s="546"/>
    </row>
    <row r="50" spans="1:25" s="48" customFormat="1">
      <c r="A50" s="40"/>
      <c r="B50" s="44"/>
      <c r="C50" s="44"/>
      <c r="D50" s="44"/>
      <c r="E50" s="45"/>
      <c r="F50" s="43"/>
      <c r="G50" s="46"/>
      <c r="H50" s="47"/>
      <c r="I50" s="43"/>
      <c r="J50" s="43"/>
      <c r="K50" s="46"/>
      <c r="L50" s="47"/>
      <c r="M50" s="43"/>
      <c r="N50" s="43"/>
      <c r="O50" s="46"/>
      <c r="P50" s="47"/>
      <c r="Q50" s="43"/>
      <c r="R50" s="43"/>
      <c r="S50" s="46"/>
      <c r="T50" s="47"/>
      <c r="U50" s="43"/>
      <c r="V50" s="43"/>
      <c r="W50" s="46"/>
      <c r="X50" s="47"/>
      <c r="Y50" s="43"/>
    </row>
    <row r="51" spans="1:25">
      <c r="A51" s="40" t="s">
        <v>67</v>
      </c>
      <c r="B51" s="40"/>
      <c r="C51" s="42" t="s">
        <v>115</v>
      </c>
      <c r="D51" s="42"/>
      <c r="E51" s="42"/>
      <c r="F51" s="40"/>
      <c r="G51" s="42"/>
      <c r="H51" s="42"/>
      <c r="I51" s="40"/>
      <c r="J51" s="40"/>
      <c r="K51" s="42"/>
      <c r="L51" s="42"/>
      <c r="M51" s="40"/>
      <c r="N51" s="40"/>
      <c r="O51" s="42"/>
      <c r="P51" s="42"/>
      <c r="Q51" s="40"/>
      <c r="R51" s="40"/>
      <c r="S51" s="42"/>
      <c r="T51" s="42"/>
      <c r="V51" s="40"/>
      <c r="W51" s="42"/>
      <c r="X51" s="42"/>
      <c r="Y51" s="40"/>
    </row>
    <row r="52" spans="1:25">
      <c r="W52" s="42"/>
      <c r="X52" s="42"/>
    </row>
    <row r="53" spans="1:25">
      <c r="A53" s="40" t="s">
        <v>116</v>
      </c>
      <c r="B53" s="40" t="s">
        <v>117</v>
      </c>
      <c r="D53" s="42"/>
      <c r="G53" s="42"/>
      <c r="I53" s="40"/>
      <c r="K53" s="42"/>
      <c r="M53" s="40"/>
      <c r="O53" s="42"/>
      <c r="P53" s="42"/>
      <c r="S53" s="42"/>
      <c r="T53" s="42"/>
      <c r="W53" s="42"/>
      <c r="X53" s="42"/>
    </row>
    <row r="54" spans="1:25">
      <c r="A54" s="40" t="s">
        <v>118</v>
      </c>
      <c r="B54" s="40" t="s">
        <v>119</v>
      </c>
      <c r="D54" s="42"/>
      <c r="G54" s="42"/>
      <c r="I54" s="40"/>
      <c r="K54" s="42"/>
      <c r="M54" s="40"/>
      <c r="O54" s="42"/>
      <c r="P54" s="42"/>
      <c r="S54" s="42"/>
      <c r="T54" s="42"/>
    </row>
    <row r="55" spans="1:25">
      <c r="A55" s="40" t="s">
        <v>120</v>
      </c>
      <c r="B55" s="40" t="s">
        <v>121</v>
      </c>
      <c r="D55" s="42"/>
      <c r="G55" s="42"/>
      <c r="I55" s="40"/>
      <c r="K55" s="42"/>
      <c r="M55" s="40"/>
      <c r="U55" s="49"/>
      <c r="V55" s="49"/>
      <c r="Y55" s="49"/>
    </row>
    <row r="56" spans="1:25">
      <c r="A56" s="40" t="s">
        <v>122</v>
      </c>
      <c r="B56" s="40" t="s">
        <v>123</v>
      </c>
      <c r="D56" s="42"/>
      <c r="F56" s="49"/>
      <c r="I56" s="49"/>
      <c r="J56" s="49"/>
      <c r="M56" s="49"/>
      <c r="N56" s="49"/>
      <c r="Q56" s="49"/>
      <c r="R56" s="49"/>
      <c r="W56" s="42"/>
      <c r="X56" s="42"/>
    </row>
    <row r="57" spans="1:25">
      <c r="A57" s="40"/>
      <c r="B57" s="40"/>
      <c r="D57" s="42"/>
      <c r="G57" s="42"/>
      <c r="I57" s="40"/>
      <c r="K57" s="42"/>
      <c r="M57" s="40"/>
      <c r="O57" s="42"/>
      <c r="P57" s="42"/>
      <c r="S57" s="42"/>
      <c r="T57" s="42"/>
      <c r="U57" s="49"/>
      <c r="V57" s="49"/>
      <c r="Y57" s="49"/>
    </row>
    <row r="58" spans="1:25">
      <c r="A58" s="49"/>
      <c r="B58" s="49"/>
      <c r="F58" s="49"/>
      <c r="I58" s="49"/>
      <c r="J58" s="49"/>
      <c r="M58" s="49"/>
      <c r="N58" s="49"/>
      <c r="Q58" s="49"/>
      <c r="R58" s="49"/>
      <c r="U58" s="49"/>
      <c r="V58" s="49"/>
      <c r="Y58" s="49"/>
    </row>
    <row r="59" spans="1:25">
      <c r="A59" s="49"/>
      <c r="B59" s="49"/>
      <c r="F59" s="49"/>
      <c r="I59" s="49"/>
      <c r="J59" s="49"/>
      <c r="M59" s="49"/>
      <c r="N59" s="49"/>
      <c r="Q59" s="49"/>
      <c r="R59" s="49"/>
      <c r="U59" s="49"/>
      <c r="V59" s="49"/>
      <c r="Y59" s="49"/>
    </row>
    <row r="60" spans="1:25">
      <c r="A60" s="49"/>
      <c r="B60" s="49"/>
      <c r="F60" s="49"/>
      <c r="I60" s="49"/>
      <c r="J60" s="49"/>
      <c r="M60" s="49"/>
      <c r="N60" s="49"/>
      <c r="Q60" s="49"/>
      <c r="R60" s="49"/>
      <c r="U60" s="49"/>
      <c r="V60" s="49"/>
      <c r="Y60" s="49"/>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03"/>
  <sheetViews>
    <sheetView zoomScaleNormal="100" zoomScaleSheetLayoutView="90" workbookViewId="0">
      <selection activeCell="A7" sqref="A7:G7"/>
    </sheetView>
  </sheetViews>
  <sheetFormatPr defaultColWidth="9.28515625" defaultRowHeight="14.25" customHeight="1"/>
  <cols>
    <col min="1" max="1" width="56.7109375" style="286" customWidth="1"/>
    <col min="2" max="2" width="30" style="188" customWidth="1"/>
    <col min="3" max="3" width="15.7109375" style="287" customWidth="1"/>
    <col min="4" max="4" width="27" style="286" bestFit="1" customWidth="1"/>
    <col min="5" max="5" width="15.7109375" style="286" customWidth="1"/>
    <col min="6" max="6" width="22" style="286" customWidth="1"/>
    <col min="7" max="7" width="37" style="286" customWidth="1"/>
    <col min="8" max="16384" width="9.28515625" style="144"/>
  </cols>
  <sheetData>
    <row r="2" spans="1:7" ht="12.75">
      <c r="C2" s="189" t="s">
        <v>39</v>
      </c>
    </row>
    <row r="3" spans="1:7" ht="12.75">
      <c r="C3" s="189" t="s">
        <v>124</v>
      </c>
    </row>
    <row r="4" spans="1:7" ht="12.75">
      <c r="C4" s="594">
        <f>'Program MW '!H3</f>
        <v>44593</v>
      </c>
    </row>
    <row r="5" spans="1:7" ht="12.75">
      <c r="C5" s="189"/>
    </row>
    <row r="7" spans="1:7" ht="15.75">
      <c r="A7" s="703" t="s">
        <v>125</v>
      </c>
      <c r="B7" s="704"/>
      <c r="C7" s="704"/>
      <c r="D7" s="704"/>
      <c r="E7" s="704"/>
      <c r="F7" s="704"/>
      <c r="G7" s="705"/>
    </row>
    <row r="8" spans="1:7" ht="27">
      <c r="A8" s="595" t="s">
        <v>126</v>
      </c>
      <c r="B8" s="595" t="s">
        <v>127</v>
      </c>
      <c r="C8" s="596" t="s">
        <v>128</v>
      </c>
      <c r="D8" s="595" t="s">
        <v>129</v>
      </c>
      <c r="E8" s="597" t="s">
        <v>275</v>
      </c>
      <c r="F8" s="597" t="s">
        <v>130</v>
      </c>
      <c r="G8" s="597" t="s">
        <v>276</v>
      </c>
    </row>
    <row r="9" spans="1:7" ht="14.25" customHeight="1">
      <c r="A9" s="598"/>
      <c r="B9" s="599"/>
      <c r="C9" s="600"/>
      <c r="D9" s="601"/>
      <c r="E9" s="602"/>
      <c r="F9" s="603"/>
      <c r="G9" s="604"/>
    </row>
    <row r="10" spans="1:7" ht="14.25" customHeight="1">
      <c r="A10" s="598"/>
      <c r="B10" s="599"/>
      <c r="C10" s="600"/>
      <c r="D10" s="601"/>
      <c r="E10" s="602"/>
      <c r="F10" s="603"/>
      <c r="G10" s="604"/>
    </row>
    <row r="11" spans="1:7" ht="14.25" customHeight="1">
      <c r="A11" s="598"/>
      <c r="B11" s="599"/>
      <c r="C11" s="600"/>
      <c r="D11" s="601"/>
      <c r="E11" s="602"/>
      <c r="F11" s="603"/>
      <c r="G11" s="604"/>
    </row>
    <row r="12" spans="1:7" ht="14.25" customHeight="1">
      <c r="A12" s="598"/>
      <c r="B12" s="599"/>
      <c r="C12" s="600"/>
      <c r="D12" s="601"/>
      <c r="E12" s="602"/>
      <c r="F12" s="603"/>
      <c r="G12" s="604"/>
    </row>
    <row r="13" spans="1:7" ht="14.25" customHeight="1">
      <c r="A13" s="598"/>
      <c r="B13" s="599"/>
      <c r="C13" s="600"/>
      <c r="D13" s="601"/>
      <c r="E13" s="602"/>
      <c r="F13" s="603"/>
      <c r="G13" s="604"/>
    </row>
    <row r="14" spans="1:7" ht="18" customHeight="1">
      <c r="A14" s="598"/>
      <c r="B14" s="599"/>
      <c r="C14" s="600"/>
      <c r="D14" s="601"/>
      <c r="E14" s="602"/>
      <c r="F14" s="603"/>
      <c r="G14" s="604"/>
    </row>
    <row r="15" spans="1:7" ht="18.75" customHeight="1">
      <c r="A15" s="598"/>
      <c r="B15" s="599"/>
      <c r="C15" s="600"/>
      <c r="D15" s="601"/>
      <c r="E15" s="602"/>
      <c r="F15" s="603"/>
      <c r="G15" s="604"/>
    </row>
    <row r="16" spans="1:7" ht="14.25" customHeight="1">
      <c r="A16" s="598"/>
      <c r="B16" s="599"/>
      <c r="C16" s="600"/>
      <c r="D16" s="601"/>
      <c r="E16" s="602"/>
      <c r="F16" s="603"/>
      <c r="G16" s="604"/>
    </row>
    <row r="17" spans="1:7" ht="14.25" customHeight="1">
      <c r="A17" s="598"/>
      <c r="B17" s="599"/>
      <c r="C17" s="600"/>
      <c r="D17" s="601"/>
      <c r="E17" s="602"/>
      <c r="F17" s="603"/>
      <c r="G17" s="604"/>
    </row>
    <row r="18" spans="1:7" ht="14.25" customHeight="1">
      <c r="A18" s="598"/>
      <c r="B18" s="599"/>
      <c r="C18" s="600"/>
      <c r="D18" s="601"/>
      <c r="E18" s="602"/>
      <c r="F18" s="603"/>
      <c r="G18" s="604"/>
    </row>
    <row r="19" spans="1:7" ht="14.25" customHeight="1">
      <c r="A19" s="598"/>
      <c r="B19" s="599"/>
      <c r="C19" s="600"/>
      <c r="D19" s="601"/>
      <c r="E19" s="602"/>
      <c r="F19" s="603"/>
      <c r="G19" s="604"/>
    </row>
    <row r="20" spans="1:7" ht="14.25" customHeight="1">
      <c r="A20" s="598"/>
      <c r="B20" s="599"/>
      <c r="C20" s="600"/>
      <c r="D20" s="601"/>
      <c r="E20" s="602"/>
      <c r="F20" s="603"/>
      <c r="G20" s="604"/>
    </row>
    <row r="21" spans="1:7" ht="14.25" customHeight="1">
      <c r="A21" s="598"/>
      <c r="B21" s="599"/>
      <c r="C21" s="600"/>
      <c r="D21" s="601"/>
      <c r="E21" s="602"/>
      <c r="F21" s="603"/>
      <c r="G21" s="604"/>
    </row>
    <row r="22" spans="1:7" ht="14.25" customHeight="1">
      <c r="A22" s="598"/>
      <c r="B22" s="599"/>
      <c r="C22" s="600"/>
      <c r="D22" s="601"/>
      <c r="E22" s="602"/>
      <c r="F22" s="603"/>
      <c r="G22" s="604"/>
    </row>
    <row r="23" spans="1:7" ht="14.25" customHeight="1">
      <c r="A23" s="598"/>
      <c r="B23" s="599"/>
      <c r="C23" s="600"/>
      <c r="D23" s="601"/>
      <c r="E23" s="602"/>
      <c r="F23" s="603"/>
      <c r="G23" s="604"/>
    </row>
    <row r="24" spans="1:7" ht="14.25" customHeight="1">
      <c r="A24" s="598"/>
      <c r="B24" s="599"/>
      <c r="C24" s="600"/>
      <c r="D24" s="601"/>
      <c r="E24" s="602"/>
      <c r="F24" s="603"/>
      <c r="G24" s="604"/>
    </row>
    <row r="25" spans="1:7" ht="14.25" customHeight="1">
      <c r="A25" s="598"/>
      <c r="B25" s="599"/>
      <c r="C25" s="600"/>
      <c r="D25" s="601"/>
      <c r="E25" s="602"/>
      <c r="F25" s="603"/>
      <c r="G25" s="604"/>
    </row>
    <row r="26" spans="1:7" ht="14.25" customHeight="1">
      <c r="A26" s="598"/>
      <c r="B26" s="599"/>
      <c r="C26" s="600"/>
      <c r="D26" s="601"/>
      <c r="E26" s="602"/>
      <c r="F26" s="603"/>
      <c r="G26" s="604"/>
    </row>
    <row r="27" spans="1:7" ht="14.25" customHeight="1">
      <c r="A27" s="598"/>
      <c r="B27" s="599"/>
      <c r="C27" s="600"/>
      <c r="D27" s="601"/>
      <c r="E27" s="602"/>
      <c r="F27" s="603"/>
      <c r="G27" s="604"/>
    </row>
    <row r="28" spans="1:7" ht="14.25" customHeight="1">
      <c r="A28" s="598"/>
      <c r="B28" s="599"/>
      <c r="C28" s="600"/>
      <c r="D28" s="601"/>
      <c r="E28" s="602"/>
      <c r="F28" s="603"/>
      <c r="G28" s="604"/>
    </row>
    <row r="29" spans="1:7" ht="14.25" customHeight="1">
      <c r="A29" s="598"/>
      <c r="B29" s="599"/>
      <c r="C29" s="600"/>
      <c r="D29" s="601"/>
      <c r="E29" s="602"/>
      <c r="F29" s="603"/>
      <c r="G29" s="604"/>
    </row>
    <row r="30" spans="1:7" ht="14.25" customHeight="1">
      <c r="A30" s="598"/>
      <c r="B30" s="599"/>
      <c r="C30" s="600"/>
      <c r="D30" s="601"/>
      <c r="E30" s="602"/>
      <c r="F30" s="603"/>
      <c r="G30" s="604"/>
    </row>
    <row r="31" spans="1:7" ht="14.25" customHeight="1">
      <c r="A31" s="598"/>
      <c r="B31" s="599"/>
      <c r="C31" s="600"/>
      <c r="D31" s="601"/>
      <c r="E31" s="602"/>
      <c r="F31" s="603"/>
      <c r="G31" s="604"/>
    </row>
    <row r="32" spans="1:7" ht="14.25" customHeight="1">
      <c r="A32" s="598"/>
      <c r="B32" s="599"/>
      <c r="C32" s="600"/>
      <c r="D32" s="601"/>
      <c r="E32" s="602"/>
      <c r="F32" s="603"/>
      <c r="G32" s="604"/>
    </row>
    <row r="33" spans="1:7" ht="14.25" customHeight="1">
      <c r="A33" s="598"/>
      <c r="B33" s="599"/>
      <c r="C33" s="600"/>
      <c r="D33" s="601"/>
      <c r="E33" s="602"/>
      <c r="F33" s="603"/>
      <c r="G33" s="604"/>
    </row>
    <row r="34" spans="1:7" ht="14.25" customHeight="1">
      <c r="A34" s="598"/>
      <c r="B34" s="599"/>
      <c r="C34" s="600"/>
      <c r="D34" s="601"/>
      <c r="E34" s="602"/>
      <c r="F34" s="603"/>
      <c r="G34" s="604"/>
    </row>
    <row r="35" spans="1:7" ht="14.25" customHeight="1">
      <c r="A35" s="598"/>
      <c r="B35" s="599"/>
      <c r="C35" s="600"/>
      <c r="D35" s="601"/>
      <c r="E35" s="602"/>
      <c r="F35" s="603"/>
      <c r="G35" s="604"/>
    </row>
    <row r="36" spans="1:7" ht="14.25" customHeight="1">
      <c r="A36" s="598"/>
      <c r="B36" s="599"/>
      <c r="C36" s="600"/>
      <c r="D36" s="601"/>
      <c r="E36" s="602"/>
      <c r="F36" s="603"/>
      <c r="G36" s="604"/>
    </row>
    <row r="37" spans="1:7" ht="14.25" customHeight="1">
      <c r="A37" s="598"/>
      <c r="B37" s="599"/>
      <c r="C37" s="600"/>
      <c r="D37" s="601"/>
      <c r="E37" s="602"/>
      <c r="F37" s="603"/>
      <c r="G37" s="604"/>
    </row>
    <row r="38" spans="1:7" ht="14.25" customHeight="1">
      <c r="A38" s="598"/>
      <c r="B38" s="599"/>
      <c r="C38" s="600"/>
      <c r="D38" s="601"/>
      <c r="E38" s="602"/>
      <c r="F38" s="603"/>
      <c r="G38" s="604"/>
    </row>
    <row r="39" spans="1:7" ht="14.25" customHeight="1">
      <c r="A39" s="598"/>
      <c r="B39" s="599"/>
      <c r="C39" s="600"/>
      <c r="D39" s="601"/>
      <c r="E39" s="602"/>
      <c r="F39" s="603"/>
      <c r="G39" s="604"/>
    </row>
    <row r="40" spans="1:7" ht="14.25" customHeight="1">
      <c r="A40" s="598"/>
      <c r="B40" s="599"/>
      <c r="C40" s="600"/>
      <c r="D40" s="601"/>
      <c r="E40" s="602"/>
      <c r="F40" s="603"/>
      <c r="G40" s="604"/>
    </row>
    <row r="41" spans="1:7" ht="14.25" customHeight="1">
      <c r="A41" s="598"/>
      <c r="B41" s="599"/>
      <c r="C41" s="600"/>
      <c r="D41" s="601"/>
      <c r="E41" s="602"/>
      <c r="F41" s="603"/>
      <c r="G41" s="604"/>
    </row>
    <row r="42" spans="1:7" ht="14.25" customHeight="1">
      <c r="A42" s="598"/>
      <c r="B42" s="599"/>
      <c r="C42" s="600"/>
      <c r="D42" s="601"/>
      <c r="E42" s="602"/>
      <c r="F42" s="603"/>
      <c r="G42" s="604"/>
    </row>
    <row r="43" spans="1:7" ht="14.25" customHeight="1">
      <c r="A43" s="598"/>
      <c r="B43" s="599"/>
      <c r="C43" s="600"/>
      <c r="D43" s="601"/>
      <c r="E43" s="602"/>
      <c r="F43" s="603"/>
      <c r="G43" s="604"/>
    </row>
    <row r="44" spans="1:7" ht="14.25" customHeight="1">
      <c r="A44" s="598"/>
      <c r="B44" s="599"/>
      <c r="C44" s="600"/>
      <c r="D44" s="601"/>
      <c r="E44" s="602"/>
      <c r="F44" s="603"/>
      <c r="G44" s="604"/>
    </row>
    <row r="45" spans="1:7" ht="14.25" customHeight="1">
      <c r="A45" s="598"/>
      <c r="B45" s="599"/>
      <c r="C45" s="600"/>
      <c r="D45" s="601"/>
      <c r="E45" s="602"/>
      <c r="F45" s="603"/>
      <c r="G45" s="604"/>
    </row>
    <row r="46" spans="1:7" ht="14.25" customHeight="1">
      <c r="A46" s="598"/>
      <c r="B46" s="599"/>
      <c r="C46" s="600"/>
      <c r="D46" s="601"/>
      <c r="E46" s="602"/>
      <c r="F46" s="603"/>
      <c r="G46" s="604"/>
    </row>
    <row r="47" spans="1:7" ht="14.25" customHeight="1">
      <c r="A47" s="598"/>
      <c r="B47" s="599"/>
      <c r="C47" s="600"/>
      <c r="D47" s="601"/>
      <c r="E47" s="602"/>
      <c r="F47" s="603"/>
      <c r="G47" s="604"/>
    </row>
    <row r="48" spans="1:7" ht="14.25" customHeight="1">
      <c r="A48" s="598"/>
      <c r="B48" s="599"/>
      <c r="C48" s="600"/>
      <c r="D48" s="601"/>
      <c r="E48" s="602"/>
      <c r="F48" s="603"/>
      <c r="G48" s="604"/>
    </row>
    <row r="49" spans="1:7" ht="14.25" customHeight="1">
      <c r="A49" s="598"/>
      <c r="B49" s="599"/>
      <c r="C49" s="600"/>
      <c r="D49" s="601"/>
      <c r="E49" s="602"/>
      <c r="F49" s="603"/>
      <c r="G49" s="604"/>
    </row>
    <row r="50" spans="1:7" ht="14.25" customHeight="1">
      <c r="A50" s="598"/>
      <c r="B50" s="599"/>
      <c r="C50" s="600"/>
      <c r="D50" s="601"/>
      <c r="E50" s="602"/>
      <c r="F50" s="603"/>
      <c r="G50" s="604"/>
    </row>
    <row r="51" spans="1:7" ht="14.25" customHeight="1">
      <c r="A51" s="598"/>
      <c r="B51" s="599"/>
      <c r="C51" s="600"/>
      <c r="D51" s="601"/>
      <c r="E51" s="602"/>
      <c r="F51" s="603"/>
      <c r="G51" s="604"/>
    </row>
    <row r="52" spans="1:7" ht="14.25" customHeight="1">
      <c r="A52" s="598"/>
      <c r="B52" s="599"/>
      <c r="C52" s="600"/>
      <c r="D52" s="601"/>
      <c r="E52" s="602"/>
      <c r="F52" s="603"/>
      <c r="G52" s="604"/>
    </row>
    <row r="53" spans="1:7" ht="14.25" customHeight="1">
      <c r="A53" s="598"/>
      <c r="B53" s="599"/>
      <c r="C53" s="600"/>
      <c r="D53" s="601"/>
      <c r="E53" s="602"/>
      <c r="F53" s="603"/>
      <c r="G53" s="604"/>
    </row>
    <row r="54" spans="1:7" ht="14.25" customHeight="1">
      <c r="A54" s="598"/>
      <c r="B54" s="599"/>
      <c r="C54" s="600"/>
      <c r="D54" s="601"/>
      <c r="E54" s="602"/>
      <c r="F54" s="603"/>
      <c r="G54" s="604"/>
    </row>
    <row r="55" spans="1:7" ht="14.25" customHeight="1">
      <c r="A55" s="598"/>
      <c r="B55" s="599"/>
      <c r="C55" s="600"/>
      <c r="D55" s="601"/>
      <c r="E55" s="602"/>
      <c r="F55" s="603"/>
      <c r="G55" s="604"/>
    </row>
    <row r="56" spans="1:7" ht="14.25" customHeight="1">
      <c r="A56" s="598"/>
      <c r="B56" s="599"/>
      <c r="C56" s="600"/>
      <c r="D56" s="601"/>
      <c r="E56" s="602"/>
      <c r="F56" s="603"/>
      <c r="G56" s="604"/>
    </row>
    <row r="57" spans="1:7" ht="14.25" customHeight="1">
      <c r="A57" s="598"/>
      <c r="B57" s="599"/>
      <c r="C57" s="600"/>
      <c r="D57" s="601"/>
      <c r="E57" s="602"/>
      <c r="F57" s="603"/>
      <c r="G57" s="604"/>
    </row>
    <row r="58" spans="1:7" ht="14.25" customHeight="1">
      <c r="A58" s="598"/>
      <c r="B58" s="599"/>
      <c r="C58" s="600"/>
      <c r="D58" s="601"/>
      <c r="E58" s="602"/>
      <c r="F58" s="603"/>
      <c r="G58" s="604"/>
    </row>
    <row r="59" spans="1:7" ht="14.25" customHeight="1">
      <c r="A59" s="598"/>
      <c r="B59" s="599"/>
      <c r="C59" s="600"/>
      <c r="D59" s="601"/>
      <c r="E59" s="602"/>
      <c r="F59" s="603"/>
      <c r="G59" s="604"/>
    </row>
    <row r="60" spans="1:7" ht="14.25" customHeight="1">
      <c r="A60" s="598"/>
      <c r="B60" s="599"/>
      <c r="C60" s="600"/>
      <c r="D60" s="601"/>
      <c r="E60" s="602"/>
      <c r="F60" s="603"/>
      <c r="G60" s="604"/>
    </row>
    <row r="61" spans="1:7" ht="14.25" customHeight="1">
      <c r="A61" s="598"/>
      <c r="B61" s="599"/>
      <c r="C61" s="600"/>
      <c r="D61" s="601"/>
      <c r="E61" s="602"/>
      <c r="F61" s="603"/>
      <c r="G61" s="604"/>
    </row>
    <row r="62" spans="1:7" ht="14.25" customHeight="1">
      <c r="A62" s="598"/>
      <c r="B62" s="599"/>
      <c r="C62" s="600"/>
      <c r="D62" s="601"/>
      <c r="E62" s="602"/>
      <c r="F62" s="603"/>
      <c r="G62" s="604"/>
    </row>
    <row r="63" spans="1:7" ht="14.25" customHeight="1">
      <c r="A63" s="598"/>
      <c r="B63" s="599"/>
      <c r="C63" s="600"/>
      <c r="D63" s="601"/>
      <c r="E63" s="602"/>
      <c r="F63" s="603"/>
      <c r="G63" s="604"/>
    </row>
    <row r="64" spans="1:7" ht="14.25" customHeight="1">
      <c r="A64" s="598"/>
      <c r="B64" s="599"/>
      <c r="C64" s="600"/>
      <c r="D64" s="601"/>
      <c r="E64" s="602"/>
      <c r="F64" s="603"/>
      <c r="G64" s="604"/>
    </row>
    <row r="65" spans="1:7" ht="14.25" customHeight="1">
      <c r="A65" s="598"/>
      <c r="B65" s="599"/>
      <c r="C65" s="600"/>
      <c r="D65" s="601"/>
      <c r="E65" s="602"/>
      <c r="F65" s="603"/>
      <c r="G65" s="604"/>
    </row>
    <row r="66" spans="1:7" ht="14.25" customHeight="1">
      <c r="A66" s="598"/>
      <c r="B66" s="599"/>
      <c r="C66" s="600"/>
      <c r="D66" s="601"/>
      <c r="E66" s="602"/>
      <c r="F66" s="603"/>
      <c r="G66" s="604"/>
    </row>
    <row r="67" spans="1:7" ht="14.25" customHeight="1">
      <c r="A67" s="598"/>
      <c r="B67" s="599"/>
      <c r="C67" s="600"/>
      <c r="D67" s="601"/>
      <c r="E67" s="602"/>
      <c r="F67" s="603"/>
      <c r="G67" s="604"/>
    </row>
    <row r="68" spans="1:7" ht="14.25" customHeight="1">
      <c r="A68" s="598"/>
      <c r="B68" s="599"/>
      <c r="C68" s="600"/>
      <c r="D68" s="601"/>
      <c r="E68" s="602"/>
      <c r="F68" s="603"/>
      <c r="G68" s="604"/>
    </row>
    <row r="69" spans="1:7" ht="14.25" customHeight="1">
      <c r="A69" s="598"/>
      <c r="B69" s="599"/>
      <c r="C69" s="600"/>
      <c r="D69" s="601"/>
      <c r="E69" s="602"/>
      <c r="F69" s="603"/>
      <c r="G69" s="604"/>
    </row>
    <row r="70" spans="1:7" ht="14.25" customHeight="1">
      <c r="A70" s="598"/>
      <c r="B70" s="599"/>
      <c r="C70" s="600"/>
      <c r="D70" s="601"/>
      <c r="E70" s="602"/>
      <c r="F70" s="603"/>
      <c r="G70" s="604"/>
    </row>
    <row r="71" spans="1:7" ht="14.25" customHeight="1">
      <c r="A71" s="598"/>
      <c r="B71" s="599"/>
      <c r="C71" s="600"/>
      <c r="D71" s="601"/>
      <c r="E71" s="602"/>
      <c r="F71" s="603"/>
      <c r="G71" s="604"/>
    </row>
    <row r="72" spans="1:7" ht="14.25" customHeight="1">
      <c r="A72" s="598"/>
      <c r="B72" s="599"/>
      <c r="C72" s="600"/>
      <c r="D72" s="601"/>
      <c r="E72" s="602"/>
      <c r="F72" s="603"/>
      <c r="G72" s="604"/>
    </row>
    <row r="73" spans="1:7" ht="14.25" customHeight="1">
      <c r="A73" s="598"/>
      <c r="B73" s="599"/>
      <c r="C73" s="600"/>
      <c r="D73" s="601"/>
      <c r="E73" s="602"/>
      <c r="F73" s="603"/>
      <c r="G73" s="604"/>
    </row>
    <row r="74" spans="1:7" ht="14.25" customHeight="1">
      <c r="A74" s="598"/>
      <c r="B74" s="599"/>
      <c r="C74" s="600"/>
      <c r="D74" s="601"/>
      <c r="E74" s="602"/>
      <c r="F74" s="603"/>
      <c r="G74" s="604"/>
    </row>
    <row r="75" spans="1:7" ht="14.25" customHeight="1">
      <c r="A75" s="598"/>
      <c r="B75" s="599"/>
      <c r="C75" s="600"/>
      <c r="D75" s="601"/>
      <c r="E75" s="602"/>
      <c r="F75" s="603"/>
      <c r="G75" s="604"/>
    </row>
    <row r="76" spans="1:7" ht="14.25" customHeight="1">
      <c r="A76" s="598"/>
      <c r="B76" s="599"/>
      <c r="C76" s="600"/>
      <c r="D76" s="601"/>
      <c r="E76" s="602"/>
      <c r="F76" s="603"/>
      <c r="G76" s="604"/>
    </row>
    <row r="77" spans="1:7" ht="14.25" customHeight="1">
      <c r="A77" s="598"/>
      <c r="B77" s="599"/>
      <c r="C77" s="600"/>
      <c r="D77" s="601"/>
      <c r="E77" s="602"/>
      <c r="F77" s="603"/>
      <c r="G77" s="604"/>
    </row>
    <row r="78" spans="1:7" ht="14.25" customHeight="1">
      <c r="A78" s="598"/>
      <c r="B78" s="599"/>
      <c r="C78" s="600"/>
      <c r="D78" s="601"/>
      <c r="E78" s="602"/>
      <c r="F78" s="603"/>
      <c r="G78" s="604"/>
    </row>
    <row r="79" spans="1:7" ht="14.25" customHeight="1">
      <c r="A79" s="598"/>
      <c r="B79" s="599"/>
      <c r="C79" s="600"/>
      <c r="D79" s="601"/>
      <c r="E79" s="602"/>
      <c r="F79" s="603"/>
      <c r="G79" s="604"/>
    </row>
    <row r="80" spans="1:7" ht="14.25" customHeight="1">
      <c r="A80" s="598"/>
      <c r="B80" s="599"/>
      <c r="C80" s="600"/>
      <c r="D80" s="601"/>
      <c r="E80" s="602"/>
      <c r="F80" s="603"/>
      <c r="G80" s="604"/>
    </row>
    <row r="81" spans="1:7" ht="14.25" customHeight="1">
      <c r="A81" s="598"/>
      <c r="B81" s="599"/>
      <c r="C81" s="600"/>
      <c r="D81" s="601"/>
      <c r="E81" s="602"/>
      <c r="F81" s="603"/>
      <c r="G81" s="604"/>
    </row>
    <row r="82" spans="1:7" ht="14.25" customHeight="1">
      <c r="A82" s="598"/>
      <c r="B82" s="599"/>
      <c r="C82" s="600"/>
      <c r="D82" s="601"/>
      <c r="E82" s="602"/>
      <c r="F82" s="603"/>
      <c r="G82" s="604"/>
    </row>
    <row r="83" spans="1:7" ht="14.25" customHeight="1">
      <c r="A83" s="598"/>
      <c r="B83" s="599"/>
      <c r="C83" s="600"/>
      <c r="D83" s="601"/>
      <c r="E83" s="602"/>
      <c r="F83" s="603"/>
      <c r="G83" s="604"/>
    </row>
    <row r="84" spans="1:7" ht="14.25" customHeight="1">
      <c r="A84" s="598"/>
      <c r="B84" s="599"/>
      <c r="C84" s="600"/>
      <c r="D84" s="601"/>
      <c r="E84" s="602"/>
      <c r="F84" s="603"/>
      <c r="G84" s="604"/>
    </row>
    <row r="85" spans="1:7" ht="14.25" customHeight="1">
      <c r="A85" s="598"/>
      <c r="B85" s="599"/>
      <c r="C85" s="600"/>
      <c r="D85" s="601"/>
      <c r="E85" s="602"/>
      <c r="F85" s="603"/>
      <c r="G85" s="604"/>
    </row>
    <row r="86" spans="1:7" ht="14.25" customHeight="1">
      <c r="A86" s="598"/>
      <c r="B86" s="599"/>
      <c r="C86" s="600"/>
      <c r="D86" s="601"/>
      <c r="E86" s="602"/>
      <c r="F86" s="603"/>
      <c r="G86" s="604"/>
    </row>
    <row r="87" spans="1:7" ht="14.25" customHeight="1">
      <c r="A87" s="598"/>
      <c r="B87" s="599"/>
      <c r="C87" s="600"/>
      <c r="D87" s="601"/>
      <c r="E87" s="602"/>
      <c r="F87" s="603"/>
      <c r="G87" s="604"/>
    </row>
    <row r="88" spans="1:7" ht="14.25" customHeight="1">
      <c r="A88" s="598"/>
      <c r="B88" s="599"/>
      <c r="C88" s="600"/>
      <c r="D88" s="601"/>
      <c r="E88" s="602"/>
      <c r="F88" s="603"/>
      <c r="G88" s="604"/>
    </row>
    <row r="89" spans="1:7" ht="14.25" customHeight="1">
      <c r="A89" s="598"/>
      <c r="B89" s="599"/>
      <c r="C89" s="600"/>
      <c r="D89" s="601"/>
      <c r="E89" s="602"/>
      <c r="F89" s="603"/>
      <c r="G89" s="604"/>
    </row>
    <row r="90" spans="1:7" ht="14.25" customHeight="1">
      <c r="A90" s="598"/>
      <c r="B90" s="599"/>
      <c r="C90" s="600"/>
      <c r="D90" s="601"/>
      <c r="E90" s="602"/>
      <c r="F90" s="603"/>
      <c r="G90" s="604"/>
    </row>
    <row r="91" spans="1:7" ht="14.25" customHeight="1">
      <c r="A91" s="598"/>
      <c r="B91" s="599"/>
      <c r="C91" s="600"/>
      <c r="D91" s="601"/>
      <c r="E91" s="602"/>
      <c r="F91" s="603"/>
      <c r="G91" s="604"/>
    </row>
    <row r="92" spans="1:7" ht="14.25" customHeight="1">
      <c r="A92" s="598"/>
      <c r="B92" s="599"/>
      <c r="C92" s="600"/>
      <c r="D92" s="601"/>
      <c r="E92" s="602"/>
      <c r="F92" s="603"/>
      <c r="G92" s="604"/>
    </row>
    <row r="93" spans="1:7" ht="14.25" customHeight="1">
      <c r="A93" s="598"/>
      <c r="B93" s="599"/>
      <c r="C93" s="600"/>
      <c r="D93" s="601"/>
      <c r="E93" s="602"/>
      <c r="F93" s="603"/>
      <c r="G93" s="604"/>
    </row>
    <row r="94" spans="1:7" ht="14.25" customHeight="1">
      <c r="A94" s="598"/>
      <c r="B94" s="599"/>
      <c r="C94" s="600"/>
      <c r="D94" s="601"/>
      <c r="E94" s="602"/>
      <c r="F94" s="603"/>
      <c r="G94" s="604"/>
    </row>
    <row r="95" spans="1:7" ht="14.25" customHeight="1">
      <c r="A95" s="598"/>
      <c r="B95" s="599"/>
      <c r="C95" s="600"/>
      <c r="D95" s="601"/>
      <c r="E95" s="602"/>
      <c r="F95" s="603"/>
      <c r="G95" s="604"/>
    </row>
    <row r="96" spans="1:7" ht="14.25" customHeight="1">
      <c r="A96" s="598"/>
      <c r="B96" s="599"/>
      <c r="C96" s="600"/>
      <c r="D96" s="601"/>
      <c r="E96" s="602"/>
      <c r="F96" s="603"/>
      <c r="G96" s="604"/>
    </row>
    <row r="97" spans="1:7" ht="14.25" customHeight="1">
      <c r="A97" s="598"/>
      <c r="B97" s="599"/>
      <c r="C97" s="600"/>
      <c r="D97" s="601"/>
      <c r="E97" s="602"/>
      <c r="F97" s="603"/>
      <c r="G97" s="604"/>
    </row>
    <row r="98" spans="1:7" ht="14.25" customHeight="1">
      <c r="A98" s="38"/>
      <c r="B98" s="481"/>
      <c r="C98" s="482"/>
      <c r="E98" s="605"/>
      <c r="F98" s="483"/>
      <c r="G98" s="484"/>
    </row>
    <row r="99" spans="1:7" ht="14.25" customHeight="1">
      <c r="A99" s="369" t="s">
        <v>67</v>
      </c>
    </row>
    <row r="100" spans="1:7" ht="14.25" customHeight="1">
      <c r="A100" s="443" t="s">
        <v>131</v>
      </c>
    </row>
    <row r="101" spans="1:7" ht="14.25" customHeight="1">
      <c r="A101" s="478" t="s">
        <v>132</v>
      </c>
    </row>
    <row r="102" spans="1:7" ht="14.25" customHeight="1">
      <c r="A102" s="341" t="s">
        <v>77</v>
      </c>
    </row>
    <row r="103" spans="1:7" ht="14.25" customHeight="1">
      <c r="A103" s="606"/>
    </row>
  </sheetData>
  <mergeCells count="1">
    <mergeCell ref="A7:G7"/>
  </mergeCells>
  <phoneticPr fontId="0" type="noConversion"/>
  <printOptions horizontalCentered="1"/>
  <pageMargins left="0" right="0" top="0.55000000000000004" bottom="0.17" header="0.3" footer="0.15"/>
  <pageSetup paperSize="5" scale="38"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2:N48"/>
  <sheetViews>
    <sheetView showRuler="0" showWhiteSpace="0" zoomScale="80" zoomScaleNormal="80" workbookViewId="0">
      <selection activeCell="E18" sqref="E18"/>
    </sheetView>
  </sheetViews>
  <sheetFormatPr defaultColWidth="9.28515625" defaultRowHeight="12.75"/>
  <cols>
    <col min="1" max="1" width="48" style="41" customWidth="1"/>
    <col min="2" max="3" width="13" style="41" customWidth="1"/>
    <col min="4" max="13" width="13.28515625" style="41" customWidth="1"/>
    <col min="14" max="14" width="23.28515625" style="41" bestFit="1" customWidth="1"/>
    <col min="15" max="16384" width="9.28515625" style="41"/>
  </cols>
  <sheetData>
    <row r="2" spans="1:13" ht="20.25">
      <c r="B2" s="265" t="s">
        <v>39</v>
      </c>
      <c r="C2" s="40"/>
      <c r="D2" s="40"/>
      <c r="E2" s="266"/>
      <c r="F2" s="266"/>
      <c r="G2" s="266"/>
      <c r="H2" s="266"/>
      <c r="I2" s="266"/>
      <c r="J2" s="266"/>
      <c r="K2" s="266"/>
      <c r="L2" s="266"/>
      <c r="M2" s="266"/>
    </row>
    <row r="3" spans="1:13" ht="18">
      <c r="B3" s="706" t="s">
        <v>133</v>
      </c>
      <c r="C3" s="706"/>
      <c r="D3" s="706"/>
      <c r="E3" s="706"/>
      <c r="F3" s="706"/>
      <c r="G3" s="706"/>
      <c r="H3" s="706"/>
      <c r="I3" s="706"/>
      <c r="J3" s="706"/>
      <c r="K3" s="706"/>
      <c r="L3" s="706"/>
      <c r="M3" s="706"/>
    </row>
    <row r="4" spans="1:13" ht="18">
      <c r="A4" s="127"/>
      <c r="B4" s="40"/>
      <c r="C4" s="40"/>
      <c r="D4" s="40"/>
      <c r="E4" s="40"/>
      <c r="F4" s="267"/>
      <c r="G4" s="707">
        <f>'Program MW '!H3</f>
        <v>44593</v>
      </c>
      <c r="H4" s="707"/>
      <c r="I4" s="267"/>
      <c r="J4" s="40"/>
      <c r="K4" s="40"/>
      <c r="L4" s="40"/>
      <c r="M4" s="40"/>
    </row>
    <row r="5" spans="1:13">
      <c r="B5" s="146"/>
      <c r="C5" s="146"/>
      <c r="D5" s="146"/>
    </row>
    <row r="7" spans="1:13" ht="21.75" customHeight="1">
      <c r="A7" s="77"/>
      <c r="B7" s="547" t="s">
        <v>10</v>
      </c>
      <c r="C7" s="547" t="s">
        <v>28</v>
      </c>
      <c r="D7" s="547" t="s">
        <v>43</v>
      </c>
      <c r="E7" s="547" t="s">
        <v>44</v>
      </c>
      <c r="F7" s="547" t="s">
        <v>134</v>
      </c>
      <c r="G7" s="547" t="s">
        <v>45</v>
      </c>
      <c r="H7" s="547" t="s">
        <v>59</v>
      </c>
      <c r="I7" s="547" t="s">
        <v>60</v>
      </c>
      <c r="J7" s="547" t="s">
        <v>61</v>
      </c>
      <c r="K7" s="547" t="s">
        <v>62</v>
      </c>
      <c r="L7" s="547" t="s">
        <v>63</v>
      </c>
      <c r="M7" s="128" t="s">
        <v>64</v>
      </c>
    </row>
    <row r="8" spans="1:13" ht="38.25">
      <c r="A8" s="220" t="s">
        <v>135</v>
      </c>
      <c r="B8" s="548" t="s">
        <v>98</v>
      </c>
      <c r="C8" s="96" t="s">
        <v>98</v>
      </c>
      <c r="D8" s="96" t="s">
        <v>98</v>
      </c>
      <c r="E8" s="96" t="s">
        <v>98</v>
      </c>
      <c r="F8" s="96" t="s">
        <v>98</v>
      </c>
      <c r="G8" s="96" t="s">
        <v>98</v>
      </c>
      <c r="H8" s="96" t="s">
        <v>98</v>
      </c>
      <c r="I8" s="96" t="s">
        <v>98</v>
      </c>
      <c r="J8" s="96" t="s">
        <v>98</v>
      </c>
      <c r="K8" s="96" t="s">
        <v>98</v>
      </c>
      <c r="L8" s="96" t="s">
        <v>136</v>
      </c>
      <c r="M8" s="96" t="s">
        <v>136</v>
      </c>
    </row>
    <row r="9" spans="1:13">
      <c r="A9" s="549" t="s">
        <v>101</v>
      </c>
      <c r="B9" s="643">
        <v>1.23E-2</v>
      </c>
      <c r="C9" s="643">
        <v>1.23E-2</v>
      </c>
      <c r="D9" s="643"/>
      <c r="E9" s="643"/>
      <c r="F9" s="643"/>
      <c r="G9" s="643"/>
      <c r="H9" s="643"/>
      <c r="I9" s="643"/>
      <c r="J9" s="643"/>
      <c r="K9" s="643"/>
      <c r="L9" s="643"/>
      <c r="M9" s="643"/>
    </row>
    <row r="10" spans="1:13">
      <c r="A10" s="549" t="s">
        <v>102</v>
      </c>
      <c r="B10" s="643">
        <v>0</v>
      </c>
      <c r="C10" s="643">
        <v>0</v>
      </c>
      <c r="D10" s="643"/>
      <c r="E10" s="643"/>
      <c r="F10" s="643"/>
      <c r="G10" s="643"/>
      <c r="H10" s="643"/>
      <c r="I10" s="643"/>
      <c r="J10" s="643"/>
      <c r="K10" s="643"/>
      <c r="L10" s="643"/>
      <c r="M10" s="643"/>
    </row>
    <row r="11" spans="1:13">
      <c r="A11" s="129" t="s">
        <v>137</v>
      </c>
      <c r="B11" s="643">
        <v>0</v>
      </c>
      <c r="C11" s="643">
        <v>0</v>
      </c>
      <c r="D11" s="643"/>
      <c r="E11" s="643"/>
      <c r="F11" s="643"/>
      <c r="G11" s="643"/>
      <c r="H11" s="643"/>
      <c r="I11" s="643"/>
      <c r="J11" s="643"/>
      <c r="K11" s="643"/>
      <c r="L11" s="643"/>
      <c r="M11" s="643"/>
    </row>
    <row r="12" spans="1:13">
      <c r="A12" s="129" t="s">
        <v>138</v>
      </c>
      <c r="B12" s="643">
        <v>0</v>
      </c>
      <c r="C12" s="643">
        <v>0</v>
      </c>
      <c r="D12" s="643"/>
      <c r="E12" s="643"/>
      <c r="F12" s="643"/>
      <c r="G12" s="643"/>
      <c r="H12" s="643"/>
      <c r="I12" s="643"/>
      <c r="J12" s="643"/>
      <c r="K12" s="643"/>
      <c r="L12" s="643"/>
      <c r="M12" s="643"/>
    </row>
    <row r="13" spans="1:13" s="40" customFormat="1">
      <c r="A13" s="550" t="s">
        <v>103</v>
      </c>
      <c r="B13" s="522">
        <f t="shared" ref="B13:G13" si="0">SUM(B9:B12)</f>
        <v>1.23E-2</v>
      </c>
      <c r="C13" s="522">
        <f t="shared" si="0"/>
        <v>1.23E-2</v>
      </c>
      <c r="D13" s="522">
        <f t="shared" si="0"/>
        <v>0</v>
      </c>
      <c r="E13" s="522">
        <f t="shared" si="0"/>
        <v>0</v>
      </c>
      <c r="F13" s="522">
        <f t="shared" ref="F13" si="1">SUM(F9:F12)</f>
        <v>0</v>
      </c>
      <c r="G13" s="522">
        <f t="shared" si="0"/>
        <v>0</v>
      </c>
      <c r="H13" s="57">
        <f t="shared" ref="H13" si="2">SUM(H9:H12)</f>
        <v>0</v>
      </c>
      <c r="I13" s="57">
        <f>SUM(I9:I12)</f>
        <v>0</v>
      </c>
      <c r="J13" s="57">
        <f>SUM(J9:J12)</f>
        <v>0</v>
      </c>
      <c r="K13" s="57">
        <f>SUM(K9:K12)</f>
        <v>0</v>
      </c>
      <c r="L13" s="57">
        <f>SUM(L9:L12)</f>
        <v>0</v>
      </c>
      <c r="M13" s="57">
        <f>SUM(M9:M12)</f>
        <v>0</v>
      </c>
    </row>
    <row r="14" spans="1:13" s="48" customFormat="1">
      <c r="A14" s="40"/>
      <c r="B14" s="44"/>
      <c r="C14" s="46"/>
      <c r="D14" s="46"/>
      <c r="E14" s="46"/>
      <c r="F14" s="46"/>
      <c r="G14" s="46"/>
    </row>
    <row r="15" spans="1:13" ht="15">
      <c r="A15" s="193" t="s">
        <v>67</v>
      </c>
      <c r="G15" s="42"/>
    </row>
    <row r="16" spans="1:13" ht="15">
      <c r="A16" s="294" t="s">
        <v>139</v>
      </c>
      <c r="B16" s="146"/>
      <c r="C16" s="146"/>
      <c r="D16" s="229"/>
      <c r="E16" s="229"/>
      <c r="F16" s="229"/>
      <c r="G16" s="146"/>
      <c r="H16" s="146"/>
      <c r="I16" s="146"/>
      <c r="J16" s="146"/>
      <c r="K16" s="146"/>
    </row>
    <row r="17" spans="1:14" ht="15">
      <c r="A17" s="293"/>
    </row>
    <row r="20" spans="1:14" ht="21.75" customHeight="1">
      <c r="A20" s="77"/>
      <c r="B20" s="547" t="s">
        <v>10</v>
      </c>
      <c r="C20" s="547" t="s">
        <v>28</v>
      </c>
      <c r="D20" s="547" t="s">
        <v>43</v>
      </c>
      <c r="E20" s="547" t="s">
        <v>44</v>
      </c>
      <c r="F20" s="547" t="s">
        <v>134</v>
      </c>
      <c r="G20" s="547" t="s">
        <v>45</v>
      </c>
      <c r="H20" s="547" t="s">
        <v>59</v>
      </c>
      <c r="I20" s="547" t="s">
        <v>60</v>
      </c>
      <c r="J20" s="547" t="s">
        <v>61</v>
      </c>
      <c r="K20" s="547" t="s">
        <v>62</v>
      </c>
      <c r="L20" s="547" t="s">
        <v>63</v>
      </c>
      <c r="M20" s="128" t="s">
        <v>64</v>
      </c>
      <c r="N20" s="269"/>
    </row>
    <row r="21" spans="1:14" ht="51">
      <c r="A21" s="219" t="s">
        <v>135</v>
      </c>
      <c r="B21" s="96" t="s">
        <v>140</v>
      </c>
      <c r="C21" s="96" t="str">
        <f>B21</f>
        <v>Technology Deployment- Residential MWs</v>
      </c>
      <c r="D21" s="96" t="str">
        <f>B21</f>
        <v>Technology Deployment- Residential MWs</v>
      </c>
      <c r="E21" s="96" t="str">
        <f t="shared" ref="E21:M21" si="3">C21</f>
        <v>Technology Deployment- Residential MWs</v>
      </c>
      <c r="F21" s="96" t="str">
        <f t="shared" si="3"/>
        <v>Technology Deployment- Residential MWs</v>
      </c>
      <c r="G21" s="96" t="str">
        <f t="shared" si="3"/>
        <v>Technology Deployment- Residential MWs</v>
      </c>
      <c r="H21" s="96" t="str">
        <f t="shared" si="3"/>
        <v>Technology Deployment- Residential MWs</v>
      </c>
      <c r="I21" s="96" t="str">
        <f t="shared" si="3"/>
        <v>Technology Deployment- Residential MWs</v>
      </c>
      <c r="J21" s="96" t="str">
        <f t="shared" si="3"/>
        <v>Technology Deployment- Residential MWs</v>
      </c>
      <c r="K21" s="96" t="str">
        <f t="shared" si="3"/>
        <v>Technology Deployment- Residential MWs</v>
      </c>
      <c r="L21" s="96" t="str">
        <f t="shared" si="3"/>
        <v>Technology Deployment- Residential MWs</v>
      </c>
      <c r="M21" s="96" t="str">
        <f t="shared" si="3"/>
        <v>Technology Deployment- Residential MWs</v>
      </c>
      <c r="N21" s="269"/>
    </row>
    <row r="22" spans="1:14">
      <c r="A22" s="129" t="s">
        <v>17</v>
      </c>
      <c r="B22" s="54">
        <f>'Program MW '!D14</f>
        <v>0</v>
      </c>
      <c r="C22" s="54">
        <f>'Program MW '!G14</f>
        <v>4.8763302380740647</v>
      </c>
      <c r="D22" s="54">
        <f>'Program MW '!J14</f>
        <v>0</v>
      </c>
      <c r="E22" s="54">
        <f>'Program MW '!M14</f>
        <v>0</v>
      </c>
      <c r="F22" s="54">
        <f>'Program MW '!P14</f>
        <v>0</v>
      </c>
      <c r="G22" s="54">
        <f>'Program MW '!S14</f>
        <v>0</v>
      </c>
      <c r="H22" s="54">
        <f>'Program MW '!D37</f>
        <v>0</v>
      </c>
      <c r="I22" s="54">
        <f>'Program MW '!G37</f>
        <v>0</v>
      </c>
      <c r="J22" s="54">
        <f>'Program MW '!J37</f>
        <v>0</v>
      </c>
      <c r="K22" s="54">
        <f>'Program MW '!M37</f>
        <v>0</v>
      </c>
      <c r="L22" s="54">
        <f>'Program MW '!P37</f>
        <v>0</v>
      </c>
      <c r="M22" s="54">
        <f>'Program MW '!S37</f>
        <v>0</v>
      </c>
      <c r="N22" s="269"/>
    </row>
    <row r="23" spans="1:14">
      <c r="A23" s="129" t="s">
        <v>27</v>
      </c>
      <c r="B23" s="54">
        <f>'Program MW '!D22</f>
        <v>3.8236534905213531</v>
      </c>
      <c r="C23" s="54">
        <f>'Program MW '!G22</f>
        <v>3.9107180186696695</v>
      </c>
      <c r="D23" s="54">
        <f>'Program MW '!J22</f>
        <v>0</v>
      </c>
      <c r="E23" s="54">
        <f>'Program MW '!M22</f>
        <v>0</v>
      </c>
      <c r="F23" s="54">
        <f>'Program MW '!P22</f>
        <v>0</v>
      </c>
      <c r="G23" s="54">
        <f>'Program MW '!S22</f>
        <v>0</v>
      </c>
      <c r="H23" s="54">
        <f>'Program MW '!D45</f>
        <v>0</v>
      </c>
      <c r="I23" s="54">
        <f>'Program MW '!G45</f>
        <v>0</v>
      </c>
      <c r="J23" s="54">
        <f>'Program MW '!J45</f>
        <v>0</v>
      </c>
      <c r="K23" s="54">
        <f>'Program MW '!M45</f>
        <v>0</v>
      </c>
      <c r="L23" s="54">
        <f>'Program MW '!P45</f>
        <v>0</v>
      </c>
      <c r="M23" s="54">
        <f>'Program MW '!S45</f>
        <v>0</v>
      </c>
    </row>
    <row r="24" spans="1:14">
      <c r="A24" s="129" t="s">
        <v>138</v>
      </c>
      <c r="B24" s="54">
        <f>'Program MW '!D16</f>
        <v>1.1810930145000003</v>
      </c>
      <c r="C24" s="54">
        <f>'Program MW '!G16</f>
        <v>1.1746543473000002</v>
      </c>
      <c r="D24" s="54">
        <f>'Program MW '!J16</f>
        <v>0</v>
      </c>
      <c r="E24" s="54">
        <f>'Program MW '!M16</f>
        <v>0</v>
      </c>
      <c r="F24" s="54">
        <f>'Program MW '!P16</f>
        <v>0</v>
      </c>
      <c r="G24" s="54">
        <f>'Program MW '!S16</f>
        <v>0</v>
      </c>
      <c r="H24" s="54">
        <f>'Program MW '!D39</f>
        <v>0</v>
      </c>
      <c r="I24" s="54">
        <f>'Program MW '!G39</f>
        <v>0</v>
      </c>
      <c r="J24" s="54">
        <f>'Program MW '!J39</f>
        <v>0</v>
      </c>
      <c r="K24" s="54">
        <f>'Program MW '!M39</f>
        <v>0</v>
      </c>
      <c r="L24" s="54">
        <f>'Program MW '!P39</f>
        <v>0</v>
      </c>
      <c r="M24" s="54">
        <f>'Program MW '!S39</f>
        <v>0</v>
      </c>
    </row>
    <row r="25" spans="1:14" s="40" customFormat="1">
      <c r="A25" s="550" t="s">
        <v>103</v>
      </c>
      <c r="B25" s="522">
        <f t="shared" ref="B25:H25" si="4">SUM(B22:B24)</f>
        <v>5.0047465050213535</v>
      </c>
      <c r="C25" s="57">
        <f t="shared" si="4"/>
        <v>9.9617026040437349</v>
      </c>
      <c r="D25" s="57">
        <f t="shared" si="4"/>
        <v>0</v>
      </c>
      <c r="E25" s="57">
        <f t="shared" ref="E25" si="5">SUM(E22:E24)</f>
        <v>0</v>
      </c>
      <c r="F25" s="57">
        <f t="shared" ref="F25" si="6">SUM(F22:F24)</f>
        <v>0</v>
      </c>
      <c r="G25" s="57">
        <f t="shared" si="4"/>
        <v>0</v>
      </c>
      <c r="H25" s="57">
        <f t="shared" si="4"/>
        <v>0</v>
      </c>
      <c r="I25" s="57">
        <f t="shared" ref="I25:J25" si="7">SUM(I22:I24)</f>
        <v>0</v>
      </c>
      <c r="J25" s="57">
        <f t="shared" si="7"/>
        <v>0</v>
      </c>
      <c r="K25" s="57">
        <f>SUM(K22:K24)</f>
        <v>0</v>
      </c>
      <c r="L25" s="57">
        <f>SUM(L22:L24)</f>
        <v>0</v>
      </c>
      <c r="M25" s="57">
        <f>SUM(M22:M24)</f>
        <v>0</v>
      </c>
    </row>
    <row r="26" spans="1:14" s="48" customFormat="1">
      <c r="A26" s="40"/>
      <c r="B26" s="44"/>
      <c r="C26" s="46"/>
      <c r="D26" s="46"/>
      <c r="E26" s="46"/>
      <c r="F26" s="46"/>
      <c r="G26" s="46"/>
    </row>
    <row r="27" spans="1:14" ht="15">
      <c r="A27" s="193" t="s">
        <v>67</v>
      </c>
      <c r="G27" s="42"/>
    </row>
    <row r="28" spans="1:14" ht="15">
      <c r="A28" s="292" t="s">
        <v>141</v>
      </c>
      <c r="G28" s="42"/>
    </row>
    <row r="29" spans="1:14" ht="15">
      <c r="A29" s="293"/>
      <c r="C29" s="42"/>
      <c r="D29" s="42"/>
      <c r="E29" s="42"/>
      <c r="F29" s="42"/>
      <c r="G29" s="42"/>
    </row>
    <row r="30" spans="1:14">
      <c r="C30" s="42"/>
      <c r="D30" s="42"/>
      <c r="E30" s="42"/>
      <c r="F30" s="42"/>
      <c r="G30" s="42"/>
    </row>
    <row r="31" spans="1:14" ht="21.75" customHeight="1">
      <c r="A31" s="77"/>
      <c r="B31" s="547" t="s">
        <v>10</v>
      </c>
      <c r="C31" s="547" t="s">
        <v>28</v>
      </c>
      <c r="D31" s="547" t="s">
        <v>43</v>
      </c>
      <c r="E31" s="547" t="s">
        <v>44</v>
      </c>
      <c r="F31" s="547" t="s">
        <v>134</v>
      </c>
      <c r="G31" s="547" t="s">
        <v>45</v>
      </c>
      <c r="H31" s="547" t="s">
        <v>59</v>
      </c>
      <c r="I31" s="547" t="s">
        <v>60</v>
      </c>
      <c r="J31" s="547" t="s">
        <v>61</v>
      </c>
      <c r="K31" s="547" t="s">
        <v>62</v>
      </c>
      <c r="L31" s="547" t="s">
        <v>63</v>
      </c>
      <c r="M31" s="128" t="s">
        <v>64</v>
      </c>
    </row>
    <row r="32" spans="1:14" ht="51">
      <c r="A32" s="219" t="s">
        <v>135</v>
      </c>
      <c r="B32" s="96" t="s">
        <v>142</v>
      </c>
      <c r="C32" s="96" t="str">
        <f>B32</f>
        <v>Technology Deployment- Commercial MWs</v>
      </c>
      <c r="D32" s="96" t="str">
        <f>B32</f>
        <v>Technology Deployment- Commercial MWs</v>
      </c>
      <c r="E32" s="96" t="str">
        <f t="shared" ref="E32" si="8">C32</f>
        <v>Technology Deployment- Commercial MWs</v>
      </c>
      <c r="F32" s="96" t="str">
        <f t="shared" ref="F32" si="9">D32</f>
        <v>Technology Deployment- Commercial MWs</v>
      </c>
      <c r="G32" s="96" t="str">
        <f t="shared" ref="G32" si="10">E32</f>
        <v>Technology Deployment- Commercial MWs</v>
      </c>
      <c r="H32" s="96" t="str">
        <f t="shared" ref="H32" si="11">F32</f>
        <v>Technology Deployment- Commercial MWs</v>
      </c>
      <c r="I32" s="96" t="s">
        <v>143</v>
      </c>
      <c r="J32" s="96" t="str">
        <f t="shared" ref="J32" si="12">H32</f>
        <v>Technology Deployment- Commercial MWs</v>
      </c>
      <c r="K32" s="96" t="str">
        <f>B32</f>
        <v>Technology Deployment- Commercial MWs</v>
      </c>
      <c r="L32" s="96" t="s">
        <v>143</v>
      </c>
      <c r="M32" s="96" t="str">
        <f t="shared" ref="M32" si="13">K32</f>
        <v>Technology Deployment- Commercial MWs</v>
      </c>
    </row>
    <row r="33" spans="1:13">
      <c r="A33" s="129" t="s">
        <v>20</v>
      </c>
      <c r="B33" s="54">
        <f>'Program MW '!D15</f>
        <v>0</v>
      </c>
      <c r="C33" s="54">
        <f>'Program MW '!G15</f>
        <v>0.13637032914161681</v>
      </c>
      <c r="D33" s="54">
        <f>'Program MW '!J15</f>
        <v>0</v>
      </c>
      <c r="E33" s="54">
        <f>'Program MW '!M15</f>
        <v>0</v>
      </c>
      <c r="F33" s="54">
        <f>'Program MW '!P15</f>
        <v>0</v>
      </c>
      <c r="G33" s="54">
        <f>'Program MW '!S15</f>
        <v>0</v>
      </c>
      <c r="H33" s="54">
        <f>'Program MW '!D40</f>
        <v>0</v>
      </c>
      <c r="I33" s="54">
        <f>'Program MW '!G40</f>
        <v>0</v>
      </c>
      <c r="J33" s="54">
        <f>'Program MW '!J40</f>
        <v>0</v>
      </c>
      <c r="K33" s="54">
        <f>'Program MW '!M40</f>
        <v>0</v>
      </c>
      <c r="L33" s="54">
        <f>'Program MW '!P40</f>
        <v>0</v>
      </c>
      <c r="M33" s="54">
        <f>'Program MW '!S40</f>
        <v>0</v>
      </c>
    </row>
    <row r="34" spans="1:13">
      <c r="A34" s="129" t="s">
        <v>26</v>
      </c>
      <c r="B34" s="54">
        <f>'Program MW '!D21</f>
        <v>2.5469749924489515</v>
      </c>
      <c r="C34" s="54">
        <f>'Program MW '!G21</f>
        <v>2.5025068556143713</v>
      </c>
      <c r="D34" s="54">
        <f>'Program MW '!J21</f>
        <v>0</v>
      </c>
      <c r="E34" s="54">
        <f>'Program MW '!M21</f>
        <v>0</v>
      </c>
      <c r="F34" s="54">
        <f>'Program MW '!P21</f>
        <v>0</v>
      </c>
      <c r="G34" s="54">
        <f>'Program MW '!S21</f>
        <v>0</v>
      </c>
      <c r="H34" s="54">
        <f>'Program MW '!D44</f>
        <v>0</v>
      </c>
      <c r="I34" s="54">
        <f>'Program MW '!G44</f>
        <v>0</v>
      </c>
      <c r="J34" s="54">
        <f>'Program MW '!J44</f>
        <v>0</v>
      </c>
      <c r="K34" s="54">
        <f>'Program MW '!M44</f>
        <v>0</v>
      </c>
      <c r="L34" s="54">
        <f>'Program MW '!P44</f>
        <v>0</v>
      </c>
      <c r="M34" s="54">
        <f>'Program MW '!S44</f>
        <v>0</v>
      </c>
    </row>
    <row r="35" spans="1:13">
      <c r="A35" s="337" t="s">
        <v>55</v>
      </c>
      <c r="B35" s="54">
        <f>'Program MW '!D20</f>
        <v>0</v>
      </c>
      <c r="C35" s="54">
        <f>'Program MW '!G20</f>
        <v>5.3145108222961424E-2</v>
      </c>
      <c r="D35" s="54">
        <f>'Program MW '!J20</f>
        <v>0</v>
      </c>
      <c r="E35" s="54">
        <f>'Program MW '!M20</f>
        <v>0</v>
      </c>
      <c r="F35" s="54">
        <f>'Program MW '!P20</f>
        <v>0</v>
      </c>
      <c r="G35" s="54">
        <f>'Program MW '!S20</f>
        <v>0</v>
      </c>
      <c r="H35" s="54">
        <f>'Program MW '!D43</f>
        <v>0</v>
      </c>
      <c r="I35" s="54">
        <f>'Program MW '!G43</f>
        <v>0</v>
      </c>
      <c r="J35" s="54">
        <f>'Program MW '!J43</f>
        <v>0</v>
      </c>
      <c r="K35" s="54">
        <f>'Program MW '!M43</f>
        <v>0</v>
      </c>
      <c r="L35" s="54">
        <f>'Program MW '!P43</f>
        <v>0</v>
      </c>
      <c r="M35" s="54">
        <f>'Program MW '!S43</f>
        <v>0</v>
      </c>
    </row>
    <row r="36" spans="1:13">
      <c r="A36" s="129" t="s">
        <v>101</v>
      </c>
      <c r="B36" s="54">
        <f t="shared" ref="B36:M36" si="14">B9</f>
        <v>1.23E-2</v>
      </c>
      <c r="C36" s="54">
        <f t="shared" si="14"/>
        <v>1.23E-2</v>
      </c>
      <c r="D36" s="54">
        <f t="shared" si="14"/>
        <v>0</v>
      </c>
      <c r="E36" s="54">
        <f t="shared" si="14"/>
        <v>0</v>
      </c>
      <c r="F36" s="54">
        <f t="shared" si="14"/>
        <v>0</v>
      </c>
      <c r="G36" s="54">
        <f t="shared" si="14"/>
        <v>0</v>
      </c>
      <c r="H36" s="54">
        <f t="shared" si="14"/>
        <v>0</v>
      </c>
      <c r="I36" s="54">
        <f t="shared" si="14"/>
        <v>0</v>
      </c>
      <c r="J36" s="54">
        <f t="shared" si="14"/>
        <v>0</v>
      </c>
      <c r="K36" s="54">
        <f t="shared" si="14"/>
        <v>0</v>
      </c>
      <c r="L36" s="54">
        <f t="shared" si="14"/>
        <v>0</v>
      </c>
      <c r="M36" s="54">
        <f t="shared" si="14"/>
        <v>0</v>
      </c>
    </row>
    <row r="37" spans="1:13">
      <c r="A37" s="129" t="s">
        <v>102</v>
      </c>
      <c r="B37" s="54">
        <f t="shared" ref="B37:M37" si="15">B10</f>
        <v>0</v>
      </c>
      <c r="C37" s="54">
        <f t="shared" si="15"/>
        <v>0</v>
      </c>
      <c r="D37" s="54">
        <f t="shared" si="15"/>
        <v>0</v>
      </c>
      <c r="E37" s="54">
        <f t="shared" si="15"/>
        <v>0</v>
      </c>
      <c r="F37" s="54">
        <f t="shared" si="15"/>
        <v>0</v>
      </c>
      <c r="G37" s="54">
        <f t="shared" si="15"/>
        <v>0</v>
      </c>
      <c r="H37" s="54">
        <f t="shared" si="15"/>
        <v>0</v>
      </c>
      <c r="I37" s="54">
        <f t="shared" si="15"/>
        <v>0</v>
      </c>
      <c r="J37" s="54">
        <f t="shared" si="15"/>
        <v>0</v>
      </c>
      <c r="K37" s="54">
        <f t="shared" si="15"/>
        <v>0</v>
      </c>
      <c r="L37" s="54">
        <f t="shared" si="15"/>
        <v>0</v>
      </c>
      <c r="M37" s="54">
        <f t="shared" si="15"/>
        <v>0</v>
      </c>
    </row>
    <row r="38" spans="1:13">
      <c r="A38" s="129" t="s">
        <v>137</v>
      </c>
      <c r="B38" s="54">
        <f>'Program MW '!D13</f>
        <v>0</v>
      </c>
      <c r="C38" s="54">
        <f>'Program MW '!G13</f>
        <v>0</v>
      </c>
      <c r="D38" s="54">
        <f>'Program MW '!J13</f>
        <v>0</v>
      </c>
      <c r="E38" s="54">
        <f>'Program MW '!M13</f>
        <v>0</v>
      </c>
      <c r="F38" s="54">
        <f>'Program MW '!P13</f>
        <v>0</v>
      </c>
      <c r="G38" s="54">
        <f>'Program MW '!S13</f>
        <v>0</v>
      </c>
      <c r="H38" s="54">
        <f>'Program MW '!D35</f>
        <v>0</v>
      </c>
      <c r="I38" s="54">
        <f>'Program MW '!G35</f>
        <v>0</v>
      </c>
      <c r="J38" s="54">
        <f>'Program MW '!J35</f>
        <v>0</v>
      </c>
      <c r="K38" s="54">
        <f>'Program MW '!M35</f>
        <v>0</v>
      </c>
      <c r="L38" s="54">
        <f>'Program MW '!P35</f>
        <v>0</v>
      </c>
      <c r="M38" s="54">
        <f>'Program MW '!S35</f>
        <v>0</v>
      </c>
    </row>
    <row r="39" spans="1:13">
      <c r="A39" s="129" t="s">
        <v>138</v>
      </c>
      <c r="B39" s="54">
        <f t="shared" ref="B39:M39" si="16">B12</f>
        <v>0</v>
      </c>
      <c r="C39" s="54">
        <f t="shared" si="16"/>
        <v>0</v>
      </c>
      <c r="D39" s="54">
        <f t="shared" si="16"/>
        <v>0</v>
      </c>
      <c r="E39" s="54">
        <f t="shared" si="16"/>
        <v>0</v>
      </c>
      <c r="F39" s="54">
        <f t="shared" si="16"/>
        <v>0</v>
      </c>
      <c r="G39" s="54">
        <f t="shared" si="16"/>
        <v>0</v>
      </c>
      <c r="H39" s="54">
        <f t="shared" si="16"/>
        <v>0</v>
      </c>
      <c r="I39" s="54">
        <f t="shared" si="16"/>
        <v>0</v>
      </c>
      <c r="J39" s="54">
        <f t="shared" si="16"/>
        <v>0</v>
      </c>
      <c r="K39" s="54">
        <f t="shared" si="16"/>
        <v>0</v>
      </c>
      <c r="L39" s="54">
        <f t="shared" si="16"/>
        <v>0</v>
      </c>
      <c r="M39" s="54">
        <f t="shared" si="16"/>
        <v>0</v>
      </c>
    </row>
    <row r="40" spans="1:13" s="40" customFormat="1">
      <c r="A40" s="550" t="s">
        <v>103</v>
      </c>
      <c r="B40" s="522">
        <f t="shared" ref="B40:C40" si="17">SUM(B33:B39)</f>
        <v>2.5592749924489517</v>
      </c>
      <c r="C40" s="522">
        <f t="shared" si="17"/>
        <v>2.7043222929789499</v>
      </c>
      <c r="D40" s="522">
        <f t="shared" ref="D40:I40" si="18">SUM(D33:D39)</f>
        <v>0</v>
      </c>
      <c r="E40" s="522">
        <f t="shared" ref="E40" si="19">SUM(E33:E39)</f>
        <v>0</v>
      </c>
      <c r="F40" s="522">
        <f t="shared" ref="F40" si="20">SUM(F33:F39)</f>
        <v>0</v>
      </c>
      <c r="G40" s="522">
        <f t="shared" si="18"/>
        <v>0</v>
      </c>
      <c r="H40" s="522">
        <f t="shared" si="18"/>
        <v>0</v>
      </c>
      <c r="I40" s="522">
        <f t="shared" si="18"/>
        <v>0</v>
      </c>
      <c r="J40" s="522">
        <f t="shared" ref="J40" si="21">SUM(J33:J39)</f>
        <v>0</v>
      </c>
      <c r="K40" s="522">
        <f>SUM(K33:K39)</f>
        <v>0</v>
      </c>
      <c r="L40" s="522">
        <f>SUM(L33:L39)</f>
        <v>0</v>
      </c>
      <c r="M40" s="522">
        <f>SUM(M33:M39)</f>
        <v>0</v>
      </c>
    </row>
    <row r="41" spans="1:13">
      <c r="C41" s="42"/>
      <c r="D41" s="42"/>
      <c r="E41" s="42"/>
      <c r="F41" s="42"/>
      <c r="G41" s="42"/>
    </row>
    <row r="42" spans="1:13" ht="15">
      <c r="A42" s="193" t="s">
        <v>67</v>
      </c>
      <c r="G42" s="42"/>
    </row>
    <row r="43" spans="1:13" ht="14.25">
      <c r="A43" s="343"/>
      <c r="B43" s="146"/>
      <c r="C43" s="146"/>
      <c r="D43" s="229"/>
      <c r="E43" s="229"/>
      <c r="F43" s="229"/>
      <c r="G43" s="146"/>
      <c r="H43" s="146"/>
      <c r="I43" s="146"/>
      <c r="J43" s="146"/>
      <c r="K43" s="146"/>
    </row>
    <row r="44" spans="1:13" ht="15">
      <c r="A44" s="194" t="s">
        <v>77</v>
      </c>
    </row>
    <row r="46" spans="1:13" ht="15">
      <c r="A46" s="113" t="s">
        <v>56</v>
      </c>
    </row>
    <row r="48" spans="1:13">
      <c r="A48" s="155"/>
    </row>
  </sheetData>
  <mergeCells count="2">
    <mergeCell ref="B3:M3"/>
    <mergeCell ref="G4:H4"/>
  </mergeCells>
  <printOptions horizontalCentered="1"/>
  <pageMargins left="0" right="0" top="0.55000000000000004" bottom="0.17" header="0.3" footer="0.15"/>
  <pageSetup paperSize="5" scale="67"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pane="topRight" activeCell="O33" sqref="O33"/>
      <selection pane="bottomLeft" activeCell="O33" sqref="O33"/>
      <selection pane="bottomRight" activeCell="C3" sqref="C3"/>
    </sheetView>
  </sheetViews>
  <sheetFormatPr defaultRowHeight="12"/>
  <cols>
    <col min="1" max="1" width="84.28515625" style="208" customWidth="1"/>
    <col min="2" max="3" width="12.7109375" style="208" customWidth="1"/>
    <col min="4" max="4" width="9.28515625" style="208" bestFit="1" customWidth="1"/>
    <col min="5" max="10" width="12.7109375" style="208" customWidth="1"/>
    <col min="11" max="11" width="10.7109375" style="208" customWidth="1"/>
    <col min="12" max="13" width="12.7109375" style="208" customWidth="1"/>
    <col min="14" max="15" width="16.5703125" style="208" customWidth="1"/>
    <col min="16" max="16" width="16.5703125" style="208" hidden="1" customWidth="1"/>
    <col min="17" max="17" width="16.5703125" style="208" customWidth="1"/>
    <col min="18" max="256" width="9.28515625" style="208"/>
    <col min="257" max="257" width="70" style="208" customWidth="1"/>
    <col min="258" max="269" width="12.7109375" style="208" customWidth="1"/>
    <col min="270" max="270" width="11" style="208" customWidth="1"/>
    <col min="271" max="271" width="0" style="208" hidden="1" customWidth="1"/>
    <col min="272" max="273" width="11.7109375" style="208" customWidth="1"/>
    <col min="274" max="512" width="9.28515625" style="208"/>
    <col min="513" max="513" width="70" style="208" customWidth="1"/>
    <col min="514" max="525" width="12.7109375" style="208" customWidth="1"/>
    <col min="526" max="526" width="11" style="208" customWidth="1"/>
    <col min="527" max="527" width="0" style="208" hidden="1" customWidth="1"/>
    <col min="528" max="529" width="11.7109375" style="208" customWidth="1"/>
    <col min="530" max="768" width="9.28515625" style="208"/>
    <col min="769" max="769" width="70" style="208" customWidth="1"/>
    <col min="770" max="781" width="12.7109375" style="208" customWidth="1"/>
    <col min="782" max="782" width="11" style="208" customWidth="1"/>
    <col min="783" max="783" width="0" style="208" hidden="1" customWidth="1"/>
    <col min="784" max="785" width="11.7109375" style="208" customWidth="1"/>
    <col min="786" max="1024" width="9.28515625" style="208"/>
    <col min="1025" max="1025" width="70" style="208" customWidth="1"/>
    <col min="1026" max="1037" width="12.7109375" style="208" customWidth="1"/>
    <col min="1038" max="1038" width="11" style="208" customWidth="1"/>
    <col min="1039" max="1039" width="0" style="208" hidden="1" customWidth="1"/>
    <col min="1040" max="1041" width="11.7109375" style="208" customWidth="1"/>
    <col min="1042" max="1280" width="9.28515625" style="208"/>
    <col min="1281" max="1281" width="70" style="208" customWidth="1"/>
    <col min="1282" max="1293" width="12.7109375" style="208" customWidth="1"/>
    <col min="1294" max="1294" width="11" style="208" customWidth="1"/>
    <col min="1295" max="1295" width="0" style="208" hidden="1" customWidth="1"/>
    <col min="1296" max="1297" width="11.7109375" style="208" customWidth="1"/>
    <col min="1298" max="1536" width="9.28515625" style="208"/>
    <col min="1537" max="1537" width="70" style="208" customWidth="1"/>
    <col min="1538" max="1549" width="12.7109375" style="208" customWidth="1"/>
    <col min="1550" max="1550" width="11" style="208" customWidth="1"/>
    <col min="1551" max="1551" width="0" style="208" hidden="1" customWidth="1"/>
    <col min="1552" max="1553" width="11.7109375" style="208" customWidth="1"/>
    <col min="1554" max="1792" width="9.28515625" style="208"/>
    <col min="1793" max="1793" width="70" style="208" customWidth="1"/>
    <col min="1794" max="1805" width="12.7109375" style="208" customWidth="1"/>
    <col min="1806" max="1806" width="11" style="208" customWidth="1"/>
    <col min="1807" max="1807" width="0" style="208" hidden="1" customWidth="1"/>
    <col min="1808" max="1809" width="11.7109375" style="208" customWidth="1"/>
    <col min="1810" max="2048" width="9.28515625" style="208"/>
    <col min="2049" max="2049" width="70" style="208" customWidth="1"/>
    <col min="2050" max="2061" width="12.7109375" style="208" customWidth="1"/>
    <col min="2062" max="2062" width="11" style="208" customWidth="1"/>
    <col min="2063" max="2063" width="0" style="208" hidden="1" customWidth="1"/>
    <col min="2064" max="2065" width="11.7109375" style="208" customWidth="1"/>
    <col min="2066" max="2304" width="9.28515625" style="208"/>
    <col min="2305" max="2305" width="70" style="208" customWidth="1"/>
    <col min="2306" max="2317" width="12.7109375" style="208" customWidth="1"/>
    <col min="2318" max="2318" width="11" style="208" customWidth="1"/>
    <col min="2319" max="2319" width="0" style="208" hidden="1" customWidth="1"/>
    <col min="2320" max="2321" width="11.7109375" style="208" customWidth="1"/>
    <col min="2322" max="2560" width="9.28515625" style="208"/>
    <col min="2561" max="2561" width="70" style="208" customWidth="1"/>
    <col min="2562" max="2573" width="12.7109375" style="208" customWidth="1"/>
    <col min="2574" max="2574" width="11" style="208" customWidth="1"/>
    <col min="2575" max="2575" width="0" style="208" hidden="1" customWidth="1"/>
    <col min="2576" max="2577" width="11.7109375" style="208" customWidth="1"/>
    <col min="2578" max="2816" width="9.28515625" style="208"/>
    <col min="2817" max="2817" width="70" style="208" customWidth="1"/>
    <col min="2818" max="2829" width="12.7109375" style="208" customWidth="1"/>
    <col min="2830" max="2830" width="11" style="208" customWidth="1"/>
    <col min="2831" max="2831" width="0" style="208" hidden="1" customWidth="1"/>
    <col min="2832" max="2833" width="11.7109375" style="208" customWidth="1"/>
    <col min="2834" max="3072" width="9.28515625" style="208"/>
    <col min="3073" max="3073" width="70" style="208" customWidth="1"/>
    <col min="3074" max="3085" width="12.7109375" style="208" customWidth="1"/>
    <col min="3086" max="3086" width="11" style="208" customWidth="1"/>
    <col min="3087" max="3087" width="0" style="208" hidden="1" customWidth="1"/>
    <col min="3088" max="3089" width="11.7109375" style="208" customWidth="1"/>
    <col min="3090" max="3328" width="9.28515625" style="208"/>
    <col min="3329" max="3329" width="70" style="208" customWidth="1"/>
    <col min="3330" max="3341" width="12.7109375" style="208" customWidth="1"/>
    <col min="3342" max="3342" width="11" style="208" customWidth="1"/>
    <col min="3343" max="3343" width="0" style="208" hidden="1" customWidth="1"/>
    <col min="3344" max="3345" width="11.7109375" style="208" customWidth="1"/>
    <col min="3346" max="3584" width="9.28515625" style="208"/>
    <col min="3585" max="3585" width="70" style="208" customWidth="1"/>
    <col min="3586" max="3597" width="12.7109375" style="208" customWidth="1"/>
    <col min="3598" max="3598" width="11" style="208" customWidth="1"/>
    <col min="3599" max="3599" width="0" style="208" hidden="1" customWidth="1"/>
    <col min="3600" max="3601" width="11.7109375" style="208" customWidth="1"/>
    <col min="3602" max="3840" width="9.28515625" style="208"/>
    <col min="3841" max="3841" width="70" style="208" customWidth="1"/>
    <col min="3842" max="3853" width="12.7109375" style="208" customWidth="1"/>
    <col min="3854" max="3854" width="11" style="208" customWidth="1"/>
    <col min="3855" max="3855" width="0" style="208" hidden="1" customWidth="1"/>
    <col min="3856" max="3857" width="11.7109375" style="208" customWidth="1"/>
    <col min="3858" max="4096" width="9.28515625" style="208"/>
    <col min="4097" max="4097" width="70" style="208" customWidth="1"/>
    <col min="4098" max="4109" width="12.7109375" style="208" customWidth="1"/>
    <col min="4110" max="4110" width="11" style="208" customWidth="1"/>
    <col min="4111" max="4111" width="0" style="208" hidden="1" customWidth="1"/>
    <col min="4112" max="4113" width="11.7109375" style="208" customWidth="1"/>
    <col min="4114" max="4352" width="9.28515625" style="208"/>
    <col min="4353" max="4353" width="70" style="208" customWidth="1"/>
    <col min="4354" max="4365" width="12.7109375" style="208" customWidth="1"/>
    <col min="4366" max="4366" width="11" style="208" customWidth="1"/>
    <col min="4367" max="4367" width="0" style="208" hidden="1" customWidth="1"/>
    <col min="4368" max="4369" width="11.7109375" style="208" customWidth="1"/>
    <col min="4370" max="4608" width="9.28515625" style="208"/>
    <col min="4609" max="4609" width="70" style="208" customWidth="1"/>
    <col min="4610" max="4621" width="12.7109375" style="208" customWidth="1"/>
    <col min="4622" max="4622" width="11" style="208" customWidth="1"/>
    <col min="4623" max="4623" width="0" style="208" hidden="1" customWidth="1"/>
    <col min="4624" max="4625" width="11.7109375" style="208" customWidth="1"/>
    <col min="4626" max="4864" width="9.28515625" style="208"/>
    <col min="4865" max="4865" width="70" style="208" customWidth="1"/>
    <col min="4866" max="4877" width="12.7109375" style="208" customWidth="1"/>
    <col min="4878" max="4878" width="11" style="208" customWidth="1"/>
    <col min="4879" max="4879" width="0" style="208" hidden="1" customWidth="1"/>
    <col min="4880" max="4881" width="11.7109375" style="208" customWidth="1"/>
    <col min="4882" max="5120" width="9.28515625" style="208"/>
    <col min="5121" max="5121" width="70" style="208" customWidth="1"/>
    <col min="5122" max="5133" width="12.7109375" style="208" customWidth="1"/>
    <col min="5134" max="5134" width="11" style="208" customWidth="1"/>
    <col min="5135" max="5135" width="0" style="208" hidden="1" customWidth="1"/>
    <col min="5136" max="5137" width="11.7109375" style="208" customWidth="1"/>
    <col min="5138" max="5376" width="9.28515625" style="208"/>
    <col min="5377" max="5377" width="70" style="208" customWidth="1"/>
    <col min="5378" max="5389" width="12.7109375" style="208" customWidth="1"/>
    <col min="5390" max="5390" width="11" style="208" customWidth="1"/>
    <col min="5391" max="5391" width="0" style="208" hidden="1" customWidth="1"/>
    <col min="5392" max="5393" width="11.7109375" style="208" customWidth="1"/>
    <col min="5394" max="5632" width="9.28515625" style="208"/>
    <col min="5633" max="5633" width="70" style="208" customWidth="1"/>
    <col min="5634" max="5645" width="12.7109375" style="208" customWidth="1"/>
    <col min="5646" max="5646" width="11" style="208" customWidth="1"/>
    <col min="5647" max="5647" width="0" style="208" hidden="1" customWidth="1"/>
    <col min="5648" max="5649" width="11.7109375" style="208" customWidth="1"/>
    <col min="5650" max="5888" width="9.28515625" style="208"/>
    <col min="5889" max="5889" width="70" style="208" customWidth="1"/>
    <col min="5890" max="5901" width="12.7109375" style="208" customWidth="1"/>
    <col min="5902" max="5902" width="11" style="208" customWidth="1"/>
    <col min="5903" max="5903" width="0" style="208" hidden="1" customWidth="1"/>
    <col min="5904" max="5905" width="11.7109375" style="208" customWidth="1"/>
    <col min="5906" max="6144" width="9.28515625" style="208"/>
    <col min="6145" max="6145" width="70" style="208" customWidth="1"/>
    <col min="6146" max="6157" width="12.7109375" style="208" customWidth="1"/>
    <col min="6158" max="6158" width="11" style="208" customWidth="1"/>
    <col min="6159" max="6159" width="0" style="208" hidden="1" customWidth="1"/>
    <col min="6160" max="6161" width="11.7109375" style="208" customWidth="1"/>
    <col min="6162" max="6400" width="9.28515625" style="208"/>
    <col min="6401" max="6401" width="70" style="208" customWidth="1"/>
    <col min="6402" max="6413" width="12.7109375" style="208" customWidth="1"/>
    <col min="6414" max="6414" width="11" style="208" customWidth="1"/>
    <col min="6415" max="6415" width="0" style="208" hidden="1" customWidth="1"/>
    <col min="6416" max="6417" width="11.7109375" style="208" customWidth="1"/>
    <col min="6418" max="6656" width="9.28515625" style="208"/>
    <col min="6657" max="6657" width="70" style="208" customWidth="1"/>
    <col min="6658" max="6669" width="12.7109375" style="208" customWidth="1"/>
    <col min="6670" max="6670" width="11" style="208" customWidth="1"/>
    <col min="6671" max="6671" width="0" style="208" hidden="1" customWidth="1"/>
    <col min="6672" max="6673" width="11.7109375" style="208" customWidth="1"/>
    <col min="6674" max="6912" width="9.28515625" style="208"/>
    <col min="6913" max="6913" width="70" style="208" customWidth="1"/>
    <col min="6914" max="6925" width="12.7109375" style="208" customWidth="1"/>
    <col min="6926" max="6926" width="11" style="208" customWidth="1"/>
    <col min="6927" max="6927" width="0" style="208" hidden="1" customWidth="1"/>
    <col min="6928" max="6929" width="11.7109375" style="208" customWidth="1"/>
    <col min="6930" max="7168" width="9.28515625" style="208"/>
    <col min="7169" max="7169" width="70" style="208" customWidth="1"/>
    <col min="7170" max="7181" width="12.7109375" style="208" customWidth="1"/>
    <col min="7182" max="7182" width="11" style="208" customWidth="1"/>
    <col min="7183" max="7183" width="0" style="208" hidden="1" customWidth="1"/>
    <col min="7184" max="7185" width="11.7109375" style="208" customWidth="1"/>
    <col min="7186" max="7424" width="9.28515625" style="208"/>
    <col min="7425" max="7425" width="70" style="208" customWidth="1"/>
    <col min="7426" max="7437" width="12.7109375" style="208" customWidth="1"/>
    <col min="7438" max="7438" width="11" style="208" customWidth="1"/>
    <col min="7439" max="7439" width="0" style="208" hidden="1" customWidth="1"/>
    <col min="7440" max="7441" width="11.7109375" style="208" customWidth="1"/>
    <col min="7442" max="7680" width="9.28515625" style="208"/>
    <col min="7681" max="7681" width="70" style="208" customWidth="1"/>
    <col min="7682" max="7693" width="12.7109375" style="208" customWidth="1"/>
    <col min="7694" max="7694" width="11" style="208" customWidth="1"/>
    <col min="7695" max="7695" width="0" style="208" hidden="1" customWidth="1"/>
    <col min="7696" max="7697" width="11.7109375" style="208" customWidth="1"/>
    <col min="7698" max="7936" width="9.28515625" style="208"/>
    <col min="7937" max="7937" width="70" style="208" customWidth="1"/>
    <col min="7938" max="7949" width="12.7109375" style="208" customWidth="1"/>
    <col min="7950" max="7950" width="11" style="208" customWidth="1"/>
    <col min="7951" max="7951" width="0" style="208" hidden="1" customWidth="1"/>
    <col min="7952" max="7953" width="11.7109375" style="208" customWidth="1"/>
    <col min="7954" max="8192" width="9.28515625" style="208"/>
    <col min="8193" max="8193" width="70" style="208" customWidth="1"/>
    <col min="8194" max="8205" width="12.7109375" style="208" customWidth="1"/>
    <col min="8206" max="8206" width="11" style="208" customWidth="1"/>
    <col min="8207" max="8207" width="0" style="208" hidden="1" customWidth="1"/>
    <col min="8208" max="8209" width="11.7109375" style="208" customWidth="1"/>
    <col min="8210" max="8448" width="9.28515625" style="208"/>
    <col min="8449" max="8449" width="70" style="208" customWidth="1"/>
    <col min="8450" max="8461" width="12.7109375" style="208" customWidth="1"/>
    <col min="8462" max="8462" width="11" style="208" customWidth="1"/>
    <col min="8463" max="8463" width="0" style="208" hidden="1" customWidth="1"/>
    <col min="8464" max="8465" width="11.7109375" style="208" customWidth="1"/>
    <col min="8466" max="8704" width="9.28515625" style="208"/>
    <col min="8705" max="8705" width="70" style="208" customWidth="1"/>
    <col min="8706" max="8717" width="12.7109375" style="208" customWidth="1"/>
    <col min="8718" max="8718" width="11" style="208" customWidth="1"/>
    <col min="8719" max="8719" width="0" style="208" hidden="1" customWidth="1"/>
    <col min="8720" max="8721" width="11.7109375" style="208" customWidth="1"/>
    <col min="8722" max="8960" width="9.28515625" style="208"/>
    <col min="8961" max="8961" width="70" style="208" customWidth="1"/>
    <col min="8962" max="8973" width="12.7109375" style="208" customWidth="1"/>
    <col min="8974" max="8974" width="11" style="208" customWidth="1"/>
    <col min="8975" max="8975" width="0" style="208" hidden="1" customWidth="1"/>
    <col min="8976" max="8977" width="11.7109375" style="208" customWidth="1"/>
    <col min="8978" max="9216" width="9.28515625" style="208"/>
    <col min="9217" max="9217" width="70" style="208" customWidth="1"/>
    <col min="9218" max="9229" width="12.7109375" style="208" customWidth="1"/>
    <col min="9230" max="9230" width="11" style="208" customWidth="1"/>
    <col min="9231" max="9231" width="0" style="208" hidden="1" customWidth="1"/>
    <col min="9232" max="9233" width="11.7109375" style="208" customWidth="1"/>
    <col min="9234" max="9472" width="9.28515625" style="208"/>
    <col min="9473" max="9473" width="70" style="208" customWidth="1"/>
    <col min="9474" max="9485" width="12.7109375" style="208" customWidth="1"/>
    <col min="9486" max="9486" width="11" style="208" customWidth="1"/>
    <col min="9487" max="9487" width="0" style="208" hidden="1" customWidth="1"/>
    <col min="9488" max="9489" width="11.7109375" style="208" customWidth="1"/>
    <col min="9490" max="9728" width="9.28515625" style="208"/>
    <col min="9729" max="9729" width="70" style="208" customWidth="1"/>
    <col min="9730" max="9741" width="12.7109375" style="208" customWidth="1"/>
    <col min="9742" max="9742" width="11" style="208" customWidth="1"/>
    <col min="9743" max="9743" width="0" style="208" hidden="1" customWidth="1"/>
    <col min="9744" max="9745" width="11.7109375" style="208" customWidth="1"/>
    <col min="9746" max="9984" width="9.28515625" style="208"/>
    <col min="9985" max="9985" width="70" style="208" customWidth="1"/>
    <col min="9986" max="9997" width="12.7109375" style="208" customWidth="1"/>
    <col min="9998" max="9998" width="11" style="208" customWidth="1"/>
    <col min="9999" max="9999" width="0" style="208" hidden="1" customWidth="1"/>
    <col min="10000" max="10001" width="11.7109375" style="208" customWidth="1"/>
    <col min="10002" max="10240" width="9.28515625" style="208"/>
    <col min="10241" max="10241" width="70" style="208" customWidth="1"/>
    <col min="10242" max="10253" width="12.7109375" style="208" customWidth="1"/>
    <col min="10254" max="10254" width="11" style="208" customWidth="1"/>
    <col min="10255" max="10255" width="0" style="208" hidden="1" customWidth="1"/>
    <col min="10256" max="10257" width="11.7109375" style="208" customWidth="1"/>
    <col min="10258" max="10496" width="9.28515625" style="208"/>
    <col min="10497" max="10497" width="70" style="208" customWidth="1"/>
    <col min="10498" max="10509" width="12.7109375" style="208" customWidth="1"/>
    <col min="10510" max="10510" width="11" style="208" customWidth="1"/>
    <col min="10511" max="10511" width="0" style="208" hidden="1" customWidth="1"/>
    <col min="10512" max="10513" width="11.7109375" style="208" customWidth="1"/>
    <col min="10514" max="10752" width="9.28515625" style="208"/>
    <col min="10753" max="10753" width="70" style="208" customWidth="1"/>
    <col min="10754" max="10765" width="12.7109375" style="208" customWidth="1"/>
    <col min="10766" max="10766" width="11" style="208" customWidth="1"/>
    <col min="10767" max="10767" width="0" style="208" hidden="1" customWidth="1"/>
    <col min="10768" max="10769" width="11.7109375" style="208" customWidth="1"/>
    <col min="10770" max="11008" width="9.28515625" style="208"/>
    <col min="11009" max="11009" width="70" style="208" customWidth="1"/>
    <col min="11010" max="11021" width="12.7109375" style="208" customWidth="1"/>
    <col min="11022" max="11022" width="11" style="208" customWidth="1"/>
    <col min="11023" max="11023" width="0" style="208" hidden="1" customWidth="1"/>
    <col min="11024" max="11025" width="11.7109375" style="208" customWidth="1"/>
    <col min="11026" max="11264" width="9.28515625" style="208"/>
    <col min="11265" max="11265" width="70" style="208" customWidth="1"/>
    <col min="11266" max="11277" width="12.7109375" style="208" customWidth="1"/>
    <col min="11278" max="11278" width="11" style="208" customWidth="1"/>
    <col min="11279" max="11279" width="0" style="208" hidden="1" customWidth="1"/>
    <col min="11280" max="11281" width="11.7109375" style="208" customWidth="1"/>
    <col min="11282" max="11520" width="9.28515625" style="208"/>
    <col min="11521" max="11521" width="70" style="208" customWidth="1"/>
    <col min="11522" max="11533" width="12.7109375" style="208" customWidth="1"/>
    <col min="11534" max="11534" width="11" style="208" customWidth="1"/>
    <col min="11535" max="11535" width="0" style="208" hidden="1" customWidth="1"/>
    <col min="11536" max="11537" width="11.7109375" style="208" customWidth="1"/>
    <col min="11538" max="11776" width="9.28515625" style="208"/>
    <col min="11777" max="11777" width="70" style="208" customWidth="1"/>
    <col min="11778" max="11789" width="12.7109375" style="208" customWidth="1"/>
    <col min="11790" max="11790" width="11" style="208" customWidth="1"/>
    <col min="11791" max="11791" width="0" style="208" hidden="1" customWidth="1"/>
    <col min="11792" max="11793" width="11.7109375" style="208" customWidth="1"/>
    <col min="11794" max="12032" width="9.28515625" style="208"/>
    <col min="12033" max="12033" width="70" style="208" customWidth="1"/>
    <col min="12034" max="12045" width="12.7109375" style="208" customWidth="1"/>
    <col min="12046" max="12046" width="11" style="208" customWidth="1"/>
    <col min="12047" max="12047" width="0" style="208" hidden="1" customWidth="1"/>
    <col min="12048" max="12049" width="11.7109375" style="208" customWidth="1"/>
    <col min="12050" max="12288" width="9.28515625" style="208"/>
    <col min="12289" max="12289" width="70" style="208" customWidth="1"/>
    <col min="12290" max="12301" width="12.7109375" style="208" customWidth="1"/>
    <col min="12302" max="12302" width="11" style="208" customWidth="1"/>
    <col min="12303" max="12303" width="0" style="208" hidden="1" customWidth="1"/>
    <col min="12304" max="12305" width="11.7109375" style="208" customWidth="1"/>
    <col min="12306" max="12544" width="9.28515625" style="208"/>
    <col min="12545" max="12545" width="70" style="208" customWidth="1"/>
    <col min="12546" max="12557" width="12.7109375" style="208" customWidth="1"/>
    <col min="12558" max="12558" width="11" style="208" customWidth="1"/>
    <col min="12559" max="12559" width="0" style="208" hidden="1" customWidth="1"/>
    <col min="12560" max="12561" width="11.7109375" style="208" customWidth="1"/>
    <col min="12562" max="12800" width="9.28515625" style="208"/>
    <col min="12801" max="12801" width="70" style="208" customWidth="1"/>
    <col min="12802" max="12813" width="12.7109375" style="208" customWidth="1"/>
    <col min="12814" max="12814" width="11" style="208" customWidth="1"/>
    <col min="12815" max="12815" width="0" style="208" hidden="1" customWidth="1"/>
    <col min="12816" max="12817" width="11.7109375" style="208" customWidth="1"/>
    <col min="12818" max="13056" width="9.28515625" style="208"/>
    <col min="13057" max="13057" width="70" style="208" customWidth="1"/>
    <col min="13058" max="13069" width="12.7109375" style="208" customWidth="1"/>
    <col min="13070" max="13070" width="11" style="208" customWidth="1"/>
    <col min="13071" max="13071" width="0" style="208" hidden="1" customWidth="1"/>
    <col min="13072" max="13073" width="11.7109375" style="208" customWidth="1"/>
    <col min="13074" max="13312" width="9.28515625" style="208"/>
    <col min="13313" max="13313" width="70" style="208" customWidth="1"/>
    <col min="13314" max="13325" width="12.7109375" style="208" customWidth="1"/>
    <col min="13326" max="13326" width="11" style="208" customWidth="1"/>
    <col min="13327" max="13327" width="0" style="208" hidden="1" customWidth="1"/>
    <col min="13328" max="13329" width="11.7109375" style="208" customWidth="1"/>
    <col min="13330" max="13568" width="9.28515625" style="208"/>
    <col min="13569" max="13569" width="70" style="208" customWidth="1"/>
    <col min="13570" max="13581" width="12.7109375" style="208" customWidth="1"/>
    <col min="13582" max="13582" width="11" style="208" customWidth="1"/>
    <col min="13583" max="13583" width="0" style="208" hidden="1" customWidth="1"/>
    <col min="13584" max="13585" width="11.7109375" style="208" customWidth="1"/>
    <col min="13586" max="13824" width="9.28515625" style="208"/>
    <col min="13825" max="13825" width="70" style="208" customWidth="1"/>
    <col min="13826" max="13837" width="12.7109375" style="208" customWidth="1"/>
    <col min="13838" max="13838" width="11" style="208" customWidth="1"/>
    <col min="13839" max="13839" width="0" style="208" hidden="1" customWidth="1"/>
    <col min="13840" max="13841" width="11.7109375" style="208" customWidth="1"/>
    <col min="13842" max="14080" width="9.28515625" style="208"/>
    <col min="14081" max="14081" width="70" style="208" customWidth="1"/>
    <col min="14082" max="14093" width="12.7109375" style="208" customWidth="1"/>
    <col min="14094" max="14094" width="11" style="208" customWidth="1"/>
    <col min="14095" max="14095" width="0" style="208" hidden="1" customWidth="1"/>
    <col min="14096" max="14097" width="11.7109375" style="208" customWidth="1"/>
    <col min="14098" max="14336" width="9.28515625" style="208"/>
    <col min="14337" max="14337" width="70" style="208" customWidth="1"/>
    <col min="14338" max="14349" width="12.7109375" style="208" customWidth="1"/>
    <col min="14350" max="14350" width="11" style="208" customWidth="1"/>
    <col min="14351" max="14351" width="0" style="208" hidden="1" customWidth="1"/>
    <col min="14352" max="14353" width="11.7109375" style="208" customWidth="1"/>
    <col min="14354" max="14592" width="9.28515625" style="208"/>
    <col min="14593" max="14593" width="70" style="208" customWidth="1"/>
    <col min="14594" max="14605" width="12.7109375" style="208" customWidth="1"/>
    <col min="14606" max="14606" width="11" style="208" customWidth="1"/>
    <col min="14607" max="14607" width="0" style="208" hidden="1" customWidth="1"/>
    <col min="14608" max="14609" width="11.7109375" style="208" customWidth="1"/>
    <col min="14610" max="14848" width="9.28515625" style="208"/>
    <col min="14849" max="14849" width="70" style="208" customWidth="1"/>
    <col min="14850" max="14861" width="12.7109375" style="208" customWidth="1"/>
    <col min="14862" max="14862" width="11" style="208" customWidth="1"/>
    <col min="14863" max="14863" width="0" style="208" hidden="1" customWidth="1"/>
    <col min="14864" max="14865" width="11.7109375" style="208" customWidth="1"/>
    <col min="14866" max="15104" width="9.28515625" style="208"/>
    <col min="15105" max="15105" width="70" style="208" customWidth="1"/>
    <col min="15106" max="15117" width="12.7109375" style="208" customWidth="1"/>
    <col min="15118" max="15118" width="11" style="208" customWidth="1"/>
    <col min="15119" max="15119" width="0" style="208" hidden="1" customWidth="1"/>
    <col min="15120" max="15121" width="11.7109375" style="208" customWidth="1"/>
    <col min="15122" max="15360" width="9.28515625" style="208"/>
    <col min="15361" max="15361" width="70" style="208" customWidth="1"/>
    <col min="15362" max="15373" width="12.7109375" style="208" customWidth="1"/>
    <col min="15374" max="15374" width="11" style="208" customWidth="1"/>
    <col min="15375" max="15375" width="0" style="208" hidden="1" customWidth="1"/>
    <col min="15376" max="15377" width="11.7109375" style="208" customWidth="1"/>
    <col min="15378" max="15616" width="9.28515625" style="208"/>
    <col min="15617" max="15617" width="70" style="208" customWidth="1"/>
    <col min="15618" max="15629" width="12.7109375" style="208" customWidth="1"/>
    <col min="15630" max="15630" width="11" style="208" customWidth="1"/>
    <col min="15631" max="15631" width="0" style="208" hidden="1" customWidth="1"/>
    <col min="15632" max="15633" width="11.7109375" style="208" customWidth="1"/>
    <col min="15634" max="15872" width="9.28515625" style="208"/>
    <col min="15873" max="15873" width="70" style="208" customWidth="1"/>
    <col min="15874" max="15885" width="12.7109375" style="208" customWidth="1"/>
    <col min="15886" max="15886" width="11" style="208" customWidth="1"/>
    <col min="15887" max="15887" width="0" style="208" hidden="1" customWidth="1"/>
    <col min="15888" max="15889" width="11.7109375" style="208" customWidth="1"/>
    <col min="15890" max="16128" width="9.28515625" style="208"/>
    <col min="16129" max="16129" width="70" style="208" customWidth="1"/>
    <col min="16130" max="16141" width="12.7109375" style="208" customWidth="1"/>
    <col min="16142" max="16142" width="11" style="208" customWidth="1"/>
    <col min="16143" max="16143" width="0" style="208" hidden="1" customWidth="1"/>
    <col min="16144" max="16145" width="11.7109375" style="208" customWidth="1"/>
    <col min="16146" max="16384" width="9.28515625" style="208"/>
  </cols>
  <sheetData>
    <row r="1" spans="1:17" ht="13.5" customHeight="1">
      <c r="L1" s="209"/>
      <c r="O1" s="209"/>
      <c r="P1" s="209"/>
      <c r="Q1" s="209"/>
    </row>
    <row r="2" spans="1:17" ht="13.5" customHeight="1">
      <c r="C2" s="295" t="s">
        <v>39</v>
      </c>
      <c r="L2" s="209"/>
      <c r="O2" s="209"/>
      <c r="P2" s="209"/>
      <c r="Q2" s="209"/>
    </row>
    <row r="3" spans="1:17" ht="13.5" customHeight="1">
      <c r="C3" s="295" t="s">
        <v>144</v>
      </c>
      <c r="F3" s="210"/>
      <c r="G3" s="210"/>
      <c r="H3" s="210"/>
      <c r="I3" s="210"/>
      <c r="L3" s="209"/>
      <c r="O3" s="209"/>
      <c r="P3" s="209"/>
      <c r="Q3" s="209"/>
    </row>
    <row r="4" spans="1:17" ht="13.5" customHeight="1">
      <c r="B4" s="210"/>
      <c r="C4" s="296">
        <f>'Program MW '!H3</f>
        <v>44593</v>
      </c>
      <c r="D4" s="210"/>
      <c r="L4" s="209"/>
      <c r="O4" s="209"/>
      <c r="P4" s="209"/>
      <c r="Q4" s="209"/>
    </row>
    <row r="5" spans="1:17" ht="13.5" customHeight="1">
      <c r="L5" s="209"/>
      <c r="O5" s="209"/>
      <c r="P5" s="209"/>
      <c r="Q5" s="209"/>
    </row>
    <row r="6" spans="1:17" s="222" customFormat="1" ht="13.5" customHeight="1"/>
    <row r="7" spans="1:17" s="222" customFormat="1" ht="18" customHeight="1">
      <c r="A7" s="551"/>
      <c r="B7" s="552" t="s">
        <v>282</v>
      </c>
      <c r="C7" s="551"/>
      <c r="D7" s="551"/>
      <c r="E7" s="551"/>
      <c r="F7" s="551"/>
      <c r="G7" s="551"/>
      <c r="H7" s="551"/>
      <c r="I7" s="551"/>
      <c r="J7" s="551"/>
      <c r="K7" s="551"/>
      <c r="L7" s="551"/>
      <c r="M7" s="551"/>
      <c r="N7" s="710" t="s">
        <v>283</v>
      </c>
      <c r="O7" s="708" t="s">
        <v>284</v>
      </c>
      <c r="P7" s="553"/>
      <c r="Q7" s="710" t="s">
        <v>145</v>
      </c>
    </row>
    <row r="8" spans="1:17" s="222" customFormat="1" ht="39" customHeight="1">
      <c r="A8" s="291"/>
      <c r="B8" s="554" t="s">
        <v>41</v>
      </c>
      <c r="C8" s="297" t="s">
        <v>42</v>
      </c>
      <c r="D8" s="297" t="s">
        <v>43</v>
      </c>
      <c r="E8" s="297" t="s">
        <v>44</v>
      </c>
      <c r="F8" s="297" t="s">
        <v>31</v>
      </c>
      <c r="G8" s="297" t="s">
        <v>45</v>
      </c>
      <c r="H8" s="297" t="s">
        <v>59</v>
      </c>
      <c r="I8" s="297" t="s">
        <v>60</v>
      </c>
      <c r="J8" s="297" t="s">
        <v>61</v>
      </c>
      <c r="K8" s="319" t="s">
        <v>146</v>
      </c>
      <c r="L8" s="297" t="s">
        <v>63</v>
      </c>
      <c r="M8" s="297" t="s">
        <v>64</v>
      </c>
      <c r="N8" s="711"/>
      <c r="O8" s="709"/>
      <c r="P8" s="223" t="s">
        <v>147</v>
      </c>
      <c r="Q8" s="711"/>
    </row>
    <row r="9" spans="1:17" s="222" customFormat="1" ht="15.75">
      <c r="A9" s="302" t="s">
        <v>148</v>
      </c>
      <c r="N9" s="246"/>
      <c r="Q9" s="230"/>
    </row>
    <row r="10" spans="1:17" s="222" customFormat="1" ht="14.25">
      <c r="A10" s="298" t="s">
        <v>294</v>
      </c>
      <c r="N10" s="246"/>
      <c r="O10" s="224"/>
      <c r="P10" s="225"/>
      <c r="Q10" s="231"/>
    </row>
    <row r="11" spans="1:17" s="222" customFormat="1" ht="14.25">
      <c r="A11" s="299" t="s">
        <v>299</v>
      </c>
      <c r="B11" s="644">
        <v>-348.64</v>
      </c>
      <c r="C11" s="644">
        <v>0</v>
      </c>
      <c r="D11" s="644">
        <v>0</v>
      </c>
      <c r="E11" s="644">
        <v>0</v>
      </c>
      <c r="F11" s="644">
        <v>0</v>
      </c>
      <c r="G11" s="644">
        <v>0</v>
      </c>
      <c r="H11" s="644">
        <v>0</v>
      </c>
      <c r="I11" s="644">
        <v>0</v>
      </c>
      <c r="J11" s="644">
        <v>0</v>
      </c>
      <c r="K11" s="644">
        <v>0</v>
      </c>
      <c r="L11" s="644">
        <v>0</v>
      </c>
      <c r="M11" s="644">
        <v>0</v>
      </c>
      <c r="N11" s="555">
        <f t="shared" ref="N11:N22" si="0">SUM(B11:M11)</f>
        <v>-348.64</v>
      </c>
      <c r="O11" s="556">
        <f>707141+443068+428874+N11</f>
        <v>1578734.36</v>
      </c>
      <c r="P11" s="357"/>
      <c r="Q11" s="355">
        <f>848010+857842+857842+250000</f>
        <v>2813694</v>
      </c>
    </row>
    <row r="12" spans="1:17" s="222" customFormat="1" ht="14.25">
      <c r="A12" s="299" t="s">
        <v>149</v>
      </c>
      <c r="B12" s="644">
        <v>0</v>
      </c>
      <c r="C12" s="644">
        <v>0</v>
      </c>
      <c r="D12" s="644">
        <v>0</v>
      </c>
      <c r="E12" s="644">
        <v>0</v>
      </c>
      <c r="F12" s="644">
        <v>0</v>
      </c>
      <c r="G12" s="644">
        <v>0</v>
      </c>
      <c r="H12" s="644">
        <v>0</v>
      </c>
      <c r="I12" s="644">
        <v>0</v>
      </c>
      <c r="J12" s="644">
        <v>0</v>
      </c>
      <c r="K12" s="644">
        <v>0</v>
      </c>
      <c r="L12" s="644">
        <v>0</v>
      </c>
      <c r="M12" s="644">
        <v>0</v>
      </c>
      <c r="N12" s="365">
        <f t="shared" si="0"/>
        <v>0</v>
      </c>
      <c r="O12" s="355">
        <f>7808+9482+6823+N12</f>
        <v>24113</v>
      </c>
      <c r="P12" s="354"/>
      <c r="Q12" s="355">
        <v>35302</v>
      </c>
    </row>
    <row r="13" spans="1:17" s="222" customFormat="1" ht="12.75">
      <c r="A13" s="299" t="s">
        <v>150</v>
      </c>
      <c r="B13" s="644">
        <v>0</v>
      </c>
      <c r="C13" s="644">
        <v>0</v>
      </c>
      <c r="D13" s="644">
        <v>0</v>
      </c>
      <c r="E13" s="644">
        <v>0</v>
      </c>
      <c r="F13" s="644">
        <v>0</v>
      </c>
      <c r="G13" s="644">
        <v>0</v>
      </c>
      <c r="H13" s="644">
        <v>0</v>
      </c>
      <c r="I13" s="644">
        <v>0</v>
      </c>
      <c r="J13" s="644">
        <v>0</v>
      </c>
      <c r="K13" s="644">
        <v>0</v>
      </c>
      <c r="L13" s="644">
        <v>0</v>
      </c>
      <c r="M13" s="644">
        <v>0</v>
      </c>
      <c r="N13" s="365">
        <f t="shared" si="0"/>
        <v>0</v>
      </c>
      <c r="O13" s="355">
        <f>0+N13</f>
        <v>0</v>
      </c>
      <c r="P13" s="354"/>
      <c r="Q13" s="355">
        <v>1000</v>
      </c>
    </row>
    <row r="14" spans="1:17" s="222" customFormat="1" ht="12.75">
      <c r="A14" s="299" t="s">
        <v>151</v>
      </c>
      <c r="B14" s="644">
        <v>0</v>
      </c>
      <c r="C14" s="644">
        <v>0</v>
      </c>
      <c r="D14" s="644">
        <v>0</v>
      </c>
      <c r="E14" s="644">
        <v>0</v>
      </c>
      <c r="F14" s="644">
        <v>0</v>
      </c>
      <c r="G14" s="644">
        <v>0</v>
      </c>
      <c r="H14" s="644">
        <v>0</v>
      </c>
      <c r="I14" s="644">
        <v>0</v>
      </c>
      <c r="J14" s="644">
        <v>0</v>
      </c>
      <c r="K14" s="644">
        <v>0</v>
      </c>
      <c r="L14" s="644">
        <v>0</v>
      </c>
      <c r="M14" s="644">
        <v>0</v>
      </c>
      <c r="N14" s="365">
        <f t="shared" si="0"/>
        <v>0</v>
      </c>
      <c r="O14" s="355">
        <f>4889+16666+13948+N14</f>
        <v>35503</v>
      </c>
      <c r="P14" s="354"/>
      <c r="Q14" s="355">
        <v>78149</v>
      </c>
    </row>
    <row r="15" spans="1:17" s="222" customFormat="1" ht="14.25">
      <c r="A15" s="299" t="s">
        <v>152</v>
      </c>
      <c r="B15" s="644">
        <v>0</v>
      </c>
      <c r="C15" s="644">
        <v>4135</v>
      </c>
      <c r="D15" s="644">
        <v>0</v>
      </c>
      <c r="E15" s="644">
        <v>0</v>
      </c>
      <c r="F15" s="644">
        <v>0</v>
      </c>
      <c r="G15" s="644">
        <v>0</v>
      </c>
      <c r="H15" s="644">
        <v>0</v>
      </c>
      <c r="I15" s="644">
        <v>0</v>
      </c>
      <c r="J15" s="644">
        <v>0</v>
      </c>
      <c r="K15" s="644">
        <v>0</v>
      </c>
      <c r="L15" s="644">
        <v>0</v>
      </c>
      <c r="M15" s="644">
        <v>0</v>
      </c>
      <c r="N15" s="365">
        <f t="shared" si="0"/>
        <v>4135</v>
      </c>
      <c r="O15" s="355">
        <f>49396+43751+41371+N15</f>
        <v>138653</v>
      </c>
      <c r="P15" s="354"/>
      <c r="Q15" s="355">
        <f>606299/2</f>
        <v>303149.5</v>
      </c>
    </row>
    <row r="16" spans="1:17" s="222" customFormat="1" ht="12.75">
      <c r="A16" s="299" t="s">
        <v>153</v>
      </c>
      <c r="B16" s="644">
        <v>0</v>
      </c>
      <c r="C16" s="644">
        <v>0</v>
      </c>
      <c r="D16" s="644">
        <v>0</v>
      </c>
      <c r="E16" s="644">
        <v>0</v>
      </c>
      <c r="F16" s="644">
        <v>0</v>
      </c>
      <c r="G16" s="644">
        <v>0</v>
      </c>
      <c r="H16" s="644">
        <v>0</v>
      </c>
      <c r="I16" s="644">
        <v>0</v>
      </c>
      <c r="J16" s="644">
        <v>0</v>
      </c>
      <c r="K16" s="644">
        <v>0</v>
      </c>
      <c r="L16" s="644">
        <v>0</v>
      </c>
      <c r="M16" s="644">
        <v>0</v>
      </c>
      <c r="N16" s="365">
        <f t="shared" si="0"/>
        <v>0</v>
      </c>
      <c r="O16" s="355">
        <f>30843+118853+87496+N16</f>
        <v>237192</v>
      </c>
      <c r="P16" s="354"/>
      <c r="Q16" s="355">
        <v>303150</v>
      </c>
    </row>
    <row r="17" spans="1:122" s="222" customFormat="1" ht="12.75">
      <c r="A17" s="299" t="s">
        <v>154</v>
      </c>
      <c r="B17" s="644">
        <v>43.29</v>
      </c>
      <c r="C17" s="644">
        <v>2752.0299999999997</v>
      </c>
      <c r="D17" s="644">
        <v>0</v>
      </c>
      <c r="E17" s="644">
        <v>0</v>
      </c>
      <c r="F17" s="644">
        <v>0</v>
      </c>
      <c r="G17" s="644">
        <v>0</v>
      </c>
      <c r="H17" s="644">
        <v>0</v>
      </c>
      <c r="I17" s="644">
        <v>0</v>
      </c>
      <c r="J17" s="644">
        <v>0</v>
      </c>
      <c r="K17" s="644">
        <v>0</v>
      </c>
      <c r="L17" s="644">
        <v>0</v>
      </c>
      <c r="M17" s="644">
        <v>0</v>
      </c>
      <c r="N17" s="365">
        <f t="shared" si="0"/>
        <v>2795.3199999999997</v>
      </c>
      <c r="O17" s="355">
        <f>73278+155232+113200+N17</f>
        <v>344505.32</v>
      </c>
      <c r="P17" s="354"/>
      <c r="Q17" s="355">
        <v>643043</v>
      </c>
    </row>
    <row r="18" spans="1:122" s="222" customFormat="1" ht="12.75">
      <c r="A18" s="300" t="s">
        <v>298</v>
      </c>
      <c r="B18" s="644">
        <v>0</v>
      </c>
      <c r="C18" s="644">
        <v>0</v>
      </c>
      <c r="D18" s="644">
        <v>0</v>
      </c>
      <c r="E18" s="644">
        <v>0</v>
      </c>
      <c r="F18" s="644">
        <v>0</v>
      </c>
      <c r="G18" s="644">
        <v>0</v>
      </c>
      <c r="H18" s="644">
        <v>0</v>
      </c>
      <c r="I18" s="644">
        <v>0</v>
      </c>
      <c r="J18" s="644">
        <v>0</v>
      </c>
      <c r="K18" s="644">
        <v>0</v>
      </c>
      <c r="L18" s="644">
        <v>0</v>
      </c>
      <c r="M18" s="644">
        <v>0</v>
      </c>
      <c r="N18" s="365">
        <f t="shared" si="0"/>
        <v>0</v>
      </c>
      <c r="O18" s="355">
        <f>21091+92048+63087+N18</f>
        <v>176226</v>
      </c>
      <c r="P18" s="354"/>
      <c r="Q18" s="355">
        <v>383701</v>
      </c>
    </row>
    <row r="19" spans="1:122" s="222" customFormat="1" ht="12.75">
      <c r="A19" s="300" t="s">
        <v>113</v>
      </c>
      <c r="B19" s="644">
        <v>0</v>
      </c>
      <c r="C19" s="644">
        <v>3327.98</v>
      </c>
      <c r="D19" s="644">
        <v>0</v>
      </c>
      <c r="E19" s="644">
        <v>0</v>
      </c>
      <c r="F19" s="644">
        <v>0</v>
      </c>
      <c r="G19" s="644">
        <v>0</v>
      </c>
      <c r="H19" s="644">
        <v>0</v>
      </c>
      <c r="I19" s="644">
        <v>0</v>
      </c>
      <c r="J19" s="644">
        <v>0</v>
      </c>
      <c r="K19" s="644">
        <v>0</v>
      </c>
      <c r="L19" s="644">
        <v>0</v>
      </c>
      <c r="M19" s="644">
        <v>0</v>
      </c>
      <c r="N19" s="365">
        <f t="shared" si="0"/>
        <v>3327.98</v>
      </c>
      <c r="O19" s="355">
        <f>107379+332446+264713+N19</f>
        <v>707865.98</v>
      </c>
      <c r="P19" s="354"/>
      <c r="Q19" s="355">
        <v>1102357</v>
      </c>
    </row>
    <row r="20" spans="1:122" s="222" customFormat="1" ht="12.75">
      <c r="A20" s="300" t="s">
        <v>297</v>
      </c>
      <c r="B20" s="644">
        <v>0</v>
      </c>
      <c r="C20" s="644">
        <v>3327.99</v>
      </c>
      <c r="D20" s="644">
        <v>0</v>
      </c>
      <c r="E20" s="644">
        <v>0</v>
      </c>
      <c r="F20" s="644">
        <v>0</v>
      </c>
      <c r="G20" s="644">
        <v>0</v>
      </c>
      <c r="H20" s="644">
        <v>0</v>
      </c>
      <c r="I20" s="644">
        <v>0</v>
      </c>
      <c r="J20" s="644">
        <v>0</v>
      </c>
      <c r="K20" s="644">
        <v>0</v>
      </c>
      <c r="L20" s="644">
        <v>0</v>
      </c>
      <c r="M20" s="644">
        <v>0</v>
      </c>
      <c r="N20" s="365">
        <f t="shared" si="0"/>
        <v>3327.99</v>
      </c>
      <c r="O20" s="355">
        <f>210842+454257+423019+N20</f>
        <v>1091445.99</v>
      </c>
      <c r="P20" s="354"/>
      <c r="Q20" s="355">
        <v>1653537</v>
      </c>
    </row>
    <row r="21" spans="1:122" s="222" customFormat="1" ht="12.75">
      <c r="A21" s="300" t="s">
        <v>155</v>
      </c>
      <c r="B21" s="644">
        <v>0</v>
      </c>
      <c r="C21" s="644">
        <v>0</v>
      </c>
      <c r="D21" s="644">
        <v>0</v>
      </c>
      <c r="E21" s="644">
        <v>0</v>
      </c>
      <c r="F21" s="644">
        <v>0</v>
      </c>
      <c r="G21" s="644">
        <v>0</v>
      </c>
      <c r="H21" s="644">
        <v>0</v>
      </c>
      <c r="I21" s="644">
        <v>0</v>
      </c>
      <c r="J21" s="644">
        <v>0</v>
      </c>
      <c r="K21" s="644">
        <v>0</v>
      </c>
      <c r="L21" s="644">
        <v>0</v>
      </c>
      <c r="M21" s="644">
        <v>0</v>
      </c>
      <c r="N21" s="365">
        <f t="shared" si="0"/>
        <v>0</v>
      </c>
      <c r="O21" s="355">
        <f>2328+N21</f>
        <v>2328</v>
      </c>
      <c r="P21" s="354"/>
      <c r="Q21" s="355">
        <v>0</v>
      </c>
    </row>
    <row r="22" spans="1:122" s="222" customFormat="1" ht="12.75">
      <c r="A22" s="301" t="s">
        <v>156</v>
      </c>
      <c r="B22" s="644">
        <v>0</v>
      </c>
      <c r="C22" s="644">
        <v>0</v>
      </c>
      <c r="D22" s="644">
        <v>0</v>
      </c>
      <c r="E22" s="644">
        <v>0</v>
      </c>
      <c r="F22" s="644">
        <v>0</v>
      </c>
      <c r="G22" s="644">
        <v>0</v>
      </c>
      <c r="H22" s="644">
        <v>0</v>
      </c>
      <c r="I22" s="644">
        <v>0</v>
      </c>
      <c r="J22" s="644">
        <v>0</v>
      </c>
      <c r="K22" s="644">
        <v>0</v>
      </c>
      <c r="L22" s="644">
        <v>0</v>
      </c>
      <c r="M22" s="644">
        <v>0</v>
      </c>
      <c r="N22" s="365">
        <f t="shared" si="0"/>
        <v>0</v>
      </c>
      <c r="O22" s="355">
        <f>530+N22</f>
        <v>530</v>
      </c>
      <c r="P22" s="354"/>
      <c r="Q22" s="355">
        <v>50000</v>
      </c>
    </row>
    <row r="23" spans="1:122" s="226" customFormat="1" ht="15.75">
      <c r="A23" s="557" t="s">
        <v>157</v>
      </c>
      <c r="B23" s="558">
        <f t="shared" ref="B23:M23" si="1">SUM(B11:B22)</f>
        <v>-305.34999999999997</v>
      </c>
      <c r="C23" s="558">
        <f t="shared" si="1"/>
        <v>13543</v>
      </c>
      <c r="D23" s="558">
        <f t="shared" si="1"/>
        <v>0</v>
      </c>
      <c r="E23" s="558">
        <f t="shared" si="1"/>
        <v>0</v>
      </c>
      <c r="F23" s="558">
        <f t="shared" si="1"/>
        <v>0</v>
      </c>
      <c r="G23" s="558">
        <f t="shared" si="1"/>
        <v>0</v>
      </c>
      <c r="H23" s="558">
        <f>SUM(H11:H22)</f>
        <v>0</v>
      </c>
      <c r="I23" s="558">
        <f>SUM(I11:I22)</f>
        <v>0</v>
      </c>
      <c r="J23" s="558">
        <f t="shared" si="1"/>
        <v>0</v>
      </c>
      <c r="K23" s="558">
        <f t="shared" si="1"/>
        <v>0</v>
      </c>
      <c r="L23" s="558">
        <f t="shared" si="1"/>
        <v>0</v>
      </c>
      <c r="M23" s="558">
        <f t="shared" si="1"/>
        <v>0</v>
      </c>
      <c r="N23" s="404">
        <f>SUM(N11:N22)</f>
        <v>13237.65</v>
      </c>
      <c r="O23" s="559">
        <f>SUM(O11:O22)</f>
        <v>4337096.6500000004</v>
      </c>
      <c r="P23" s="560"/>
      <c r="Q23" s="559">
        <f>SUM(Q11:Q22)</f>
        <v>7367082.5</v>
      </c>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c r="CY23" s="222"/>
      <c r="CZ23" s="222"/>
      <c r="DA23" s="222"/>
      <c r="DB23" s="222"/>
      <c r="DC23" s="222"/>
      <c r="DD23" s="222"/>
      <c r="DE23" s="222"/>
      <c r="DF23" s="222"/>
      <c r="DG23" s="222"/>
      <c r="DH23" s="222"/>
      <c r="DI23" s="222"/>
      <c r="DJ23" s="222"/>
      <c r="DK23" s="222"/>
      <c r="DL23" s="222"/>
      <c r="DM23" s="222"/>
      <c r="DN23" s="222"/>
      <c r="DO23" s="222"/>
      <c r="DP23" s="222"/>
      <c r="DQ23" s="222"/>
      <c r="DR23" s="222"/>
    </row>
    <row r="24" spans="1:122" s="222" customFormat="1" ht="12.75">
      <c r="A24" s="232"/>
      <c r="B24" s="356"/>
      <c r="C24" s="357"/>
      <c r="D24" s="357"/>
      <c r="E24" s="357"/>
      <c r="F24" s="357"/>
      <c r="G24" s="357"/>
      <c r="H24" s="357"/>
      <c r="I24" s="357"/>
      <c r="J24" s="357"/>
      <c r="K24" s="357"/>
      <c r="L24" s="357"/>
      <c r="M24" s="357"/>
      <c r="N24" s="357"/>
      <c r="O24" s="357"/>
      <c r="P24" s="357"/>
      <c r="Q24" s="358"/>
    </row>
    <row r="25" spans="1:122" s="222" customFormat="1" ht="15.75">
      <c r="A25" s="303" t="s">
        <v>158</v>
      </c>
      <c r="B25" s="356"/>
      <c r="C25" s="357"/>
      <c r="D25" s="357"/>
      <c r="E25" s="357"/>
      <c r="F25" s="357"/>
      <c r="G25" s="357"/>
      <c r="H25" s="357"/>
      <c r="I25" s="357"/>
      <c r="J25" s="357"/>
      <c r="K25" s="357"/>
      <c r="L25" s="357"/>
      <c r="M25" s="357"/>
      <c r="N25" s="359"/>
      <c r="O25" s="357"/>
      <c r="P25" s="357"/>
      <c r="Q25" s="360"/>
    </row>
    <row r="26" spans="1:122" s="222" customFormat="1" ht="12.75">
      <c r="A26" s="300" t="s">
        <v>159</v>
      </c>
      <c r="B26" s="645">
        <v>0</v>
      </c>
      <c r="C26" s="645">
        <v>0</v>
      </c>
      <c r="D26" s="645">
        <v>0</v>
      </c>
      <c r="E26" s="645">
        <v>0</v>
      </c>
      <c r="F26" s="645">
        <v>0</v>
      </c>
      <c r="G26" s="645">
        <v>0</v>
      </c>
      <c r="H26" s="645">
        <v>0</v>
      </c>
      <c r="I26" s="645">
        <v>0</v>
      </c>
      <c r="J26" s="645">
        <v>0</v>
      </c>
      <c r="K26" s="645">
        <v>0</v>
      </c>
      <c r="L26" s="645">
        <v>0</v>
      </c>
      <c r="M26" s="646">
        <v>0</v>
      </c>
      <c r="N26" s="556">
        <f t="shared" ref="N26:N30" si="2">SUM(B26:M26)</f>
        <v>0</v>
      </c>
      <c r="O26" s="556">
        <f>0+N26</f>
        <v>0</v>
      </c>
      <c r="P26" s="357"/>
      <c r="Q26" s="358"/>
    </row>
    <row r="27" spans="1:122" s="222" customFormat="1" ht="12.75">
      <c r="A27" s="299" t="s">
        <v>160</v>
      </c>
      <c r="B27" s="647">
        <v>0</v>
      </c>
      <c r="C27" s="647">
        <v>0</v>
      </c>
      <c r="D27" s="647">
        <v>0</v>
      </c>
      <c r="E27" s="647">
        <v>0</v>
      </c>
      <c r="F27" s="647">
        <v>0</v>
      </c>
      <c r="G27" s="647">
        <v>0</v>
      </c>
      <c r="H27" s="647">
        <v>0</v>
      </c>
      <c r="I27" s="647">
        <v>0</v>
      </c>
      <c r="J27" s="647">
        <v>0</v>
      </c>
      <c r="K27" s="647">
        <v>0</v>
      </c>
      <c r="L27" s="647">
        <v>0</v>
      </c>
      <c r="M27" s="648">
        <v>0</v>
      </c>
      <c r="N27" s="355">
        <f t="shared" si="2"/>
        <v>0</v>
      </c>
      <c r="O27" s="355">
        <f>79348+33670+134507+N27</f>
        <v>247525</v>
      </c>
      <c r="P27" s="357"/>
      <c r="Q27" s="358"/>
    </row>
    <row r="28" spans="1:122" s="222" customFormat="1" ht="14.25">
      <c r="A28" s="299" t="s">
        <v>300</v>
      </c>
      <c r="B28" s="647">
        <v>-348.64</v>
      </c>
      <c r="C28" s="647">
        <v>0</v>
      </c>
      <c r="D28" s="647">
        <v>0</v>
      </c>
      <c r="E28" s="647">
        <v>0</v>
      </c>
      <c r="F28" s="647">
        <v>0</v>
      </c>
      <c r="G28" s="647">
        <v>0</v>
      </c>
      <c r="H28" s="647">
        <v>0</v>
      </c>
      <c r="I28" s="647">
        <v>0</v>
      </c>
      <c r="J28" s="647">
        <v>0</v>
      </c>
      <c r="K28" s="647">
        <v>0</v>
      </c>
      <c r="L28" s="647">
        <v>0</v>
      </c>
      <c r="M28" s="648">
        <v>0</v>
      </c>
      <c r="N28" s="355">
        <f t="shared" si="2"/>
        <v>-348.64</v>
      </c>
      <c r="O28" s="355">
        <f>426330+346126+260890+N28</f>
        <v>1032997.36</v>
      </c>
      <c r="P28" s="357"/>
      <c r="Q28" s="358"/>
    </row>
    <row r="29" spans="1:122" s="222" customFormat="1" ht="14.25">
      <c r="A29" s="299" t="s">
        <v>161</v>
      </c>
      <c r="B29" s="647">
        <v>43.29</v>
      </c>
      <c r="C29" s="647">
        <v>13543</v>
      </c>
      <c r="D29" s="647">
        <v>0</v>
      </c>
      <c r="E29" s="647">
        <v>0</v>
      </c>
      <c r="F29" s="647">
        <v>0</v>
      </c>
      <c r="G29" s="647">
        <v>0</v>
      </c>
      <c r="H29" s="647">
        <v>0</v>
      </c>
      <c r="I29" s="647">
        <v>0</v>
      </c>
      <c r="J29" s="647">
        <v>0</v>
      </c>
      <c r="K29" s="647">
        <v>0</v>
      </c>
      <c r="L29" s="647">
        <v>0</v>
      </c>
      <c r="M29" s="648">
        <v>0</v>
      </c>
      <c r="N29" s="355">
        <f t="shared" si="2"/>
        <v>13586.29</v>
      </c>
      <c r="O29" s="355">
        <f>377868+1193884+886571+N29</f>
        <v>2471909.29</v>
      </c>
      <c r="P29" s="357"/>
      <c r="Q29" s="358"/>
    </row>
    <row r="30" spans="1:122" s="222" customFormat="1" ht="12.75">
      <c r="A30" s="299" t="s">
        <v>296</v>
      </c>
      <c r="B30" s="647">
        <v>0</v>
      </c>
      <c r="C30" s="647">
        <v>0</v>
      </c>
      <c r="D30" s="647">
        <v>0</v>
      </c>
      <c r="E30" s="647">
        <v>0</v>
      </c>
      <c r="F30" s="647">
        <v>0</v>
      </c>
      <c r="G30" s="647">
        <v>0</v>
      </c>
      <c r="H30" s="647">
        <v>0</v>
      </c>
      <c r="I30" s="647">
        <v>0</v>
      </c>
      <c r="J30" s="647">
        <v>0</v>
      </c>
      <c r="K30" s="647">
        <v>0</v>
      </c>
      <c r="L30" s="647">
        <v>0</v>
      </c>
      <c r="M30" s="649">
        <v>0</v>
      </c>
      <c r="N30" s="355">
        <f t="shared" si="2"/>
        <v>0</v>
      </c>
      <c r="O30" s="361">
        <f>331980+92124+160561+N30</f>
        <v>584665</v>
      </c>
      <c r="P30" s="357"/>
      <c r="Q30" s="358"/>
    </row>
    <row r="31" spans="1:122" s="222" customFormat="1" ht="15.75">
      <c r="A31" s="557" t="s">
        <v>162</v>
      </c>
      <c r="B31" s="626">
        <f>SUM(B26:B30)</f>
        <v>-305.34999999999997</v>
      </c>
      <c r="C31" s="558">
        <f t="shared" ref="C31:M31" si="3">SUM(C26:C30)</f>
        <v>13543</v>
      </c>
      <c r="D31" s="558">
        <f t="shared" si="3"/>
        <v>0</v>
      </c>
      <c r="E31" s="558">
        <f t="shared" si="3"/>
        <v>0</v>
      </c>
      <c r="F31" s="558">
        <f t="shared" si="3"/>
        <v>0</v>
      </c>
      <c r="G31" s="558">
        <f t="shared" si="3"/>
        <v>0</v>
      </c>
      <c r="H31" s="558">
        <f t="shared" si="3"/>
        <v>0</v>
      </c>
      <c r="I31" s="558">
        <f t="shared" si="3"/>
        <v>0</v>
      </c>
      <c r="J31" s="558">
        <f t="shared" si="3"/>
        <v>0</v>
      </c>
      <c r="K31" s="558">
        <f t="shared" si="3"/>
        <v>0</v>
      </c>
      <c r="L31" s="558">
        <f t="shared" si="3"/>
        <v>0</v>
      </c>
      <c r="M31" s="559">
        <f t="shared" si="3"/>
        <v>0</v>
      </c>
      <c r="N31" s="404">
        <f>SUM(N26:N30)</f>
        <v>13237.650000000001</v>
      </c>
      <c r="O31" s="363">
        <f>SUM(O26:O30)</f>
        <v>4337096.6500000004</v>
      </c>
      <c r="P31" s="560"/>
      <c r="Q31" s="561"/>
    </row>
    <row r="32" spans="1:122" s="222" customFormat="1" ht="12.75">
      <c r="A32" s="562"/>
      <c r="B32" s="563"/>
      <c r="C32" s="564"/>
      <c r="D32" s="564"/>
      <c r="E32" s="564"/>
      <c r="F32" s="564"/>
      <c r="G32" s="564"/>
      <c r="H32" s="564"/>
      <c r="I32" s="564"/>
      <c r="J32" s="564"/>
      <c r="K32" s="564"/>
      <c r="L32" s="564"/>
      <c r="M32" s="564"/>
      <c r="N32" s="564"/>
      <c r="O32" s="564"/>
      <c r="P32" s="364"/>
      <c r="Q32" s="565"/>
    </row>
    <row r="33" spans="1:17" s="222" customFormat="1" ht="15.75">
      <c r="A33" s="303" t="s">
        <v>163</v>
      </c>
      <c r="B33" s="356"/>
      <c r="C33" s="357"/>
      <c r="D33" s="357"/>
      <c r="E33" s="357"/>
      <c r="F33" s="357"/>
      <c r="G33" s="357"/>
      <c r="H33" s="357"/>
      <c r="I33" s="357"/>
      <c r="J33" s="357"/>
      <c r="K33" s="357"/>
      <c r="L33" s="357"/>
      <c r="M33" s="357"/>
      <c r="N33" s="359"/>
      <c r="O33" s="359"/>
      <c r="P33" s="357"/>
      <c r="Q33" s="360"/>
    </row>
    <row r="34" spans="1:17" s="222" customFormat="1" ht="14.25">
      <c r="A34" s="299" t="s">
        <v>164</v>
      </c>
      <c r="B34" s="650">
        <v>0</v>
      </c>
      <c r="C34" s="645">
        <v>0</v>
      </c>
      <c r="D34" s="645">
        <v>0</v>
      </c>
      <c r="E34" s="645">
        <v>0</v>
      </c>
      <c r="F34" s="645">
        <v>0</v>
      </c>
      <c r="G34" s="645">
        <v>0</v>
      </c>
      <c r="H34" s="645">
        <v>0</v>
      </c>
      <c r="I34" s="645">
        <v>0</v>
      </c>
      <c r="J34" s="645">
        <v>0</v>
      </c>
      <c r="K34" s="645">
        <v>0</v>
      </c>
      <c r="L34" s="645">
        <v>0</v>
      </c>
      <c r="M34" s="646">
        <v>0</v>
      </c>
      <c r="N34" s="556">
        <f t="shared" ref="N34:N37" si="4">SUM(B34:M34)</f>
        <v>0</v>
      </c>
      <c r="O34" s="556">
        <f>0+N34</f>
        <v>0</v>
      </c>
      <c r="P34" s="357"/>
      <c r="Q34" s="358"/>
    </row>
    <row r="35" spans="1:17" s="222" customFormat="1" ht="12.75">
      <c r="A35" s="300" t="s">
        <v>165</v>
      </c>
      <c r="B35" s="651">
        <v>0</v>
      </c>
      <c r="C35" s="647">
        <v>5395.48</v>
      </c>
      <c r="D35" s="647">
        <v>0</v>
      </c>
      <c r="E35" s="647">
        <v>0</v>
      </c>
      <c r="F35" s="647">
        <v>0</v>
      </c>
      <c r="G35" s="647">
        <v>0</v>
      </c>
      <c r="H35" s="647">
        <v>0</v>
      </c>
      <c r="I35" s="647">
        <v>0</v>
      </c>
      <c r="J35" s="647">
        <v>0</v>
      </c>
      <c r="K35" s="647">
        <v>0</v>
      </c>
      <c r="L35" s="647">
        <v>0</v>
      </c>
      <c r="M35" s="648">
        <v>0</v>
      </c>
      <c r="N35" s="355">
        <f t="shared" si="4"/>
        <v>5395.48</v>
      </c>
      <c r="O35" s="355">
        <f>344661+585375+472450+N35</f>
        <v>1407881.48</v>
      </c>
      <c r="P35" s="357"/>
      <c r="Q35" s="358"/>
    </row>
    <row r="36" spans="1:17" s="222" customFormat="1" ht="14.25" customHeight="1">
      <c r="A36" s="299" t="s">
        <v>301</v>
      </c>
      <c r="B36" s="651">
        <v>-174.32</v>
      </c>
      <c r="C36" s="647">
        <v>3731.5</v>
      </c>
      <c r="D36" s="647">
        <v>0</v>
      </c>
      <c r="E36" s="647">
        <v>0</v>
      </c>
      <c r="F36" s="647">
        <v>0</v>
      </c>
      <c r="G36" s="647">
        <v>0</v>
      </c>
      <c r="H36" s="647">
        <v>0</v>
      </c>
      <c r="I36" s="647">
        <v>0</v>
      </c>
      <c r="J36" s="647">
        <v>0</v>
      </c>
      <c r="K36" s="647">
        <v>0</v>
      </c>
      <c r="L36" s="647">
        <v>0</v>
      </c>
      <c r="M36" s="648">
        <v>0</v>
      </c>
      <c r="N36" s="355">
        <f t="shared" si="4"/>
        <v>3557.18</v>
      </c>
      <c r="O36" s="355">
        <f>314336+384698+349337+N36</f>
        <v>1051928.18</v>
      </c>
      <c r="P36" s="357"/>
      <c r="Q36" s="358"/>
    </row>
    <row r="37" spans="1:17" s="222" customFormat="1" ht="14.25">
      <c r="A37" s="299" t="s">
        <v>302</v>
      </c>
      <c r="B37" s="652">
        <v>-131.03</v>
      </c>
      <c r="C37" s="653">
        <v>4416.0199999999995</v>
      </c>
      <c r="D37" s="653">
        <v>0</v>
      </c>
      <c r="E37" s="653">
        <v>0</v>
      </c>
      <c r="F37" s="653">
        <v>0</v>
      </c>
      <c r="G37" s="653">
        <v>0</v>
      </c>
      <c r="H37" s="653">
        <v>0</v>
      </c>
      <c r="I37" s="653">
        <v>0</v>
      </c>
      <c r="J37" s="653">
        <v>0</v>
      </c>
      <c r="K37" s="653">
        <v>0</v>
      </c>
      <c r="L37" s="653">
        <v>0</v>
      </c>
      <c r="M37" s="649">
        <v>0</v>
      </c>
      <c r="N37" s="355">
        <f t="shared" si="4"/>
        <v>4284.99</v>
      </c>
      <c r="O37" s="361">
        <f>556529+695730+620743+N37</f>
        <v>1877286.99</v>
      </c>
      <c r="P37" s="357"/>
      <c r="Q37" s="358"/>
    </row>
    <row r="38" spans="1:17" s="222" customFormat="1" ht="15.75">
      <c r="A38" s="557" t="s">
        <v>166</v>
      </c>
      <c r="B38" s="362">
        <f t="shared" ref="B38:M38" si="5">SUM(B34:B37)</f>
        <v>-305.35000000000002</v>
      </c>
      <c r="C38" s="363">
        <f t="shared" si="5"/>
        <v>13543</v>
      </c>
      <c r="D38" s="363">
        <f>SUM(D34:D37)</f>
        <v>0</v>
      </c>
      <c r="E38" s="363">
        <f t="shared" si="5"/>
        <v>0</v>
      </c>
      <c r="F38" s="363">
        <f t="shared" si="5"/>
        <v>0</v>
      </c>
      <c r="G38" s="363">
        <f>SUM(G34:G37)</f>
        <v>0</v>
      </c>
      <c r="H38" s="363">
        <f t="shared" si="5"/>
        <v>0</v>
      </c>
      <c r="I38" s="363">
        <f t="shared" si="5"/>
        <v>0</v>
      </c>
      <c r="J38" s="363">
        <f t="shared" si="5"/>
        <v>0</v>
      </c>
      <c r="K38" s="363">
        <f t="shared" si="5"/>
        <v>0</v>
      </c>
      <c r="L38" s="363">
        <f t="shared" si="5"/>
        <v>0</v>
      </c>
      <c r="M38" s="363">
        <f t="shared" si="5"/>
        <v>0</v>
      </c>
      <c r="N38" s="404">
        <f>SUM(N34:N37)</f>
        <v>13237.65</v>
      </c>
      <c r="O38" s="558">
        <f>SUM(O34:O37)</f>
        <v>4337096.6500000004</v>
      </c>
      <c r="P38" s="560">
        <f>SUM(P34:P37)</f>
        <v>0</v>
      </c>
      <c r="Q38" s="561"/>
    </row>
    <row r="39" spans="1:17" s="222" customFormat="1" ht="12.75">
      <c r="B39" s="224"/>
      <c r="C39" s="224"/>
      <c r="D39" s="224"/>
      <c r="E39" s="224"/>
      <c r="F39" s="224"/>
      <c r="G39" s="224"/>
      <c r="H39" s="224"/>
      <c r="I39" s="224"/>
      <c r="J39" s="224"/>
      <c r="K39" s="224"/>
      <c r="L39" s="224"/>
      <c r="M39" s="224"/>
      <c r="O39" s="224"/>
      <c r="P39" s="224"/>
      <c r="Q39" s="224"/>
    </row>
    <row r="40" spans="1:17" s="222" customFormat="1" ht="15">
      <c r="A40" s="344" t="s">
        <v>67</v>
      </c>
      <c r="B40" s="228"/>
      <c r="C40" s="228"/>
      <c r="D40" s="228"/>
      <c r="E40" s="228"/>
      <c r="F40" s="228"/>
      <c r="G40" s="228"/>
      <c r="H40" s="228"/>
      <c r="I40" s="228"/>
      <c r="J40" s="228"/>
      <c r="K40" s="228"/>
      <c r="L40" s="228"/>
      <c r="M40" s="228"/>
      <c r="N40" s="227"/>
      <c r="O40" s="405"/>
      <c r="P40" s="228"/>
      <c r="Q40" s="228"/>
    </row>
    <row r="41" spans="1:17" s="385" customFormat="1" ht="16.5">
      <c r="A41" s="247" t="s">
        <v>167</v>
      </c>
      <c r="D41" s="386"/>
      <c r="E41" s="387"/>
      <c r="F41" s="386"/>
      <c r="N41" s="384"/>
    </row>
    <row r="42" spans="1:17" ht="16.5">
      <c r="A42" s="247" t="s">
        <v>295</v>
      </c>
      <c r="D42" s="206"/>
      <c r="E42" s="157"/>
      <c r="F42" s="206"/>
      <c r="N42" s="247"/>
    </row>
    <row r="43" spans="1:17" ht="16.5">
      <c r="A43" s="627" t="s">
        <v>303</v>
      </c>
      <c r="D43" s="206"/>
      <c r="E43" s="157"/>
      <c r="F43" s="206"/>
      <c r="N43" s="247"/>
    </row>
    <row r="44" spans="1:17" ht="16.5">
      <c r="A44" s="247"/>
      <c r="D44" s="206"/>
      <c r="E44" s="157"/>
      <c r="F44" s="206"/>
      <c r="N44" s="258"/>
    </row>
    <row r="45" spans="1:17" ht="15">
      <c r="A45" s="181" t="s">
        <v>77</v>
      </c>
      <c r="E45" s="211"/>
      <c r="F45" s="206"/>
    </row>
  </sheetData>
  <mergeCells count="3">
    <mergeCell ref="O7:O8"/>
    <mergeCell ref="Q7:Q8"/>
    <mergeCell ref="N7:N8"/>
  </mergeCells>
  <printOptions horizontalCentered="1"/>
  <pageMargins left="0" right="0" top="0.55000000000000004" bottom="0.17" header="0.3" footer="0.15"/>
  <pageSetup paperSize="5" scale="49"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59"/>
  <sheetViews>
    <sheetView showGridLines="0" zoomScale="53" zoomScaleNormal="53" zoomScaleSheetLayoutView="80" workbookViewId="0">
      <pane xSplit="1" ySplit="9" topLeftCell="D24" activePane="bottomRight" state="frozen"/>
      <selection pane="topRight" activeCell="O33" sqref="O33"/>
      <selection pane="bottomLeft" activeCell="O33" sqref="O33"/>
      <selection pane="bottomRight" activeCell="H62" sqref="H62"/>
    </sheetView>
  </sheetViews>
  <sheetFormatPr defaultColWidth="8.28515625" defaultRowHeight="12.75"/>
  <cols>
    <col min="1" max="1" width="86.28515625" style="98" customWidth="1"/>
    <col min="2" max="3" width="9.5703125" style="98" bestFit="1" customWidth="1"/>
    <col min="4" max="6" width="9.7109375" style="98" bestFit="1" customWidth="1"/>
    <col min="7" max="7" width="13" style="98" customWidth="1"/>
    <col min="8" max="9" width="9.7109375" style="98" bestFit="1" customWidth="1"/>
    <col min="10" max="10" width="11.140625" style="98" bestFit="1" customWidth="1"/>
    <col min="11" max="12" width="9.7109375" style="98" bestFit="1" customWidth="1"/>
    <col min="13" max="14" width="11.140625" style="98" bestFit="1" customWidth="1"/>
    <col min="15" max="16" width="13.42578125" style="98" bestFit="1" customWidth="1"/>
    <col min="17" max="17" width="11.42578125" style="98" bestFit="1" customWidth="1"/>
    <col min="18" max="18" width="8.42578125" style="98" bestFit="1" customWidth="1"/>
    <col min="19" max="16384" width="8.28515625" style="98"/>
  </cols>
  <sheetData>
    <row r="2" spans="1:22">
      <c r="A2" s="97"/>
      <c r="G2" s="114" t="s">
        <v>168</v>
      </c>
    </row>
    <row r="3" spans="1:22">
      <c r="A3" s="97"/>
      <c r="G3" s="114" t="s">
        <v>169</v>
      </c>
    </row>
    <row r="4" spans="1:22">
      <c r="A4" s="97"/>
      <c r="F4" s="144"/>
      <c r="G4" s="145">
        <f>'Program MW '!H3</f>
        <v>44593</v>
      </c>
      <c r="H4" s="144"/>
      <c r="I4" s="144"/>
      <c r="N4" s="431"/>
    </row>
    <row r="5" spans="1:22">
      <c r="A5" s="97"/>
      <c r="B5" s="448"/>
      <c r="C5" s="448"/>
      <c r="D5" s="448"/>
      <c r="E5" s="448"/>
      <c r="F5" s="448"/>
      <c r="G5" s="448"/>
      <c r="H5" s="448"/>
      <c r="I5" s="448"/>
      <c r="J5" s="448"/>
      <c r="K5" s="448"/>
      <c r="L5" s="448"/>
      <c r="M5" s="448"/>
      <c r="N5" s="448"/>
    </row>
    <row r="6" spans="1:22" ht="13.5" thickBot="1">
      <c r="B6" s="448"/>
      <c r="C6" s="448"/>
      <c r="D6" s="448"/>
      <c r="E6" s="448"/>
      <c r="F6" s="448"/>
      <c r="G6" s="448"/>
      <c r="H6" s="448"/>
      <c r="I6" s="448"/>
      <c r="J6" s="448"/>
      <c r="K6" s="448"/>
      <c r="L6" s="448"/>
      <c r="M6" s="448"/>
      <c r="N6" s="448"/>
    </row>
    <row r="7" spans="1:22">
      <c r="A7" s="235"/>
      <c r="B7" s="99"/>
      <c r="C7" s="99"/>
      <c r="D7" s="99"/>
      <c r="E7" s="99"/>
      <c r="F7" s="99"/>
      <c r="G7" s="99"/>
      <c r="H7" s="99"/>
      <c r="I7" s="99"/>
      <c r="J7" s="99"/>
      <c r="K7" s="99"/>
      <c r="L7" s="99"/>
      <c r="M7" s="100"/>
      <c r="N7" s="100"/>
      <c r="O7" s="100"/>
      <c r="P7" s="101"/>
      <c r="Q7" s="101"/>
      <c r="R7" s="233"/>
    </row>
    <row r="8" spans="1:22" ht="9" customHeight="1">
      <c r="A8" s="236"/>
      <c r="B8" s="102"/>
      <c r="C8" s="102"/>
      <c r="D8" s="102"/>
      <c r="E8" s="102"/>
      <c r="F8" s="102"/>
      <c r="G8" s="102"/>
      <c r="H8" s="102"/>
      <c r="I8" s="102"/>
      <c r="J8" s="102"/>
      <c r="K8" s="102"/>
      <c r="L8" s="102"/>
      <c r="M8" s="566"/>
      <c r="N8" s="566"/>
      <c r="O8" s="566"/>
      <c r="P8" s="567"/>
      <c r="Q8" s="567"/>
      <c r="R8" s="568"/>
    </row>
    <row r="9" spans="1:22" ht="87.75" customHeight="1">
      <c r="A9" s="569" t="s">
        <v>170</v>
      </c>
      <c r="B9" s="570" t="s">
        <v>41</v>
      </c>
      <c r="C9" s="204" t="s">
        <v>42</v>
      </c>
      <c r="D9" s="204" t="s">
        <v>43</v>
      </c>
      <c r="E9" s="204" t="s">
        <v>44</v>
      </c>
      <c r="F9" s="204" t="s">
        <v>31</v>
      </c>
      <c r="G9" s="204" t="s">
        <v>45</v>
      </c>
      <c r="H9" s="204" t="s">
        <v>59</v>
      </c>
      <c r="I9" s="205" t="s">
        <v>171</v>
      </c>
      <c r="J9" s="205" t="s">
        <v>61</v>
      </c>
      <c r="K9" s="204" t="s">
        <v>62</v>
      </c>
      <c r="L9" s="204" t="s">
        <v>63</v>
      </c>
      <c r="M9" s="204" t="s">
        <v>64</v>
      </c>
      <c r="N9" s="103" t="s">
        <v>283</v>
      </c>
      <c r="O9" s="103" t="s">
        <v>285</v>
      </c>
      <c r="P9" s="103" t="s">
        <v>172</v>
      </c>
      <c r="Q9" s="103" t="s">
        <v>173</v>
      </c>
      <c r="R9" s="103" t="s">
        <v>174</v>
      </c>
    </row>
    <row r="10" spans="1:22">
      <c r="A10" s="237" t="s">
        <v>175</v>
      </c>
      <c r="B10" s="571"/>
      <c r="C10" s="14"/>
      <c r="D10" s="14"/>
      <c r="E10" s="14"/>
      <c r="F10" s="104"/>
      <c r="G10" s="201"/>
      <c r="H10" s="104"/>
      <c r="I10" s="104"/>
      <c r="J10" s="104"/>
      <c r="K10" s="104"/>
      <c r="L10" s="104"/>
      <c r="M10" s="572"/>
      <c r="N10" s="398"/>
      <c r="O10" s="388" t="s">
        <v>56</v>
      </c>
      <c r="P10" s="245"/>
      <c r="Q10" s="105"/>
      <c r="R10" s="105"/>
    </row>
    <row r="11" spans="1:22" ht="14.25">
      <c r="A11" s="617" t="s">
        <v>304</v>
      </c>
      <c r="B11" s="654">
        <v>11859.38</v>
      </c>
      <c r="C11" s="655">
        <v>13661.42</v>
      </c>
      <c r="D11" s="655">
        <v>0</v>
      </c>
      <c r="E11" s="655">
        <v>0</v>
      </c>
      <c r="F11" s="655">
        <v>0</v>
      </c>
      <c r="G11" s="655">
        <v>0</v>
      </c>
      <c r="H11" s="655">
        <v>0</v>
      </c>
      <c r="I11" s="655">
        <v>0</v>
      </c>
      <c r="J11" s="655">
        <v>0</v>
      </c>
      <c r="K11" s="655">
        <v>0</v>
      </c>
      <c r="L11" s="655">
        <v>0</v>
      </c>
      <c r="M11" s="656">
        <v>0</v>
      </c>
      <c r="N11" s="628">
        <f>SUM(B11:M11)</f>
        <v>25520.799999999999</v>
      </c>
      <c r="O11" s="431">
        <f>911161+N11+266136</f>
        <v>1202817.8</v>
      </c>
      <c r="P11" s="432">
        <v>2869200</v>
      </c>
      <c r="Q11" s="430">
        <v>0</v>
      </c>
      <c r="R11" s="399">
        <f>+O11/P11</f>
        <v>0.41921713369580371</v>
      </c>
      <c r="S11" s="413"/>
      <c r="T11" s="414"/>
      <c r="U11" s="414"/>
      <c r="V11" s="415"/>
    </row>
    <row r="12" spans="1:22" ht="14.25">
      <c r="A12" s="617" t="s">
        <v>305</v>
      </c>
      <c r="B12" s="657">
        <v>43835.64</v>
      </c>
      <c r="C12" s="658">
        <v>41577.11</v>
      </c>
      <c r="D12" s="658">
        <v>0</v>
      </c>
      <c r="E12" s="658">
        <v>0</v>
      </c>
      <c r="F12" s="658">
        <v>0</v>
      </c>
      <c r="G12" s="658">
        <v>0</v>
      </c>
      <c r="H12" s="658">
        <v>0</v>
      </c>
      <c r="I12" s="658">
        <v>0</v>
      </c>
      <c r="J12" s="658">
        <v>0</v>
      </c>
      <c r="K12" s="658">
        <v>0</v>
      </c>
      <c r="L12" s="658">
        <v>0</v>
      </c>
      <c r="M12" s="659">
        <v>0</v>
      </c>
      <c r="N12" s="628">
        <f t="shared" ref="N12:N15" si="0">SUM(B12:M12)</f>
        <v>85412.75</v>
      </c>
      <c r="O12" s="431">
        <f>4136392+N12+543761</f>
        <v>4765565.75</v>
      </c>
      <c r="P12" s="432">
        <v>9020700</v>
      </c>
      <c r="Q12" s="430">
        <v>0</v>
      </c>
      <c r="R12" s="399">
        <f t="shared" ref="R12:R15" si="1">+O12/P12</f>
        <v>0.52829223341869258</v>
      </c>
      <c r="S12" s="413"/>
      <c r="T12" s="414"/>
      <c r="U12" s="414"/>
      <c r="V12" s="415"/>
    </row>
    <row r="13" spans="1:22" ht="14.25">
      <c r="A13" s="617" t="s">
        <v>306</v>
      </c>
      <c r="B13" s="657">
        <v>1297.54</v>
      </c>
      <c r="C13" s="658">
        <v>1440.99</v>
      </c>
      <c r="D13" s="658">
        <v>0</v>
      </c>
      <c r="E13" s="658">
        <v>0</v>
      </c>
      <c r="F13" s="658">
        <v>0</v>
      </c>
      <c r="G13" s="658">
        <v>0</v>
      </c>
      <c r="H13" s="658">
        <v>0</v>
      </c>
      <c r="I13" s="658">
        <v>0</v>
      </c>
      <c r="J13" s="658">
        <v>0</v>
      </c>
      <c r="K13" s="658">
        <v>0</v>
      </c>
      <c r="L13" s="658">
        <v>0</v>
      </c>
      <c r="M13" s="659">
        <v>0</v>
      </c>
      <c r="N13" s="628">
        <f t="shared" si="0"/>
        <v>2738.5299999999997</v>
      </c>
      <c r="O13" s="431">
        <f>534815+N13+101296</f>
        <v>638849.53</v>
      </c>
      <c r="P13" s="432">
        <v>4664400</v>
      </c>
      <c r="Q13" s="430">
        <v>0</v>
      </c>
      <c r="R13" s="399">
        <f t="shared" si="1"/>
        <v>0.13696285267129749</v>
      </c>
      <c r="S13" s="413"/>
      <c r="T13" s="414"/>
      <c r="U13" s="414"/>
      <c r="V13" s="415"/>
    </row>
    <row r="14" spans="1:22">
      <c r="A14" s="238" t="s">
        <v>176</v>
      </c>
      <c r="B14" s="657">
        <v>57149.94</v>
      </c>
      <c r="C14" s="658">
        <v>9160.0300000000007</v>
      </c>
      <c r="D14" s="658">
        <v>0</v>
      </c>
      <c r="E14" s="658">
        <v>0</v>
      </c>
      <c r="F14" s="658">
        <v>0</v>
      </c>
      <c r="G14" s="658">
        <v>0</v>
      </c>
      <c r="H14" s="658">
        <v>0</v>
      </c>
      <c r="I14" s="658">
        <v>0</v>
      </c>
      <c r="J14" s="658">
        <v>0</v>
      </c>
      <c r="K14" s="658">
        <v>0</v>
      </c>
      <c r="L14" s="658">
        <v>0</v>
      </c>
      <c r="M14" s="659">
        <v>0</v>
      </c>
      <c r="N14" s="629">
        <f t="shared" si="0"/>
        <v>66309.97</v>
      </c>
      <c r="O14" s="431">
        <f>928210+N14+263859</f>
        <v>1258378.97</v>
      </c>
      <c r="P14" s="430">
        <v>10301202</v>
      </c>
      <c r="Q14" s="430">
        <v>0</v>
      </c>
      <c r="R14" s="399">
        <f t="shared" si="1"/>
        <v>0.12215845976032699</v>
      </c>
      <c r="S14" s="413"/>
      <c r="T14" s="414"/>
      <c r="U14" s="414"/>
      <c r="V14" s="415"/>
    </row>
    <row r="15" spans="1:22" ht="14.25">
      <c r="A15" s="239" t="s">
        <v>177</v>
      </c>
      <c r="B15" s="660">
        <v>0</v>
      </c>
      <c r="C15" s="661">
        <v>0</v>
      </c>
      <c r="D15" s="661">
        <v>0</v>
      </c>
      <c r="E15" s="661">
        <v>0</v>
      </c>
      <c r="F15" s="661">
        <v>0</v>
      </c>
      <c r="G15" s="661">
        <v>0</v>
      </c>
      <c r="H15" s="661">
        <v>0</v>
      </c>
      <c r="I15" s="661">
        <v>0</v>
      </c>
      <c r="J15" s="661">
        <v>0</v>
      </c>
      <c r="K15" s="661">
        <v>0</v>
      </c>
      <c r="L15" s="661">
        <v>0</v>
      </c>
      <c r="M15" s="662">
        <v>0</v>
      </c>
      <c r="N15" s="629">
        <f t="shared" si="0"/>
        <v>0</v>
      </c>
      <c r="O15" s="431">
        <f>15326+N15</f>
        <v>15326</v>
      </c>
      <c r="P15" s="432">
        <v>20000</v>
      </c>
      <c r="Q15" s="430">
        <v>0</v>
      </c>
      <c r="R15" s="399">
        <f t="shared" si="1"/>
        <v>0.76629999999999998</v>
      </c>
      <c r="S15" s="413"/>
      <c r="T15" s="414"/>
      <c r="U15" s="414"/>
      <c r="V15" s="415"/>
    </row>
    <row r="16" spans="1:22">
      <c r="A16" s="573" t="s">
        <v>178</v>
      </c>
      <c r="B16" s="433">
        <f>SUM(B11:B15)</f>
        <v>114142.5</v>
      </c>
      <c r="C16" s="434">
        <f t="shared" ref="C16:M16" si="2">SUM(C11:C15)</f>
        <v>65839.55</v>
      </c>
      <c r="D16" s="434">
        <f t="shared" si="2"/>
        <v>0</v>
      </c>
      <c r="E16" s="434">
        <f t="shared" si="2"/>
        <v>0</v>
      </c>
      <c r="F16" s="434">
        <f t="shared" si="2"/>
        <v>0</v>
      </c>
      <c r="G16" s="434">
        <f t="shared" si="2"/>
        <v>0</v>
      </c>
      <c r="H16" s="434">
        <f t="shared" si="2"/>
        <v>0</v>
      </c>
      <c r="I16" s="434">
        <f t="shared" si="2"/>
        <v>0</v>
      </c>
      <c r="J16" s="434">
        <f t="shared" si="2"/>
        <v>0</v>
      </c>
      <c r="K16" s="434">
        <f>SUM(K11:K15)</f>
        <v>0</v>
      </c>
      <c r="L16" s="434">
        <f t="shared" si="2"/>
        <v>0</v>
      </c>
      <c r="M16" s="434">
        <f t="shared" si="2"/>
        <v>0</v>
      </c>
      <c r="N16" s="574">
        <f>SUM(N11:N15)</f>
        <v>179982.05</v>
      </c>
      <c r="O16" s="575">
        <f>SUM(O11:O15)</f>
        <v>7880938.0499999998</v>
      </c>
      <c r="P16" s="435">
        <f>SUM(P11:P15)</f>
        <v>26875502</v>
      </c>
      <c r="Q16" s="436">
        <f>SUM(Q11:Q15)</f>
        <v>0</v>
      </c>
      <c r="R16" s="400">
        <f>O16/P16</f>
        <v>0.2932387290849488</v>
      </c>
      <c r="S16" s="413"/>
      <c r="T16" s="414"/>
      <c r="U16" s="414"/>
      <c r="V16" s="415"/>
    </row>
    <row r="17" spans="1:22">
      <c r="A17" s="239"/>
      <c r="B17" s="429"/>
      <c r="C17" s="431"/>
      <c r="D17" s="431"/>
      <c r="E17" s="431"/>
      <c r="F17" s="366"/>
      <c r="G17" s="431"/>
      <c r="H17" s="366"/>
      <c r="I17" s="366"/>
      <c r="J17" s="366"/>
      <c r="K17" s="366"/>
      <c r="L17" s="366"/>
      <c r="M17" s="366"/>
      <c r="N17" s="430"/>
      <c r="O17" s="430"/>
      <c r="P17" s="432"/>
      <c r="Q17" s="430"/>
      <c r="R17" s="399"/>
      <c r="S17" s="413"/>
      <c r="T17" s="414"/>
      <c r="U17" s="414"/>
      <c r="V17" s="415"/>
    </row>
    <row r="18" spans="1:22">
      <c r="A18" s="237" t="s">
        <v>179</v>
      </c>
      <c r="B18" s="429"/>
      <c r="C18" s="431"/>
      <c r="D18" s="431"/>
      <c r="E18" s="431"/>
      <c r="F18" s="366"/>
      <c r="G18" s="431"/>
      <c r="H18" s="366"/>
      <c r="I18" s="366"/>
      <c r="J18" s="366"/>
      <c r="K18" s="366"/>
      <c r="L18" s="366"/>
      <c r="M18" s="366"/>
      <c r="N18" s="430"/>
      <c r="O18" s="430"/>
      <c r="P18" s="432"/>
      <c r="Q18" s="430"/>
      <c r="R18" s="399"/>
      <c r="S18" s="413"/>
      <c r="T18" s="414"/>
      <c r="U18" s="414"/>
      <c r="V18" s="415"/>
    </row>
    <row r="19" spans="1:22">
      <c r="A19" s="238"/>
      <c r="B19" s="663">
        <v>0</v>
      </c>
      <c r="C19" s="664">
        <v>0</v>
      </c>
      <c r="D19" s="664">
        <v>0</v>
      </c>
      <c r="E19" s="664">
        <v>0</v>
      </c>
      <c r="F19" s="664">
        <v>0</v>
      </c>
      <c r="G19" s="664">
        <v>0</v>
      </c>
      <c r="H19" s="664">
        <v>0</v>
      </c>
      <c r="I19" s="664">
        <v>0</v>
      </c>
      <c r="J19" s="664">
        <v>0</v>
      </c>
      <c r="K19" s="664">
        <v>0</v>
      </c>
      <c r="L19" s="664">
        <v>0</v>
      </c>
      <c r="M19" s="665">
        <v>0</v>
      </c>
      <c r="N19" s="430">
        <f>SUM(B19:M19)</f>
        <v>0</v>
      </c>
      <c r="O19" s="431">
        <f>0+N19</f>
        <v>0</v>
      </c>
      <c r="P19" s="432">
        <v>0</v>
      </c>
      <c r="Q19" s="430">
        <v>0</v>
      </c>
      <c r="R19" s="399">
        <v>0</v>
      </c>
      <c r="S19" s="413"/>
      <c r="T19" s="414"/>
      <c r="U19" s="414"/>
      <c r="V19" s="415"/>
    </row>
    <row r="20" spans="1:22">
      <c r="A20" s="573" t="s">
        <v>180</v>
      </c>
      <c r="B20" s="574">
        <f t="shared" ref="B20:M20" si="3">SUM(B19:B19)</f>
        <v>0</v>
      </c>
      <c r="C20" s="575">
        <f t="shared" si="3"/>
        <v>0</v>
      </c>
      <c r="D20" s="575">
        <f t="shared" si="3"/>
        <v>0</v>
      </c>
      <c r="E20" s="575">
        <f t="shared" si="3"/>
        <v>0</v>
      </c>
      <c r="F20" s="575">
        <f t="shared" si="3"/>
        <v>0</v>
      </c>
      <c r="G20" s="575">
        <f t="shared" si="3"/>
        <v>0</v>
      </c>
      <c r="H20" s="575">
        <f t="shared" si="3"/>
        <v>0</v>
      </c>
      <c r="I20" s="575">
        <f t="shared" si="3"/>
        <v>0</v>
      </c>
      <c r="J20" s="575">
        <f t="shared" si="3"/>
        <v>0</v>
      </c>
      <c r="K20" s="575">
        <f t="shared" si="3"/>
        <v>0</v>
      </c>
      <c r="L20" s="575">
        <f t="shared" si="3"/>
        <v>0</v>
      </c>
      <c r="M20" s="575">
        <f t="shared" si="3"/>
        <v>0</v>
      </c>
      <c r="N20" s="436">
        <f>SUM(N19:N19)</f>
        <v>0</v>
      </c>
      <c r="O20" s="436">
        <f>SUM(O19:O19)</f>
        <v>0</v>
      </c>
      <c r="P20" s="435">
        <f>SUM(P19:P19)</f>
        <v>0</v>
      </c>
      <c r="Q20" s="436">
        <f>SUM(Q19:Q19)</f>
        <v>0</v>
      </c>
      <c r="R20" s="401">
        <v>0</v>
      </c>
      <c r="S20" s="413"/>
      <c r="T20" s="414"/>
      <c r="U20" s="414"/>
      <c r="V20" s="415"/>
    </row>
    <row r="21" spans="1:22">
      <c r="A21" s="240"/>
      <c r="B21" s="429"/>
      <c r="C21" s="431"/>
      <c r="D21" s="431"/>
      <c r="E21" s="431"/>
      <c r="F21" s="431"/>
      <c r="G21" s="431"/>
      <c r="H21" s="431"/>
      <c r="I21" s="431"/>
      <c r="J21" s="431"/>
      <c r="K21" s="431"/>
      <c r="L21" s="431"/>
      <c r="M21" s="431"/>
      <c r="N21" s="430"/>
      <c r="O21" s="430"/>
      <c r="P21" s="432"/>
      <c r="Q21" s="430"/>
      <c r="R21" s="402"/>
      <c r="S21" s="413"/>
      <c r="T21" s="414"/>
      <c r="U21" s="414"/>
      <c r="V21" s="415"/>
    </row>
    <row r="22" spans="1:22">
      <c r="A22" s="237" t="s">
        <v>181</v>
      </c>
      <c r="B22" s="429"/>
      <c r="C22" s="431"/>
      <c r="D22" s="431"/>
      <c r="E22" s="431"/>
      <c r="F22" s="366"/>
      <c r="G22" s="431"/>
      <c r="H22" s="366"/>
      <c r="I22" s="366"/>
      <c r="J22" s="366"/>
      <c r="K22" s="366"/>
      <c r="L22" s="366"/>
      <c r="M22" s="366"/>
      <c r="N22" s="430"/>
      <c r="O22" s="430"/>
      <c r="P22" s="432"/>
      <c r="Q22" s="430"/>
      <c r="R22" s="399"/>
      <c r="S22" s="413"/>
      <c r="T22" s="414"/>
      <c r="U22" s="414"/>
      <c r="V22" s="415"/>
    </row>
    <row r="23" spans="1:22" ht="14.25">
      <c r="A23" s="238" t="s">
        <v>307</v>
      </c>
      <c r="B23" s="663">
        <v>12263.9</v>
      </c>
      <c r="C23" s="664">
        <v>27387.13</v>
      </c>
      <c r="D23" s="664">
        <v>0</v>
      </c>
      <c r="E23" s="664">
        <v>0</v>
      </c>
      <c r="F23" s="664">
        <v>0</v>
      </c>
      <c r="G23" s="664">
        <v>0</v>
      </c>
      <c r="H23" s="664">
        <v>0</v>
      </c>
      <c r="I23" s="664">
        <v>0</v>
      </c>
      <c r="J23" s="664">
        <v>0</v>
      </c>
      <c r="K23" s="664">
        <v>0</v>
      </c>
      <c r="L23" s="664">
        <v>0</v>
      </c>
      <c r="M23" s="665">
        <v>0</v>
      </c>
      <c r="N23" s="629">
        <f>SUM(B23:M23)</f>
        <v>39651.03</v>
      </c>
      <c r="O23" s="431">
        <f>3846745+N23+1435101</f>
        <v>5321497.0299999993</v>
      </c>
      <c r="P23" s="432">
        <v>8320000</v>
      </c>
      <c r="Q23" s="430">
        <v>0</v>
      </c>
      <c r="R23" s="399">
        <f t="shared" ref="R23" si="4">+O23/P23</f>
        <v>0.6396030084134614</v>
      </c>
      <c r="S23" s="413"/>
      <c r="T23" s="414"/>
      <c r="U23" s="414"/>
      <c r="V23" s="415"/>
    </row>
    <row r="24" spans="1:22">
      <c r="A24" s="573" t="s">
        <v>182</v>
      </c>
      <c r="B24" s="433">
        <f t="shared" ref="B24:M24" si="5">SUM(B23:B23)</f>
        <v>12263.9</v>
      </c>
      <c r="C24" s="434">
        <f t="shared" si="5"/>
        <v>27387.13</v>
      </c>
      <c r="D24" s="434">
        <f t="shared" si="5"/>
        <v>0</v>
      </c>
      <c r="E24" s="434">
        <f t="shared" si="5"/>
        <v>0</v>
      </c>
      <c r="F24" s="434">
        <f t="shared" si="5"/>
        <v>0</v>
      </c>
      <c r="G24" s="434">
        <f t="shared" si="5"/>
        <v>0</v>
      </c>
      <c r="H24" s="434">
        <f t="shared" si="5"/>
        <v>0</v>
      </c>
      <c r="I24" s="434">
        <f t="shared" si="5"/>
        <v>0</v>
      </c>
      <c r="J24" s="434">
        <f t="shared" si="5"/>
        <v>0</v>
      </c>
      <c r="K24" s="434">
        <f t="shared" si="5"/>
        <v>0</v>
      </c>
      <c r="L24" s="434">
        <f t="shared" si="5"/>
        <v>0</v>
      </c>
      <c r="M24" s="434">
        <f t="shared" si="5"/>
        <v>0</v>
      </c>
      <c r="N24" s="436">
        <f>SUM(N23:N23)</f>
        <v>39651.03</v>
      </c>
      <c r="O24" s="436">
        <f>O23</f>
        <v>5321497.0299999993</v>
      </c>
      <c r="P24" s="435">
        <f>SUM(P23:P23)</f>
        <v>8320000</v>
      </c>
      <c r="Q24" s="436">
        <f>SUM(Q23:Q23)</f>
        <v>0</v>
      </c>
      <c r="R24" s="401">
        <f>O24/P24</f>
        <v>0.6396030084134614</v>
      </c>
      <c r="S24" s="413"/>
      <c r="T24" s="414"/>
      <c r="U24" s="414"/>
      <c r="V24" s="415"/>
    </row>
    <row r="25" spans="1:22">
      <c r="A25" s="237"/>
      <c r="B25" s="429"/>
      <c r="C25" s="431"/>
      <c r="D25" s="431"/>
      <c r="E25" s="431"/>
      <c r="F25" s="366"/>
      <c r="G25" s="431"/>
      <c r="H25" s="366"/>
      <c r="I25" s="366"/>
      <c r="J25" s="366"/>
      <c r="K25" s="366"/>
      <c r="L25" s="366"/>
      <c r="M25" s="366"/>
      <c r="N25" s="430"/>
      <c r="O25" s="430"/>
      <c r="P25" s="432"/>
      <c r="Q25" s="430"/>
      <c r="R25" s="399"/>
      <c r="S25" s="413"/>
      <c r="T25" s="414"/>
      <c r="U25" s="414"/>
      <c r="V25" s="415"/>
    </row>
    <row r="26" spans="1:22">
      <c r="A26" s="237" t="s">
        <v>183</v>
      </c>
      <c r="B26" s="429"/>
      <c r="C26" s="431"/>
      <c r="D26" s="431"/>
      <c r="E26" s="431"/>
      <c r="F26" s="366"/>
      <c r="G26" s="431"/>
      <c r="H26" s="366"/>
      <c r="I26" s="366"/>
      <c r="J26" s="366"/>
      <c r="K26" s="366"/>
      <c r="L26" s="366"/>
      <c r="M26" s="366"/>
      <c r="N26" s="430"/>
      <c r="O26" s="430"/>
      <c r="P26" s="432"/>
      <c r="Q26" s="430"/>
      <c r="R26" s="399"/>
      <c r="S26" s="413"/>
      <c r="T26" s="414"/>
      <c r="U26" s="414"/>
      <c r="V26" s="415"/>
    </row>
    <row r="27" spans="1:22">
      <c r="A27" s="238" t="s">
        <v>184</v>
      </c>
      <c r="B27" s="654">
        <v>25422.82</v>
      </c>
      <c r="C27" s="655">
        <v>16079.36</v>
      </c>
      <c r="D27" s="655">
        <v>0</v>
      </c>
      <c r="E27" s="655">
        <v>0</v>
      </c>
      <c r="F27" s="655">
        <v>0</v>
      </c>
      <c r="G27" s="655">
        <v>0</v>
      </c>
      <c r="H27" s="655">
        <v>0</v>
      </c>
      <c r="I27" s="655">
        <v>0</v>
      </c>
      <c r="J27" s="655">
        <v>0</v>
      </c>
      <c r="K27" s="655">
        <v>0</v>
      </c>
      <c r="L27" s="655">
        <v>0</v>
      </c>
      <c r="M27" s="656">
        <v>0</v>
      </c>
      <c r="N27" s="629">
        <f>SUM(B27:M27)</f>
        <v>41502.18</v>
      </c>
      <c r="O27" s="431">
        <f>1326267+N27+443737</f>
        <v>1811506.18</v>
      </c>
      <c r="P27" s="432">
        <v>3483000</v>
      </c>
      <c r="Q27" s="430">
        <v>0</v>
      </c>
      <c r="R27" s="399">
        <f t="shared" ref="R27:R29" si="6">+O27/P27</f>
        <v>0.52009939132931382</v>
      </c>
      <c r="S27" s="413"/>
      <c r="T27" s="414"/>
      <c r="U27" s="414"/>
      <c r="V27" s="415"/>
    </row>
    <row r="28" spans="1:22">
      <c r="A28" s="238" t="s">
        <v>185</v>
      </c>
      <c r="B28" s="657">
        <v>35794.32</v>
      </c>
      <c r="C28" s="658">
        <v>59428.67</v>
      </c>
      <c r="D28" s="658">
        <v>0</v>
      </c>
      <c r="E28" s="658">
        <v>0</v>
      </c>
      <c r="F28" s="658">
        <v>0</v>
      </c>
      <c r="G28" s="658">
        <v>0</v>
      </c>
      <c r="H28" s="658">
        <v>0</v>
      </c>
      <c r="I28" s="658">
        <v>0</v>
      </c>
      <c r="J28" s="658">
        <v>0</v>
      </c>
      <c r="K28" s="658">
        <v>0</v>
      </c>
      <c r="L28" s="658">
        <v>0</v>
      </c>
      <c r="M28" s="659">
        <v>0</v>
      </c>
      <c r="N28" s="629">
        <f>SUM(B28:M28)</f>
        <v>95222.989999999991</v>
      </c>
      <c r="O28" s="431">
        <f>1608647+N28+356774</f>
        <v>2060643.99</v>
      </c>
      <c r="P28" s="432">
        <v>3794000</v>
      </c>
      <c r="Q28" s="430">
        <v>0</v>
      </c>
      <c r="R28" s="399">
        <f t="shared" si="6"/>
        <v>0.543132311544544</v>
      </c>
      <c r="S28" s="413"/>
      <c r="T28" s="414"/>
      <c r="U28" s="414"/>
      <c r="V28" s="415"/>
    </row>
    <row r="29" spans="1:22">
      <c r="A29" s="241" t="s">
        <v>186</v>
      </c>
      <c r="B29" s="660">
        <v>8382.92</v>
      </c>
      <c r="C29" s="661">
        <v>10196.36</v>
      </c>
      <c r="D29" s="661">
        <v>0</v>
      </c>
      <c r="E29" s="661">
        <v>0</v>
      </c>
      <c r="F29" s="661">
        <v>0</v>
      </c>
      <c r="G29" s="661">
        <v>0</v>
      </c>
      <c r="H29" s="661">
        <v>0</v>
      </c>
      <c r="I29" s="661">
        <v>0</v>
      </c>
      <c r="J29" s="661">
        <v>0</v>
      </c>
      <c r="K29" s="661">
        <v>0</v>
      </c>
      <c r="L29" s="661">
        <v>0</v>
      </c>
      <c r="M29" s="662">
        <v>0</v>
      </c>
      <c r="N29" s="629">
        <f>SUM(B29:M29)</f>
        <v>18579.28</v>
      </c>
      <c r="O29" s="431">
        <f>982723+N29+126759</f>
        <v>1128061.28</v>
      </c>
      <c r="P29" s="430">
        <v>11267000</v>
      </c>
      <c r="Q29" s="430">
        <v>0</v>
      </c>
      <c r="R29" s="399">
        <f t="shared" si="6"/>
        <v>0.10012082009408006</v>
      </c>
      <c r="S29" s="413"/>
      <c r="T29" s="414"/>
      <c r="U29" s="414"/>
      <c r="V29" s="415"/>
    </row>
    <row r="30" spans="1:22">
      <c r="A30" s="573" t="s">
        <v>187</v>
      </c>
      <c r="B30" s="433">
        <f t="shared" ref="B30:I30" si="7">SUM(B27:B29)</f>
        <v>69600.06</v>
      </c>
      <c r="C30" s="434">
        <f t="shared" si="7"/>
        <v>85704.39</v>
      </c>
      <c r="D30" s="434">
        <f t="shared" si="7"/>
        <v>0</v>
      </c>
      <c r="E30" s="434">
        <f>SUM(E27:E29)</f>
        <v>0</v>
      </c>
      <c r="F30" s="437">
        <f t="shared" si="7"/>
        <v>0</v>
      </c>
      <c r="G30" s="434">
        <f t="shared" si="7"/>
        <v>0</v>
      </c>
      <c r="H30" s="437">
        <f t="shared" si="7"/>
        <v>0</v>
      </c>
      <c r="I30" s="437">
        <f t="shared" si="7"/>
        <v>0</v>
      </c>
      <c r="J30" s="437">
        <f>SUM(J27:J29)</f>
        <v>0</v>
      </c>
      <c r="K30" s="437">
        <f>SUM(K27:K29)</f>
        <v>0</v>
      </c>
      <c r="L30" s="437">
        <f>SUM(L27:L29)</f>
        <v>0</v>
      </c>
      <c r="M30" s="437">
        <f t="shared" ref="M30:Q30" si="8">SUM(M27:M29)</f>
        <v>0</v>
      </c>
      <c r="N30" s="436">
        <f t="shared" si="8"/>
        <v>155304.44999999998</v>
      </c>
      <c r="O30" s="436">
        <f t="shared" si="8"/>
        <v>5000211.45</v>
      </c>
      <c r="P30" s="435">
        <f>SUM(P27:P29)</f>
        <v>18544000</v>
      </c>
      <c r="Q30" s="436">
        <f t="shared" si="8"/>
        <v>0</v>
      </c>
      <c r="R30" s="401">
        <f>O30/P30</f>
        <v>0.26964039311906818</v>
      </c>
      <c r="S30" s="413"/>
      <c r="T30" s="414"/>
      <c r="U30" s="414"/>
      <c r="V30" s="415"/>
    </row>
    <row r="31" spans="1:22">
      <c r="A31" s="238"/>
      <c r="B31" s="429"/>
      <c r="C31" s="431"/>
      <c r="D31" s="431"/>
      <c r="E31" s="431"/>
      <c r="F31" s="366"/>
      <c r="G31" s="431"/>
      <c r="H31" s="366"/>
      <c r="I31" s="366"/>
      <c r="J31" s="366"/>
      <c r="K31" s="366"/>
      <c r="L31" s="366"/>
      <c r="M31" s="366"/>
      <c r="N31" s="430"/>
      <c r="O31" s="430"/>
      <c r="P31" s="432"/>
      <c r="Q31" s="430"/>
      <c r="R31" s="399"/>
      <c r="S31" s="413"/>
      <c r="T31" s="414"/>
      <c r="U31" s="414"/>
      <c r="V31" s="415"/>
    </row>
    <row r="32" spans="1:22">
      <c r="A32" s="237" t="s">
        <v>188</v>
      </c>
      <c r="B32" s="429"/>
      <c r="C32" s="431"/>
      <c r="D32" s="431"/>
      <c r="E32" s="431"/>
      <c r="F32" s="366"/>
      <c r="G32" s="431"/>
      <c r="H32" s="366"/>
      <c r="I32" s="366"/>
      <c r="J32" s="366"/>
      <c r="K32" s="366"/>
      <c r="L32" s="366"/>
      <c r="M32" s="366"/>
      <c r="N32" s="430"/>
      <c r="O32" s="430"/>
      <c r="P32" s="432"/>
      <c r="Q32" s="430"/>
      <c r="R32" s="399"/>
      <c r="S32" s="413"/>
      <c r="T32" s="414"/>
      <c r="U32" s="414"/>
      <c r="V32" s="415"/>
    </row>
    <row r="33" spans="1:22">
      <c r="A33" s="238" t="s">
        <v>189</v>
      </c>
      <c r="B33" s="654">
        <v>0</v>
      </c>
      <c r="C33" s="655">
        <v>0</v>
      </c>
      <c r="D33" s="655">
        <v>0</v>
      </c>
      <c r="E33" s="655">
        <v>0</v>
      </c>
      <c r="F33" s="655">
        <v>0</v>
      </c>
      <c r="G33" s="655">
        <v>0</v>
      </c>
      <c r="H33" s="655">
        <v>0</v>
      </c>
      <c r="I33" s="655">
        <v>0</v>
      </c>
      <c r="J33" s="655">
        <v>0</v>
      </c>
      <c r="K33" s="655">
        <v>0</v>
      </c>
      <c r="L33" s="655">
        <v>0</v>
      </c>
      <c r="M33" s="656">
        <v>0</v>
      </c>
      <c r="N33" s="629">
        <f>SUM(B33:M33)</f>
        <v>0</v>
      </c>
      <c r="O33" s="431">
        <f>8111.66+N33</f>
        <v>8111.66</v>
      </c>
      <c r="P33" s="432">
        <v>2507000</v>
      </c>
      <c r="Q33" s="430">
        <v>0</v>
      </c>
      <c r="R33" s="399">
        <f t="shared" ref="R33:R37" si="9">+O33/P33</f>
        <v>3.2356043079377742E-3</v>
      </c>
      <c r="S33" s="413"/>
      <c r="T33" s="414"/>
      <c r="U33" s="414"/>
      <c r="V33" s="415"/>
    </row>
    <row r="34" spans="1:22">
      <c r="A34" s="238" t="s">
        <v>231</v>
      </c>
      <c r="B34" s="657">
        <v>52804.73</v>
      </c>
      <c r="C34" s="658">
        <v>2570.87</v>
      </c>
      <c r="D34" s="658">
        <v>0</v>
      </c>
      <c r="E34" s="658">
        <v>0</v>
      </c>
      <c r="F34" s="658">
        <v>0</v>
      </c>
      <c r="G34" s="658">
        <v>0</v>
      </c>
      <c r="H34" s="658">
        <v>0</v>
      </c>
      <c r="I34" s="658">
        <v>0</v>
      </c>
      <c r="J34" s="658">
        <v>0</v>
      </c>
      <c r="K34" s="658">
        <v>0</v>
      </c>
      <c r="L34" s="658">
        <v>0</v>
      </c>
      <c r="M34" s="659">
        <v>0</v>
      </c>
      <c r="N34" s="629">
        <f>SUM(B34:M34)</f>
        <v>55375.600000000006</v>
      </c>
      <c r="O34" s="431">
        <f>63741+N34+132654</f>
        <v>251770.6</v>
      </c>
      <c r="P34" s="430">
        <v>500000</v>
      </c>
      <c r="Q34" s="430">
        <v>0</v>
      </c>
      <c r="R34" s="399">
        <f t="shared" si="9"/>
        <v>0.50354120000000002</v>
      </c>
      <c r="S34" s="413"/>
      <c r="T34" s="414"/>
      <c r="U34" s="414"/>
      <c r="V34" s="415"/>
    </row>
    <row r="35" spans="1:22">
      <c r="A35" s="238" t="s">
        <v>308</v>
      </c>
      <c r="B35" s="657">
        <v>0</v>
      </c>
      <c r="C35" s="658">
        <v>17693.900000000001</v>
      </c>
      <c r="D35" s="658">
        <v>0</v>
      </c>
      <c r="E35" s="658">
        <v>0</v>
      </c>
      <c r="F35" s="658">
        <v>0</v>
      </c>
      <c r="G35" s="658">
        <v>0</v>
      </c>
      <c r="H35" s="658">
        <v>0</v>
      </c>
      <c r="I35" s="658">
        <v>0</v>
      </c>
      <c r="J35" s="658">
        <v>0</v>
      </c>
      <c r="K35" s="658">
        <v>0</v>
      </c>
      <c r="L35" s="658">
        <v>0</v>
      </c>
      <c r="M35" s="659">
        <v>0</v>
      </c>
      <c r="N35" s="629">
        <f>SUM(B35:M35)</f>
        <v>17693.900000000001</v>
      </c>
      <c r="O35" s="431">
        <f>N35+19578</f>
        <v>37271.9</v>
      </c>
      <c r="P35" s="430">
        <v>708000</v>
      </c>
      <c r="Q35" s="430">
        <v>0</v>
      </c>
      <c r="R35" s="399">
        <f>+O35/P35</f>
        <v>5.2643926553672317E-2</v>
      </c>
      <c r="S35" s="413"/>
      <c r="T35" s="414"/>
      <c r="U35" s="414"/>
      <c r="V35" s="415"/>
    </row>
    <row r="36" spans="1:22">
      <c r="A36" s="248" t="s">
        <v>309</v>
      </c>
      <c r="B36" s="657">
        <v>0</v>
      </c>
      <c r="C36" s="658">
        <v>0</v>
      </c>
      <c r="D36" s="658">
        <v>0</v>
      </c>
      <c r="E36" s="658">
        <v>0</v>
      </c>
      <c r="F36" s="658">
        <v>0</v>
      </c>
      <c r="G36" s="658">
        <v>0</v>
      </c>
      <c r="H36" s="658">
        <v>0</v>
      </c>
      <c r="I36" s="658">
        <v>0</v>
      </c>
      <c r="J36" s="658">
        <v>0</v>
      </c>
      <c r="K36" s="658">
        <v>0</v>
      </c>
      <c r="L36" s="658">
        <v>0</v>
      </c>
      <c r="M36" s="659">
        <v>0</v>
      </c>
      <c r="N36" s="629">
        <f>SUM(B36:M36)</f>
        <v>0</v>
      </c>
      <c r="O36" s="431">
        <f>615021+N36+9563</f>
        <v>624584</v>
      </c>
      <c r="P36" s="432">
        <v>2148000</v>
      </c>
      <c r="Q36" s="430">
        <v>0</v>
      </c>
      <c r="R36" s="399">
        <f t="shared" si="9"/>
        <v>0.29077467411545621</v>
      </c>
      <c r="S36" s="413"/>
      <c r="T36" s="414"/>
      <c r="U36" s="414"/>
      <c r="V36" s="415"/>
    </row>
    <row r="37" spans="1:22">
      <c r="A37" s="249" t="s">
        <v>190</v>
      </c>
      <c r="B37" s="660">
        <v>0</v>
      </c>
      <c r="C37" s="661">
        <v>0</v>
      </c>
      <c r="D37" s="661">
        <v>0</v>
      </c>
      <c r="E37" s="661">
        <v>0</v>
      </c>
      <c r="F37" s="661">
        <v>0</v>
      </c>
      <c r="G37" s="661">
        <v>0</v>
      </c>
      <c r="H37" s="661">
        <v>0</v>
      </c>
      <c r="I37" s="661">
        <v>0</v>
      </c>
      <c r="J37" s="661">
        <v>0</v>
      </c>
      <c r="K37" s="661">
        <v>0</v>
      </c>
      <c r="L37" s="661">
        <v>0</v>
      </c>
      <c r="M37" s="662">
        <v>0</v>
      </c>
      <c r="N37" s="629">
        <f>SUM(B37:M37)</f>
        <v>0</v>
      </c>
      <c r="O37" s="431">
        <f>36789+N37</f>
        <v>36789</v>
      </c>
      <c r="P37" s="430">
        <v>340000</v>
      </c>
      <c r="Q37" s="430">
        <v>0</v>
      </c>
      <c r="R37" s="399">
        <f t="shared" si="9"/>
        <v>0.10820294117647059</v>
      </c>
      <c r="S37" s="413"/>
      <c r="T37" s="414"/>
      <c r="U37" s="414"/>
      <c r="V37" s="415"/>
    </row>
    <row r="38" spans="1:22">
      <c r="A38" s="573" t="s">
        <v>191</v>
      </c>
      <c r="B38" s="433">
        <f t="shared" ref="B38:Q38" si="10">SUM(B33:B37)</f>
        <v>52804.73</v>
      </c>
      <c r="C38" s="434">
        <f t="shared" si="10"/>
        <v>20264.77</v>
      </c>
      <c r="D38" s="434">
        <f t="shared" si="10"/>
        <v>0</v>
      </c>
      <c r="E38" s="434">
        <f t="shared" si="10"/>
        <v>0</v>
      </c>
      <c r="F38" s="434">
        <f t="shared" si="10"/>
        <v>0</v>
      </c>
      <c r="G38" s="434">
        <f t="shared" si="10"/>
        <v>0</v>
      </c>
      <c r="H38" s="434">
        <f t="shared" si="10"/>
        <v>0</v>
      </c>
      <c r="I38" s="434">
        <f t="shared" si="10"/>
        <v>0</v>
      </c>
      <c r="J38" s="434">
        <f t="shared" si="10"/>
        <v>0</v>
      </c>
      <c r="K38" s="434">
        <f t="shared" si="10"/>
        <v>0</v>
      </c>
      <c r="L38" s="434">
        <f t="shared" si="10"/>
        <v>0</v>
      </c>
      <c r="M38" s="434">
        <f t="shared" si="10"/>
        <v>0</v>
      </c>
      <c r="N38" s="436">
        <f>SUM(N33:N37)</f>
        <v>73069.5</v>
      </c>
      <c r="O38" s="436">
        <f>SUM(O33:O37)</f>
        <v>958527.16</v>
      </c>
      <c r="P38" s="435">
        <f t="shared" si="10"/>
        <v>6203000</v>
      </c>
      <c r="Q38" s="436">
        <f t="shared" si="10"/>
        <v>0</v>
      </c>
      <c r="R38" s="401">
        <f>O38/P38</f>
        <v>0.15452638400773819</v>
      </c>
      <c r="S38" s="413"/>
      <c r="T38" s="414"/>
      <c r="U38" s="414"/>
      <c r="V38" s="415"/>
    </row>
    <row r="39" spans="1:22">
      <c r="A39" s="238"/>
      <c r="B39" s="429"/>
      <c r="C39" s="431"/>
      <c r="D39" s="431"/>
      <c r="E39" s="431"/>
      <c r="F39" s="366"/>
      <c r="G39" s="431"/>
      <c r="H39" s="366"/>
      <c r="I39" s="366"/>
      <c r="J39" s="366"/>
      <c r="K39" s="366"/>
      <c r="L39" s="366"/>
      <c r="M39" s="366"/>
      <c r="N39" s="430"/>
      <c r="O39" s="430"/>
      <c r="P39" s="432"/>
      <c r="Q39" s="430"/>
      <c r="R39" s="399"/>
      <c r="S39" s="413"/>
      <c r="T39" s="414"/>
      <c r="U39" s="414"/>
      <c r="V39" s="415"/>
    </row>
    <row r="40" spans="1:22">
      <c r="A40" s="237" t="s">
        <v>192</v>
      </c>
      <c r="B40" s="429"/>
      <c r="C40" s="431"/>
      <c r="D40" s="431"/>
      <c r="E40" s="431"/>
      <c r="F40" s="366"/>
      <c r="G40" s="431"/>
      <c r="H40" s="366"/>
      <c r="I40" s="366"/>
      <c r="J40" s="366"/>
      <c r="K40" s="366"/>
      <c r="L40" s="366"/>
      <c r="M40" s="366"/>
      <c r="N40" s="430"/>
      <c r="O40" s="430"/>
      <c r="P40" s="432"/>
      <c r="Q40" s="430"/>
      <c r="R40" s="399"/>
      <c r="S40" s="413"/>
      <c r="T40" s="414"/>
      <c r="U40" s="414"/>
      <c r="V40" s="415"/>
    </row>
    <row r="41" spans="1:22">
      <c r="A41" s="238" t="s">
        <v>193</v>
      </c>
      <c r="B41" s="663">
        <v>43.29</v>
      </c>
      <c r="C41" s="664">
        <v>13543</v>
      </c>
      <c r="D41" s="664">
        <v>0</v>
      </c>
      <c r="E41" s="664">
        <v>0</v>
      </c>
      <c r="F41" s="664">
        <v>0</v>
      </c>
      <c r="G41" s="664">
        <v>0</v>
      </c>
      <c r="H41" s="664">
        <v>0</v>
      </c>
      <c r="I41" s="664">
        <v>0</v>
      </c>
      <c r="J41" s="664">
        <v>0</v>
      </c>
      <c r="K41" s="664">
        <v>0</v>
      </c>
      <c r="L41" s="664">
        <v>0</v>
      </c>
      <c r="M41" s="665">
        <v>0</v>
      </c>
      <c r="N41" s="629">
        <f>SUM(B41:M41)</f>
        <v>13586.29</v>
      </c>
      <c r="O41" s="431">
        <f>2744778+N41+680796</f>
        <v>3439160.29</v>
      </c>
      <c r="P41" s="432">
        <v>4502000</v>
      </c>
      <c r="Q41" s="430">
        <v>0</v>
      </c>
      <c r="R41" s="399">
        <f t="shared" ref="R41" si="11">+O41/P41</f>
        <v>0.76391832296757001</v>
      </c>
      <c r="S41" s="413"/>
      <c r="T41" s="414"/>
      <c r="U41" s="414"/>
      <c r="V41" s="415"/>
    </row>
    <row r="42" spans="1:22">
      <c r="A42" s="573" t="s">
        <v>194</v>
      </c>
      <c r="B42" s="433">
        <f t="shared" ref="B42:N42" si="12">SUM(B41:B41)</f>
        <v>43.29</v>
      </c>
      <c r="C42" s="434">
        <f t="shared" si="12"/>
        <v>13543</v>
      </c>
      <c r="D42" s="434">
        <f t="shared" si="12"/>
        <v>0</v>
      </c>
      <c r="E42" s="434">
        <f t="shared" si="12"/>
        <v>0</v>
      </c>
      <c r="F42" s="437">
        <f t="shared" si="12"/>
        <v>0</v>
      </c>
      <c r="G42" s="434">
        <f t="shared" si="12"/>
        <v>0</v>
      </c>
      <c r="H42" s="437">
        <f t="shared" si="12"/>
        <v>0</v>
      </c>
      <c r="I42" s="437">
        <f t="shared" si="12"/>
        <v>0</v>
      </c>
      <c r="J42" s="437">
        <f t="shared" si="12"/>
        <v>0</v>
      </c>
      <c r="K42" s="437">
        <f t="shared" si="12"/>
        <v>0</v>
      </c>
      <c r="L42" s="437">
        <f t="shared" si="12"/>
        <v>0</v>
      </c>
      <c r="M42" s="437">
        <f t="shared" si="12"/>
        <v>0</v>
      </c>
      <c r="N42" s="436">
        <f t="shared" si="12"/>
        <v>13586.29</v>
      </c>
      <c r="O42" s="436">
        <f>O41</f>
        <v>3439160.29</v>
      </c>
      <c r="P42" s="435">
        <f>SUM(P41)</f>
        <v>4502000</v>
      </c>
      <c r="Q42" s="436">
        <f>SUM(Q41:Q41)</f>
        <v>0</v>
      </c>
      <c r="R42" s="401">
        <f>O42/P42</f>
        <v>0.76391832296757001</v>
      </c>
      <c r="S42" s="413"/>
      <c r="T42" s="414"/>
      <c r="U42" s="414"/>
      <c r="V42" s="415"/>
    </row>
    <row r="43" spans="1:22">
      <c r="A43" s="237"/>
      <c r="B43" s="429"/>
      <c r="C43" s="431"/>
      <c r="D43" s="431"/>
      <c r="E43" s="431"/>
      <c r="F43" s="366"/>
      <c r="G43" s="431"/>
      <c r="H43" s="366"/>
      <c r="I43" s="366"/>
      <c r="J43" s="366"/>
      <c r="K43" s="366"/>
      <c r="L43" s="366"/>
      <c r="M43" s="366"/>
      <c r="N43" s="430"/>
      <c r="O43" s="429"/>
      <c r="P43" s="576"/>
      <c r="Q43" s="430"/>
      <c r="R43" s="399"/>
      <c r="S43" s="413"/>
      <c r="T43" s="414"/>
      <c r="U43" s="414"/>
      <c r="V43" s="415"/>
    </row>
    <row r="44" spans="1:22">
      <c r="A44" s="237" t="s">
        <v>195</v>
      </c>
      <c r="B44" s="429"/>
      <c r="C44" s="431"/>
      <c r="D44" s="431"/>
      <c r="E44" s="431"/>
      <c r="F44" s="366"/>
      <c r="G44" s="431"/>
      <c r="H44" s="366"/>
      <c r="I44" s="366"/>
      <c r="J44" s="366"/>
      <c r="K44" s="366"/>
      <c r="L44" s="366"/>
      <c r="M44" s="366"/>
      <c r="N44" s="430"/>
      <c r="O44" s="429"/>
      <c r="P44" s="432"/>
      <c r="Q44" s="430"/>
      <c r="R44" s="399"/>
      <c r="S44" s="413"/>
      <c r="T44" s="414"/>
      <c r="U44" s="414"/>
      <c r="V44" s="415"/>
    </row>
    <row r="45" spans="1:22" ht="14.25">
      <c r="A45" s="238" t="s">
        <v>196</v>
      </c>
      <c r="B45" s="654">
        <v>34704.71</v>
      </c>
      <c r="C45" s="655">
        <v>52958.45</v>
      </c>
      <c r="D45" s="655">
        <v>0</v>
      </c>
      <c r="E45" s="655">
        <v>0</v>
      </c>
      <c r="F45" s="655">
        <v>0</v>
      </c>
      <c r="G45" s="655">
        <v>0</v>
      </c>
      <c r="H45" s="655">
        <v>0</v>
      </c>
      <c r="I45" s="655">
        <v>0</v>
      </c>
      <c r="J45" s="655">
        <v>0</v>
      </c>
      <c r="K45" s="655">
        <v>0</v>
      </c>
      <c r="L45" s="655">
        <v>0</v>
      </c>
      <c r="M45" s="656">
        <v>0</v>
      </c>
      <c r="N45" s="629">
        <f>SUM(B45:M45)</f>
        <v>87663.16</v>
      </c>
      <c r="O45" s="431">
        <f>1537662+N45+551517</f>
        <v>2176842.16</v>
      </c>
      <c r="P45" s="438">
        <f>4095000-166000</f>
        <v>3929000</v>
      </c>
      <c r="Q45" s="430">
        <v>-166000</v>
      </c>
      <c r="R45" s="399">
        <f t="shared" ref="R45:R48" si="13">+O45/P45</f>
        <v>0.55404483583609065</v>
      </c>
      <c r="S45" s="413"/>
      <c r="T45" s="414"/>
      <c r="U45" s="414"/>
      <c r="V45" s="415"/>
    </row>
    <row r="46" spans="1:22" s="144" customFormat="1">
      <c r="A46" s="239" t="s">
        <v>310</v>
      </c>
      <c r="B46" s="657">
        <v>4184.74</v>
      </c>
      <c r="C46" s="658">
        <v>22572.85</v>
      </c>
      <c r="D46" s="658">
        <v>0</v>
      </c>
      <c r="E46" s="658">
        <v>0</v>
      </c>
      <c r="F46" s="658">
        <v>0</v>
      </c>
      <c r="G46" s="658">
        <v>0</v>
      </c>
      <c r="H46" s="658">
        <v>0</v>
      </c>
      <c r="I46" s="658">
        <v>0</v>
      </c>
      <c r="J46" s="658">
        <v>0</v>
      </c>
      <c r="K46" s="658">
        <v>0</v>
      </c>
      <c r="L46" s="658">
        <v>0</v>
      </c>
      <c r="M46" s="659">
        <v>0</v>
      </c>
      <c r="N46" s="630">
        <f>SUM(B46:M46)</f>
        <v>26757.589999999997</v>
      </c>
      <c r="O46" s="431">
        <f>5263321+N46+1802730</f>
        <v>7092808.5899999999</v>
      </c>
      <c r="P46" s="438">
        <f>7948000+566000</f>
        <v>8514000</v>
      </c>
      <c r="Q46" s="432">
        <v>566000</v>
      </c>
      <c r="R46" s="403">
        <f t="shared" si="13"/>
        <v>0.83307594432699084</v>
      </c>
      <c r="S46" s="413"/>
      <c r="T46" s="414"/>
      <c r="U46" s="414"/>
      <c r="V46" s="415"/>
    </row>
    <row r="47" spans="1:22" ht="14.25">
      <c r="A47" s="238" t="s">
        <v>311</v>
      </c>
      <c r="B47" s="657">
        <v>-9539.8700000000008</v>
      </c>
      <c r="C47" s="658">
        <v>68261.33</v>
      </c>
      <c r="D47" s="658">
        <v>0</v>
      </c>
      <c r="E47" s="658">
        <v>0</v>
      </c>
      <c r="F47" s="658">
        <v>0</v>
      </c>
      <c r="G47" s="658">
        <v>0</v>
      </c>
      <c r="H47" s="658">
        <v>0</v>
      </c>
      <c r="I47" s="658">
        <v>0</v>
      </c>
      <c r="J47" s="658">
        <v>0</v>
      </c>
      <c r="K47" s="658">
        <v>0</v>
      </c>
      <c r="L47" s="658">
        <v>0</v>
      </c>
      <c r="M47" s="659">
        <v>0</v>
      </c>
      <c r="N47" s="629">
        <f>SUM(B47:M47)</f>
        <v>58721.46</v>
      </c>
      <c r="O47" s="431">
        <f>2125875+N47+794038</f>
        <v>2978634.46</v>
      </c>
      <c r="P47" s="439">
        <f>5600600-400000</f>
        <v>5200600</v>
      </c>
      <c r="Q47" s="430">
        <v>-400000</v>
      </c>
      <c r="R47" s="399">
        <f t="shared" si="13"/>
        <v>0.57274823289620425</v>
      </c>
      <c r="S47" s="413"/>
      <c r="T47" s="414"/>
      <c r="U47" s="414"/>
      <c r="V47" s="415"/>
    </row>
    <row r="48" spans="1:22">
      <c r="A48" s="238" t="s">
        <v>198</v>
      </c>
      <c r="B48" s="660">
        <v>0</v>
      </c>
      <c r="C48" s="661">
        <v>0</v>
      </c>
      <c r="D48" s="661">
        <v>0</v>
      </c>
      <c r="E48" s="661">
        <v>0</v>
      </c>
      <c r="F48" s="661">
        <v>0</v>
      </c>
      <c r="G48" s="661">
        <v>0</v>
      </c>
      <c r="H48" s="661">
        <v>0</v>
      </c>
      <c r="I48" s="661">
        <v>0</v>
      </c>
      <c r="J48" s="661">
        <v>0</v>
      </c>
      <c r="K48" s="661">
        <v>0</v>
      </c>
      <c r="L48" s="661">
        <v>0</v>
      </c>
      <c r="M48" s="662">
        <v>0</v>
      </c>
      <c r="N48" s="629">
        <f>SUM(B48:M48)</f>
        <v>0</v>
      </c>
      <c r="O48" s="431">
        <f>239456+N48+358515</f>
        <v>597971</v>
      </c>
      <c r="P48" s="440">
        <v>1000000</v>
      </c>
      <c r="Q48" s="430">
        <v>0</v>
      </c>
      <c r="R48" s="399">
        <f t="shared" si="13"/>
        <v>0.59797100000000003</v>
      </c>
      <c r="S48" s="413"/>
      <c r="T48" s="414"/>
      <c r="U48" s="414"/>
      <c r="V48" s="415"/>
    </row>
    <row r="49" spans="1:22">
      <c r="A49" s="573" t="s">
        <v>199</v>
      </c>
      <c r="B49" s="433">
        <f>SUM(B45:B48)</f>
        <v>29349.579999999994</v>
      </c>
      <c r="C49" s="434">
        <f t="shared" ref="C49:M49" si="14">SUM(C45:C48)</f>
        <v>143792.63</v>
      </c>
      <c r="D49" s="434">
        <f t="shared" si="14"/>
        <v>0</v>
      </c>
      <c r="E49" s="434">
        <f t="shared" si="14"/>
        <v>0</v>
      </c>
      <c r="F49" s="434">
        <f t="shared" si="14"/>
        <v>0</v>
      </c>
      <c r="G49" s="434">
        <f>SUM(G45:G48)</f>
        <v>0</v>
      </c>
      <c r="H49" s="434">
        <f t="shared" si="14"/>
        <v>0</v>
      </c>
      <c r="I49" s="434">
        <f t="shared" si="14"/>
        <v>0</v>
      </c>
      <c r="J49" s="434">
        <f t="shared" si="14"/>
        <v>0</v>
      </c>
      <c r="K49" s="434">
        <f t="shared" si="14"/>
        <v>0</v>
      </c>
      <c r="L49" s="434">
        <f t="shared" si="14"/>
        <v>0</v>
      </c>
      <c r="M49" s="434">
        <f t="shared" si="14"/>
        <v>0</v>
      </c>
      <c r="N49" s="436">
        <f>N48+N47+N46+N45</f>
        <v>173142.21</v>
      </c>
      <c r="O49" s="436">
        <f>SUM(O45:O48)</f>
        <v>12846256.210000001</v>
      </c>
      <c r="P49" s="435">
        <f>SUM(P45:P48)</f>
        <v>18643600</v>
      </c>
      <c r="Q49" s="436">
        <f>SUM(Q45:Q48)</f>
        <v>0</v>
      </c>
      <c r="R49" s="401">
        <f>O49/P49</f>
        <v>0.68904375817975072</v>
      </c>
      <c r="S49" s="413"/>
      <c r="T49" s="414"/>
      <c r="U49" s="414"/>
      <c r="V49" s="414"/>
    </row>
    <row r="50" spans="1:22">
      <c r="A50" s="237"/>
      <c r="B50" s="429"/>
      <c r="C50" s="431"/>
      <c r="D50" s="431"/>
      <c r="E50" s="431"/>
      <c r="F50" s="366"/>
      <c r="G50" s="431"/>
      <c r="H50" s="366"/>
      <c r="I50" s="366"/>
      <c r="J50" s="366"/>
      <c r="K50" s="366"/>
      <c r="L50" s="366"/>
      <c r="M50" s="366"/>
      <c r="N50" s="430"/>
      <c r="O50" s="430"/>
      <c r="P50" s="432"/>
      <c r="Q50" s="430"/>
      <c r="R50" s="399"/>
      <c r="S50" s="413"/>
      <c r="T50" s="414"/>
      <c r="U50" s="414"/>
      <c r="V50" s="414"/>
    </row>
    <row r="51" spans="1:22" ht="15" customHeight="1">
      <c r="A51" s="577" t="s">
        <v>200</v>
      </c>
      <c r="B51" s="574">
        <f>B49+B42+B38+B30+B24+B20+B16</f>
        <v>278204.06</v>
      </c>
      <c r="C51" s="575">
        <f>C49+C42+C38+C30+C24+C20+C16</f>
        <v>356531.47</v>
      </c>
      <c r="D51" s="575">
        <f t="shared" ref="D51:M51" si="15">D49+D42+D38+D30+D24+D20+D16</f>
        <v>0</v>
      </c>
      <c r="E51" s="575">
        <f t="shared" si="15"/>
        <v>0</v>
      </c>
      <c r="F51" s="575">
        <f t="shared" si="15"/>
        <v>0</v>
      </c>
      <c r="G51" s="575">
        <f t="shared" si="15"/>
        <v>0</v>
      </c>
      <c r="H51" s="575">
        <f t="shared" si="15"/>
        <v>0</v>
      </c>
      <c r="I51" s="575">
        <f t="shared" si="15"/>
        <v>0</v>
      </c>
      <c r="J51" s="575">
        <f t="shared" si="15"/>
        <v>0</v>
      </c>
      <c r="K51" s="575">
        <f t="shared" si="15"/>
        <v>0</v>
      </c>
      <c r="L51" s="575">
        <f t="shared" si="15"/>
        <v>0</v>
      </c>
      <c r="M51" s="575">
        <f t="shared" si="15"/>
        <v>0</v>
      </c>
      <c r="N51" s="436">
        <f>N49+N42+N38+N30+N24+N20+N16</f>
        <v>634735.53</v>
      </c>
      <c r="O51" s="436">
        <f>O49+O42+O38+O30+O24+O20+O16</f>
        <v>35446590.189999998</v>
      </c>
      <c r="P51" s="578">
        <f>P49+P42+P38+P30+P24+P20+P16</f>
        <v>83088102</v>
      </c>
      <c r="Q51" s="578">
        <f>Q16+Q30+Q49</f>
        <v>0</v>
      </c>
      <c r="R51" s="401">
        <f>O51/P51</f>
        <v>0.4266145132307872</v>
      </c>
      <c r="S51" s="413"/>
      <c r="T51" s="414"/>
      <c r="U51" s="414"/>
      <c r="V51" s="415"/>
    </row>
    <row r="52" spans="1:22" ht="15" customHeight="1">
      <c r="A52" s="579"/>
      <c r="B52" s="367"/>
      <c r="C52" s="366"/>
      <c r="D52" s="366"/>
      <c r="E52" s="366"/>
      <c r="F52" s="366"/>
      <c r="G52" s="368"/>
      <c r="H52" s="366"/>
      <c r="I52" s="366"/>
      <c r="J52" s="366"/>
      <c r="K52" s="366"/>
      <c r="L52" s="366"/>
      <c r="M52" s="366"/>
      <c r="N52" s="366"/>
      <c r="O52" s="366"/>
      <c r="P52" s="366" t="s">
        <v>56</v>
      </c>
      <c r="Q52" s="366"/>
      <c r="R52" s="397"/>
      <c r="S52" s="413"/>
      <c r="T52" s="414"/>
      <c r="U52" s="414"/>
      <c r="V52" s="414"/>
    </row>
    <row r="53" spans="1:22" ht="10.5" customHeight="1" thickBot="1">
      <c r="A53" s="149"/>
      <c r="B53" s="147"/>
      <c r="C53" s="106"/>
      <c r="D53" s="106"/>
      <c r="E53" s="106"/>
      <c r="F53" s="106"/>
      <c r="G53" s="106"/>
      <c r="H53" s="106"/>
      <c r="I53" s="106"/>
      <c r="J53" s="106"/>
      <c r="K53" s="106"/>
      <c r="L53" s="106"/>
      <c r="M53" s="106"/>
      <c r="N53" s="106"/>
      <c r="O53" s="106"/>
      <c r="P53" s="107"/>
      <c r="Q53" s="107"/>
      <c r="R53" s="234"/>
    </row>
    <row r="54" spans="1:22">
      <c r="A54" s="144"/>
      <c r="G54" s="195"/>
      <c r="P54" s="195" t="s">
        <v>56</v>
      </c>
    </row>
    <row r="55" spans="1:22" ht="15">
      <c r="A55" s="207" t="s">
        <v>67</v>
      </c>
      <c r="B55" s="144"/>
      <c r="N55" s="268"/>
      <c r="P55" s="98" t="s">
        <v>56</v>
      </c>
    </row>
    <row r="56" spans="1:22" ht="14.25">
      <c r="A56" s="618" t="s">
        <v>331</v>
      </c>
    </row>
    <row r="57" spans="1:22" ht="16.5">
      <c r="A57" s="247" t="s">
        <v>312</v>
      </c>
    </row>
    <row r="59" spans="1:22" ht="15">
      <c r="A59" s="181" t="s">
        <v>77</v>
      </c>
    </row>
  </sheetData>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3" ma:contentTypeDescription="Create a new document." ma:contentTypeScope="" ma:versionID="f03f3fb50594f1ca4be9b67cacc566f6">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b63f42fbf8a6295edfde7bedbafa4ccd"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7RCVYNPDDY4V-1526832976-138</_dlc_DocId>
    <_dlc_DocIdUrl xmlns="9bf079a2-8838-46e4-a25e-754293e27338">
      <Url>https://sempra.sharepoint.com/teams/sdgecp/po/drps/_layouts/15/DocIdRedir.aspx?ID=7RCVYNPDDY4V-1526832976-138</Url>
      <Description>7RCVYNPDDY4V-1526832976-138</Description>
    </_dlc_DocIdUrl>
    <SharedWithUsers xmlns="9bf079a2-8838-46e4-a25e-754293e27338">
      <UserInfo>
        <DisplayName>Valdivieso, Guillermo</DisplayName>
        <AccountId>212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F042AA-8501-43B8-A0B2-A6DDA6F37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9bf079a2-8838-46e4-a25e-754293e27338"/>
    <ds:schemaRef ds:uri="http://schemas.microsoft.com/office/infopath/2007/PartnerControls"/>
    <ds:schemaRef ds:uri="http://purl.org/dc/elements/1.1/"/>
    <ds:schemaRef ds:uri="http://schemas.microsoft.com/office/2006/metadata/properties"/>
    <ds:schemaRef ds:uri="3186f035-0cdb-442a-b3b5-e1bf8686ba54"/>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4.xml><?xml version="1.0" encoding="utf-8"?>
<ds:datastoreItem xmlns:ds="http://schemas.openxmlformats.org/officeDocument/2006/customXml" ds:itemID="{680486D6-920A-4B96-82F8-54628C0563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-AMDRMA Balance</vt:lpstr>
      <vt:lpstr>SDGE Costs -GRC </vt:lpstr>
      <vt:lpstr>SDGE Costs -DPDRMA</vt:lpstr>
      <vt:lpstr>SDGE Costs -ELRP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2022-03-21T15:50:13Z</cp:lastPrinted>
  <dcterms:created xsi:type="dcterms:W3CDTF">2013-01-03T17:03:43Z</dcterms:created>
  <dcterms:modified xsi:type="dcterms:W3CDTF">2022-03-21T15:50:15Z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ef6a74cd-994d-4b7e-a209-858ee100c5c6</vt:lpwstr>
  </property>
  <property fmtid="{D5CDD505-2E9C-101B-9397-08002B2CF9AE}" pid="8" name="SharedWithUsers">
    <vt:lpwstr>212;#Valdivieso, Guillermo</vt:lpwstr>
  </property>
  <property fmtid="{D5CDD505-2E9C-101B-9397-08002B2CF9AE}" pid="9" name="CofWorkbookId">
    <vt:lpwstr>8e26aa25-d8d7-42f2-ae67-b583e13943a3</vt:lpwstr>
  </property>
</Properties>
</file>