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drawings/drawing1.xml" ContentType="application/vnd.openxmlformats-officedocument.drawing+xml"/>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11"/>
  <workbookPr codeName="ThisWorkbook" defaultThemeVersion="124226"/>
  <mc:AlternateContent xmlns:mc="http://schemas.openxmlformats.org/markup-compatibility/2006">
    <mc:Choice Requires="x15">
      <x15ac:absPath xmlns:x15ac="http://schemas.microsoft.com/office/spreadsheetml/2010/11/ac" url="https://sempra.sharepoint.com/teams/sdgecp/po/drps/CPUC Reporting/Current Year/DR Monthly Report/"/>
    </mc:Choice>
  </mc:AlternateContent>
  <xr:revisionPtr revIDLastSave="0" documentId="8_{ED914E38-F886-479E-B57E-68A330CE1D70}" xr6:coauthVersionLast="47" xr6:coauthVersionMax="47" xr10:uidLastSave="{00000000-0000-0000-0000-000000000000}"/>
  <bookViews>
    <workbookView xWindow="38290" yWindow="-110" windowWidth="38620" windowHeight="21220" tabRatio="873" firstSheet="8" activeTab="8"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Event Summary" sheetId="57" r:id="rId6"/>
    <sheet name="DRP Expenditures" sheetId="117" r:id="rId7"/>
    <sheet name="Auto DR (TI) &amp; Tech Deployment" sheetId="131" r:id="rId8"/>
    <sheet name="Marketing" sheetId="134" r:id="rId9"/>
    <sheet name="Fund Shift Log" sheetId="29" r:id="rId10"/>
    <sheet name="SDGE Costs -AMDRMA Balance" sheetId="119" r:id="rId11"/>
    <sheet name="SDGE Costs -GRC " sheetId="120" r:id="rId12"/>
    <sheet name="SDGE Costs -DPDRMA" sheetId="129" r:id="rId13"/>
    <sheet name="SDGE Costs -ELRP" sheetId="138" r:id="rId14"/>
    <sheet name="SDGE Costs -FABA" sheetId="139" r:id="rId15"/>
  </sheets>
  <externalReferences>
    <externalReference r:id="rId16"/>
    <externalReference r:id="rId17"/>
  </externalReferences>
  <definedNames>
    <definedName name="_AMO_UniqueIdentifier" hidden="1">"'149b2d1a-72c1-44e5-bc61-8e647e92c66a'"</definedName>
    <definedName name="_DAT1" localSheetId="6">#REF!</definedName>
    <definedName name="_DAT1" localSheetId="8">#REF!</definedName>
    <definedName name="_DAT1" localSheetId="10">#REF!</definedName>
    <definedName name="_DAT1" localSheetId="12">#REF!</definedName>
    <definedName name="_DAT1" localSheetId="13">'SDGE Costs -ELRP'!#REF!</definedName>
    <definedName name="_DAT1" localSheetId="14">'SDGE Costs -FABA'!#REF!</definedName>
    <definedName name="_DAT1">#REF!</definedName>
    <definedName name="_DAT10" localSheetId="6">#REF!</definedName>
    <definedName name="_DAT10" localSheetId="8">#REF!</definedName>
    <definedName name="_DAT10" localSheetId="12">#REF!</definedName>
    <definedName name="_DAT10" localSheetId="13">'SDGE Costs -ELRP'!#REF!</definedName>
    <definedName name="_DAT10" localSheetId="14">'SDGE Costs -FABA'!#REF!</definedName>
    <definedName name="_DAT10">#REF!</definedName>
    <definedName name="_DAT11" localSheetId="6">#REF!</definedName>
    <definedName name="_DAT11" localSheetId="8">#REF!</definedName>
    <definedName name="_DAT11" localSheetId="12">#REF!</definedName>
    <definedName name="_DAT11" localSheetId="13">'SDGE Costs -ELRP'!#REF!</definedName>
    <definedName name="_DAT11" localSheetId="14">'SDGE Costs -FABA'!#REF!</definedName>
    <definedName name="_DAT11">#REF!</definedName>
    <definedName name="_DAT12" localSheetId="6">#REF!</definedName>
    <definedName name="_DAT12" localSheetId="12">#REF!</definedName>
    <definedName name="_DAT12" localSheetId="13">'SDGE Costs -ELRP'!#REF!</definedName>
    <definedName name="_DAT12" localSheetId="14">'SDGE Costs -FABA'!#REF!</definedName>
    <definedName name="_DAT12">#REF!</definedName>
    <definedName name="_DAT13" localSheetId="6">#REF!</definedName>
    <definedName name="_DAT13" localSheetId="12">#REF!</definedName>
    <definedName name="_DAT13" localSheetId="13">'SDGE Costs -ELRP'!#REF!</definedName>
    <definedName name="_DAT13" localSheetId="14">'SDGE Costs -FABA'!#REF!</definedName>
    <definedName name="_DAT13">#REF!</definedName>
    <definedName name="_DAT14" localSheetId="6">#REF!</definedName>
    <definedName name="_DAT14" localSheetId="12">#REF!</definedName>
    <definedName name="_DAT14" localSheetId="13">'SDGE Costs -ELRP'!#REF!</definedName>
    <definedName name="_DAT14" localSheetId="14">'SDGE Costs -FABA'!#REF!</definedName>
    <definedName name="_DAT14">#REF!</definedName>
    <definedName name="_DAT15" localSheetId="6">#REF!</definedName>
    <definedName name="_DAT15" localSheetId="12">#REF!</definedName>
    <definedName name="_DAT15" localSheetId="13">'SDGE Costs -ELRP'!#REF!</definedName>
    <definedName name="_DAT15" localSheetId="14">'SDGE Costs -FABA'!#REF!</definedName>
    <definedName name="_DAT15">#REF!</definedName>
    <definedName name="_DAT16" localSheetId="6">#REF!</definedName>
    <definedName name="_DAT16" localSheetId="12">#REF!</definedName>
    <definedName name="_DAT16" localSheetId="13">'SDGE Costs -ELRP'!#REF!</definedName>
    <definedName name="_DAT16" localSheetId="14">'SDGE Costs -FABA'!#REF!</definedName>
    <definedName name="_DAT16">#REF!</definedName>
    <definedName name="_DAT17" localSheetId="6">#REF!</definedName>
    <definedName name="_DAT17" localSheetId="12">#REF!</definedName>
    <definedName name="_DAT17" localSheetId="13">'SDGE Costs -ELRP'!#REF!</definedName>
    <definedName name="_DAT17" localSheetId="14">'SDGE Costs -FABA'!#REF!</definedName>
    <definedName name="_DAT17">#REF!</definedName>
    <definedName name="_DAT2" localSheetId="6">#REF!</definedName>
    <definedName name="_DAT2" localSheetId="12">#REF!</definedName>
    <definedName name="_DAT2" localSheetId="13">'SDGE Costs -ELRP'!#REF!</definedName>
    <definedName name="_DAT2" localSheetId="14">'SDGE Costs -FABA'!#REF!</definedName>
    <definedName name="_DAT2">#REF!</definedName>
    <definedName name="_DAT3" localSheetId="6">#REF!</definedName>
    <definedName name="_DAT3" localSheetId="12">#REF!</definedName>
    <definedName name="_DAT3" localSheetId="13">'SDGE Costs -ELRP'!#REF!</definedName>
    <definedName name="_DAT3" localSheetId="14">'SDGE Costs -FABA'!#REF!</definedName>
    <definedName name="_DAT3">#REF!</definedName>
    <definedName name="_DAT4" localSheetId="6">#REF!</definedName>
    <definedName name="_DAT4" localSheetId="12">#REF!</definedName>
    <definedName name="_DAT4" localSheetId="13">'SDGE Costs -ELRP'!#REF!</definedName>
    <definedName name="_DAT4" localSheetId="14">'SDGE Costs -FABA'!#REF!</definedName>
    <definedName name="_DAT4">#REF!</definedName>
    <definedName name="_DAT5" localSheetId="6">#REF!</definedName>
    <definedName name="_DAT5" localSheetId="12">#REF!</definedName>
    <definedName name="_DAT5" localSheetId="13">'SDGE Costs -ELRP'!#REF!</definedName>
    <definedName name="_DAT5" localSheetId="14">'SDGE Costs -FABA'!#REF!</definedName>
    <definedName name="_DAT5">#REF!</definedName>
    <definedName name="_DAT6" localSheetId="6">#REF!</definedName>
    <definedName name="_DAT6" localSheetId="12">#REF!</definedName>
    <definedName name="_DAT6" localSheetId="13">'SDGE Costs -ELRP'!#REF!</definedName>
    <definedName name="_DAT6" localSheetId="14">'SDGE Costs -FABA'!#REF!</definedName>
    <definedName name="_DAT6">#REF!</definedName>
    <definedName name="_DAT7" localSheetId="6">#REF!</definedName>
    <definedName name="_DAT7" localSheetId="12">#REF!</definedName>
    <definedName name="_DAT7" localSheetId="13">'SDGE Costs -ELRP'!#REF!</definedName>
    <definedName name="_DAT7" localSheetId="14">'SDGE Costs -FABA'!#REF!</definedName>
    <definedName name="_DAT7">#REF!</definedName>
    <definedName name="_DAT8" localSheetId="6">#REF!</definedName>
    <definedName name="_DAT8" localSheetId="12">#REF!</definedName>
    <definedName name="_DAT8" localSheetId="13">'SDGE Costs -ELRP'!#REF!</definedName>
    <definedName name="_DAT8" localSheetId="14">'SDGE Costs -FABA'!#REF!</definedName>
    <definedName name="_DAT8">#REF!</definedName>
    <definedName name="_DAT9" localSheetId="6">#REF!</definedName>
    <definedName name="_DAT9" localSheetId="12">#REF!</definedName>
    <definedName name="_DAT9" localSheetId="13">'SDGE Costs -ELRP'!#REF!</definedName>
    <definedName name="_DAT9" localSheetId="14">'SDGE Costs -FABA'!#REF!</definedName>
    <definedName name="_DAT9">#REF!</definedName>
    <definedName name="_xlnm._FilterDatabase" localSheetId="5" hidden="1">'Event Summary'!$A$8:$G$10</definedName>
    <definedName name="Achieve_GRC" localSheetId="6">#REF!</definedName>
    <definedName name="Achieve_GRC" localSheetId="2">#REF!</definedName>
    <definedName name="Achieve_GRC" localSheetId="3">#REF!</definedName>
    <definedName name="Achieve_GRC" localSheetId="1">#REF!</definedName>
    <definedName name="Achieve_GRC" localSheetId="12">#REF!</definedName>
    <definedName name="Achieve_GRC" localSheetId="13">'SDGE Costs -ELRP'!#REF!</definedName>
    <definedName name="Achieve_GRC" localSheetId="14">'SDGE Costs -FABA'!#REF!</definedName>
    <definedName name="Achieve_GRC" localSheetId="4">#REF!</definedName>
    <definedName name="Achieve_GRC">#REF!</definedName>
    <definedName name="Achieve_Service_Excellenc" localSheetId="6">#REF!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2">#REF!</definedName>
    <definedName name="Achieve_Service_Excellenc" localSheetId="13">'SDGE Costs -ELRP'!#REF!</definedName>
    <definedName name="Achieve_Service_Excellenc" localSheetId="14">'SDGE Costs -FABA'!#REF!</definedName>
    <definedName name="Achieve_Service_Excellenc" localSheetId="4">#REF!</definedName>
    <definedName name="Achieve_Service_Excellenc">#REF!</definedName>
    <definedName name="Achieve_Service_Excellence" localSheetId="6">#REF!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2">#REF!</definedName>
    <definedName name="Achieve_Service_Excellence" localSheetId="13">'SDGE Costs -ELRP'!#REF!</definedName>
    <definedName name="Achieve_Service_Excellence" localSheetId="14">'SDGE Costs -FABA'!#REF!</definedName>
    <definedName name="Achieve_Service_Excellence" localSheetId="4">#REF!</definedName>
    <definedName name="Achieve_Service_Excellence">#REF!</definedName>
    <definedName name="Collect_Revenue" localSheetId="6">#REF!</definedName>
    <definedName name="Collect_Revenue" localSheetId="2">#REF!</definedName>
    <definedName name="Collect_Revenue" localSheetId="3">#REF!</definedName>
    <definedName name="Collect_Revenue" localSheetId="1">#REF!</definedName>
    <definedName name="Collect_Revenue" localSheetId="12">#REF!</definedName>
    <definedName name="Collect_Revenue" localSheetId="13">'SDGE Costs -ELRP'!#REF!</definedName>
    <definedName name="Collect_Revenue" localSheetId="14">'SDGE Costs -FABA'!#REF!</definedName>
    <definedName name="Collect_Revenue" localSheetId="4">#REF!</definedName>
    <definedName name="Collect_Revenue">#REF!</definedName>
    <definedName name="DATA1" localSheetId="6">#REF!</definedName>
    <definedName name="DATA1" localSheetId="12">#REF!</definedName>
    <definedName name="DATA1" localSheetId="13">'SDGE Costs -ELRP'!#REF!</definedName>
    <definedName name="DATA1" localSheetId="14">'SDGE Costs -FABA'!#REF!</definedName>
    <definedName name="DATA1">#REF!</definedName>
    <definedName name="DATA10" localSheetId="6">#REF!</definedName>
    <definedName name="DATA10" localSheetId="12">#REF!</definedName>
    <definedName name="DATA10" localSheetId="13">'SDGE Costs -ELRP'!#REF!</definedName>
    <definedName name="DATA10" localSheetId="14">'SDGE Costs -FABA'!#REF!</definedName>
    <definedName name="DATA10">#REF!</definedName>
    <definedName name="DATA11" localSheetId="6">#REF!</definedName>
    <definedName name="DATA11" localSheetId="12">#REF!</definedName>
    <definedName name="DATA11" localSheetId="13">'SDGE Costs -ELRP'!#REF!</definedName>
    <definedName name="DATA11" localSheetId="14">'SDGE Costs -FABA'!#REF!</definedName>
    <definedName name="DATA11">#REF!</definedName>
    <definedName name="DATA12" localSheetId="6">#REF!</definedName>
    <definedName name="DATA12" localSheetId="12">#REF!</definedName>
    <definedName name="DATA12" localSheetId="13">'SDGE Costs -ELRP'!#REF!</definedName>
    <definedName name="DATA12" localSheetId="14">'SDGE Costs -FABA'!#REF!</definedName>
    <definedName name="DATA12">#REF!</definedName>
    <definedName name="DATA13" localSheetId="6">#REF!</definedName>
    <definedName name="DATA13" localSheetId="12">#REF!</definedName>
    <definedName name="DATA13" localSheetId="13">'SDGE Costs -ELRP'!#REF!</definedName>
    <definedName name="DATA13" localSheetId="14">'SDGE Costs -FABA'!#REF!</definedName>
    <definedName name="DATA13">#REF!</definedName>
    <definedName name="DATA14" localSheetId="6">#REF!</definedName>
    <definedName name="DATA14" localSheetId="12">#REF!</definedName>
    <definedName name="DATA14" localSheetId="13">'SDGE Costs -ELRP'!#REF!</definedName>
    <definedName name="DATA14" localSheetId="14">'SDGE Costs -FABA'!#REF!</definedName>
    <definedName name="DATA14">#REF!</definedName>
    <definedName name="DATA15" localSheetId="6">#REF!</definedName>
    <definedName name="DATA15" localSheetId="12">#REF!</definedName>
    <definedName name="DATA15" localSheetId="13">'SDGE Costs -ELRP'!#REF!</definedName>
    <definedName name="DATA15" localSheetId="14">'SDGE Costs -FABA'!#REF!</definedName>
    <definedName name="DATA15">#REF!</definedName>
    <definedName name="DATA16" localSheetId="6">#REF!</definedName>
    <definedName name="DATA16" localSheetId="12">#REF!</definedName>
    <definedName name="DATA16" localSheetId="13">'SDGE Costs -ELRP'!#REF!</definedName>
    <definedName name="DATA16" localSheetId="14">'SDGE Costs -FABA'!#REF!</definedName>
    <definedName name="DATA16">#REF!</definedName>
    <definedName name="DATA17" localSheetId="6">#REF!</definedName>
    <definedName name="DATA17" localSheetId="12">#REF!</definedName>
    <definedName name="DATA17" localSheetId="13">'SDGE Costs -ELRP'!#REF!</definedName>
    <definedName name="DATA17" localSheetId="14">'SDGE Costs -FABA'!#REF!</definedName>
    <definedName name="DATA17">#REF!</definedName>
    <definedName name="DATA18" localSheetId="6">#REF!</definedName>
    <definedName name="DATA18" localSheetId="12">#REF!</definedName>
    <definedName name="DATA18" localSheetId="13">'SDGE Costs -ELRP'!#REF!</definedName>
    <definedName name="DATA18" localSheetId="14">'SDGE Costs -FABA'!#REF!</definedName>
    <definedName name="DATA18">#REF!</definedName>
    <definedName name="DATA19" localSheetId="6">#REF!</definedName>
    <definedName name="DATA19" localSheetId="12">#REF!</definedName>
    <definedName name="DATA19" localSheetId="13">'SDGE Costs -ELRP'!#REF!</definedName>
    <definedName name="DATA19" localSheetId="14">'SDGE Costs -FABA'!#REF!</definedName>
    <definedName name="DATA19">#REF!</definedName>
    <definedName name="DATA2" localSheetId="6">#REF!</definedName>
    <definedName name="DATA2" localSheetId="12">#REF!</definedName>
    <definedName name="DATA2" localSheetId="13">'SDGE Costs -ELRP'!#REF!</definedName>
    <definedName name="DATA2" localSheetId="14">'SDGE Costs -FABA'!#REF!</definedName>
    <definedName name="DATA2">#REF!</definedName>
    <definedName name="DATA20" localSheetId="6">#REF!</definedName>
    <definedName name="DATA20" localSheetId="12">#REF!</definedName>
    <definedName name="DATA20" localSheetId="13">'SDGE Costs -ELRP'!#REF!</definedName>
    <definedName name="DATA20" localSheetId="14">'SDGE Costs -FABA'!#REF!</definedName>
    <definedName name="DATA20">#REF!</definedName>
    <definedName name="DATA3" localSheetId="6">#REF!</definedName>
    <definedName name="DATA3" localSheetId="12">#REF!</definedName>
    <definedName name="DATA3" localSheetId="13">'SDGE Costs -ELRP'!#REF!</definedName>
    <definedName name="DATA3" localSheetId="14">'SDGE Costs -FABA'!#REF!</definedName>
    <definedName name="DATA3">#REF!</definedName>
    <definedName name="DATA4" localSheetId="6">#REF!</definedName>
    <definedName name="DATA4" localSheetId="12">#REF!</definedName>
    <definedName name="DATA4" localSheetId="13">'SDGE Costs -ELRP'!#REF!</definedName>
    <definedName name="DATA4" localSheetId="14">'SDGE Costs -FABA'!#REF!</definedName>
    <definedName name="DATA4">#REF!</definedName>
    <definedName name="DATA5" localSheetId="6">#REF!</definedName>
    <definedName name="DATA5" localSheetId="12">#REF!</definedName>
    <definedName name="DATA5" localSheetId="13">'SDGE Costs -ELRP'!#REF!</definedName>
    <definedName name="DATA5" localSheetId="14">'SDGE Costs -FABA'!#REF!</definedName>
    <definedName name="DATA5">#REF!</definedName>
    <definedName name="data5000">'[1]ACTMA Detail'!$N$2:$N$102</definedName>
    <definedName name="DATA6" localSheetId="6">#REF!</definedName>
    <definedName name="DATA6" localSheetId="8">#REF!</definedName>
    <definedName name="DATA6" localSheetId="12">#REF!</definedName>
    <definedName name="DATA6" localSheetId="13">'SDGE Costs -ELRP'!#REF!</definedName>
    <definedName name="DATA6" localSheetId="14">'SDGE Costs -FABA'!#REF!</definedName>
    <definedName name="DATA6">#REF!</definedName>
    <definedName name="DATA7" localSheetId="6">#REF!</definedName>
    <definedName name="DATA7" localSheetId="8">#REF!</definedName>
    <definedName name="DATA7" localSheetId="12">#REF!</definedName>
    <definedName name="DATA7" localSheetId="13">'SDGE Costs -ELRP'!#REF!</definedName>
    <definedName name="DATA7" localSheetId="14">'SDGE Costs -FABA'!#REF!</definedName>
    <definedName name="DATA7">#REF!</definedName>
    <definedName name="DATA8" localSheetId="6">#REF!</definedName>
    <definedName name="DATA8" localSheetId="8">#REF!</definedName>
    <definedName name="DATA8" localSheetId="12">#REF!</definedName>
    <definedName name="DATA8" localSheetId="13">'SDGE Costs -ELRP'!#REF!</definedName>
    <definedName name="DATA8" localSheetId="14">'SDGE Costs -FABA'!#REF!</definedName>
    <definedName name="DATA8">#REF!</definedName>
    <definedName name="DATA9" localSheetId="6">#REF!</definedName>
    <definedName name="DATA9" localSheetId="12">#REF!</definedName>
    <definedName name="DATA9" localSheetId="13">'SDGE Costs -ELRP'!#REF!</definedName>
    <definedName name="DATA9" localSheetId="14">'SDGE Costs -FABA'!#REF!</definedName>
    <definedName name="DATA9">#REF!</definedName>
    <definedName name="DayTypeList" localSheetId="6">[2]LOOKUP!$E$2:$E$14</definedName>
    <definedName name="DayTypeList" localSheetId="10">[2]LOOKUP!$E$2:$E$14</definedName>
    <definedName name="DayTypeList" localSheetId="12">[2]LOOKUP!$E$2:$E$14</definedName>
    <definedName name="DayTypeList" localSheetId="13">[2]LOOKUP!$E$2:$E$14</definedName>
    <definedName name="DayTypeList" localSheetId="14">[2]LOOKUP!$E$2:$E$14</definedName>
    <definedName name="DayTypeList" localSheetId="11">[2]LOOKUP!$E$2:$E$14</definedName>
    <definedName name="DayTypeList">[2]LOOKUP!$E$2:$E$14</definedName>
    <definedName name="Enhance_Delivery_Channels" localSheetId="6">#REF!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2">#REF!</definedName>
    <definedName name="Enhance_Delivery_Channels" localSheetId="13">'SDGE Costs -ELRP'!#REF!</definedName>
    <definedName name="Enhance_Delivery_Channels" localSheetId="14">'SDGE Costs -FABA'!#REF!</definedName>
    <definedName name="Enhance_Delivery_Channels" localSheetId="4">#REF!</definedName>
    <definedName name="Enhance_Delivery_Channels">#REF!</definedName>
    <definedName name="Ethics_and_Compliance" localSheetId="6">#REF!</definedName>
    <definedName name="Ethics_and_Compliance" localSheetId="2">#REF!</definedName>
    <definedName name="Ethics_and_Compliance" localSheetId="3">#REF!</definedName>
    <definedName name="Ethics_and_Compliance" localSheetId="1">#REF!</definedName>
    <definedName name="Ethics_and_Compliance" localSheetId="12">#REF!</definedName>
    <definedName name="Ethics_and_Compliance" localSheetId="13">'SDGE Costs -ELRP'!#REF!</definedName>
    <definedName name="Ethics_and_Compliance" localSheetId="14">'SDGE Costs -FABA'!#REF!</definedName>
    <definedName name="Ethics_and_Compliance" localSheetId="4">#REF!</definedName>
    <definedName name="Ethics_and_Compliance">#REF!</definedName>
    <definedName name="Launch_Refine_Market" localSheetId="6">#REF!</definedName>
    <definedName name="Launch_Refine_Market" localSheetId="2">#REF!</definedName>
    <definedName name="Launch_Refine_Market" localSheetId="3">#REF!</definedName>
    <definedName name="Launch_Refine_Market" localSheetId="1">#REF!</definedName>
    <definedName name="Launch_Refine_Market" localSheetId="12">#REF!</definedName>
    <definedName name="Launch_Refine_Market" localSheetId="13">'SDGE Costs -ELRP'!#REF!</definedName>
    <definedName name="Launch_Refine_Market" localSheetId="14">'SDGE Costs -FABA'!#REF!</definedName>
    <definedName name="Launch_Refine_Market" localSheetId="4">#REF!</definedName>
    <definedName name="Launch_Refine_Market">#REF!</definedName>
    <definedName name="Manage_AMI" localSheetId="6">#REF!</definedName>
    <definedName name="Manage_AMI" localSheetId="2">#REF!</definedName>
    <definedName name="Manage_AMI" localSheetId="3">#REF!</definedName>
    <definedName name="Manage_AMI" localSheetId="1">#REF!</definedName>
    <definedName name="Manage_AMI" localSheetId="12">#REF!</definedName>
    <definedName name="Manage_AMI" localSheetId="13">'SDGE Costs -ELRP'!#REF!</definedName>
    <definedName name="Manage_AMI" localSheetId="14">'SDGE Costs -FABA'!#REF!</definedName>
    <definedName name="Manage_AMI" localSheetId="4">#REF!</definedName>
    <definedName name="Manage_AMI">#REF!</definedName>
    <definedName name="Meet_Financial_Targets" localSheetId="6">#REF!</definedName>
    <definedName name="Meet_Financial_Targets" localSheetId="2">#REF!</definedName>
    <definedName name="Meet_Financial_Targets" localSheetId="3">#REF!</definedName>
    <definedName name="Meet_Financial_Targets" localSheetId="1">#REF!</definedName>
    <definedName name="Meet_Financial_Targets" localSheetId="12">#REF!</definedName>
    <definedName name="Meet_Financial_Targets" localSheetId="13">'SDGE Costs -ELRP'!#REF!</definedName>
    <definedName name="Meet_Financial_Targets" localSheetId="14">'SDGE Costs -FABA'!#REF!</definedName>
    <definedName name="Meet_Financial_Targets" localSheetId="4">#REF!</definedName>
    <definedName name="Meet_Financial_Targets">#REF!</definedName>
    <definedName name="nnnnnn">'[1]ACTMA Detail'!$P$2:$P$102</definedName>
    <definedName name="_xlnm.Print_Area" localSheetId="7">'Auto DR (TI) &amp; Tech Deployment'!$A$1:$M$44</definedName>
    <definedName name="_xlnm.Print_Area" localSheetId="6">'DRP Expenditures'!$A$1:$X$60</definedName>
    <definedName name="_xlnm.Print_Area" localSheetId="2">'Ex ante LI &amp; Eligibility Stats'!$A$1:$O$19</definedName>
    <definedName name="_xlnm.Print_Area" localSheetId="3">'Ex post LI &amp; Eligibility Stats'!$A$1:$O$26</definedName>
    <definedName name="_xlnm.Print_Area" localSheetId="9">'Fund Shift Log'!$A$1:$E$23</definedName>
    <definedName name="_xlnm.Print_Area" localSheetId="8">Marketing!$A$1:$Q$43</definedName>
    <definedName name="_xlnm.Print_Area" localSheetId="1">'Program MW '!$A$1:$S$60</definedName>
    <definedName name="_xlnm.Print_Area" localSheetId="12">'SDGE Costs -DPDRMA'!$A$2:$N$45</definedName>
    <definedName name="_xlnm.Print_Area" localSheetId="13">'SDGE Costs -ELRP'!$A$2:$N$41</definedName>
    <definedName name="_xlnm.Print_Area" localSheetId="14">'SDGE Costs -FABA'!$A$2:$N$40</definedName>
    <definedName name="_xlnm.Print_Area" localSheetId="11">'SDGE Costs -GRC '!$A$1:$N$35</definedName>
    <definedName name="Reliability_Expectations" localSheetId="6">#REF!</definedName>
    <definedName name="Reliability_Expectations" localSheetId="2">#REF!</definedName>
    <definedName name="Reliability_Expectations" localSheetId="3">#REF!</definedName>
    <definedName name="Reliability_Expectations" localSheetId="8">#REF!</definedName>
    <definedName name="Reliability_Expectations" localSheetId="1">#REF!</definedName>
    <definedName name="Reliability_Expectations" localSheetId="12">#REF!</definedName>
    <definedName name="Reliability_Expectations" localSheetId="13">'SDGE Costs -ELRP'!#REF!</definedName>
    <definedName name="Reliability_Expectations" localSheetId="14">'SDGE Costs -FABA'!#REF!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6">#REF!</definedName>
    <definedName name="Stabilization_Customer_Base" localSheetId="2">#REF!</definedName>
    <definedName name="Stabilization_Customer_Base" localSheetId="3">#REF!</definedName>
    <definedName name="Stabilization_Customer_Base" localSheetId="8">#REF!</definedName>
    <definedName name="Stabilization_Customer_Base" localSheetId="1">#REF!</definedName>
    <definedName name="Stabilization_Customer_Base" localSheetId="12">#REF!</definedName>
    <definedName name="Stabilization_Customer_Base" localSheetId="13">'SDGE Costs -ELRP'!#REF!</definedName>
    <definedName name="Stabilization_Customer_Base" localSheetId="14">'SDGE Costs -FABA'!#REF!</definedName>
    <definedName name="Stabilization_Customer_Base" localSheetId="4">#REF!</definedName>
    <definedName name="Stabilization_Customer_Base">#REF!</definedName>
    <definedName name="TEST0" localSheetId="6">#REF!</definedName>
    <definedName name="TEST0" localSheetId="8">#REF!</definedName>
    <definedName name="TEST0" localSheetId="12">#REF!</definedName>
    <definedName name="TEST0" localSheetId="13">'SDGE Costs -ELRP'!#REF!</definedName>
    <definedName name="TEST0" localSheetId="14">'SDGE Costs -FABA'!#REF!</definedName>
    <definedName name="TEST0">#REF!</definedName>
    <definedName name="TEST1" localSheetId="6">#REF!</definedName>
    <definedName name="TEST1" localSheetId="12">#REF!</definedName>
    <definedName name="TEST1" localSheetId="13">'SDGE Costs -ELRP'!#REF!</definedName>
    <definedName name="TEST1" localSheetId="14">'SDGE Costs -FABA'!#REF!</definedName>
    <definedName name="TEST1">#REF!</definedName>
    <definedName name="TEST10" localSheetId="6">#REF!</definedName>
    <definedName name="TEST10" localSheetId="12">#REF!</definedName>
    <definedName name="TEST10" localSheetId="13">'SDGE Costs -ELRP'!#REF!</definedName>
    <definedName name="TEST10" localSheetId="14">'SDGE Costs -FABA'!#REF!</definedName>
    <definedName name="TEST10">#REF!</definedName>
    <definedName name="TEST11" localSheetId="6">#REF!</definedName>
    <definedName name="TEST11" localSheetId="12">#REF!</definedName>
    <definedName name="TEST11" localSheetId="13">'SDGE Costs -ELRP'!#REF!</definedName>
    <definedName name="TEST11" localSheetId="14">'SDGE Costs -FABA'!#REF!</definedName>
    <definedName name="TEST11">#REF!</definedName>
    <definedName name="TEST12" localSheetId="6">#REF!</definedName>
    <definedName name="TEST12" localSheetId="12">#REF!</definedName>
    <definedName name="TEST12" localSheetId="13">'SDGE Costs -ELRP'!#REF!</definedName>
    <definedName name="TEST12" localSheetId="14">'SDGE Costs -FABA'!#REF!</definedName>
    <definedName name="TEST12">#REF!</definedName>
    <definedName name="TEST13" localSheetId="6">#REF!</definedName>
    <definedName name="TEST13" localSheetId="12">#REF!</definedName>
    <definedName name="TEST13" localSheetId="13">'SDGE Costs -ELRP'!#REF!</definedName>
    <definedName name="TEST13" localSheetId="14">'SDGE Costs -FABA'!#REF!</definedName>
    <definedName name="TEST13">#REF!</definedName>
    <definedName name="TEST14" localSheetId="6">#REF!</definedName>
    <definedName name="TEST14" localSheetId="12">#REF!</definedName>
    <definedName name="TEST14" localSheetId="13">'SDGE Costs -ELRP'!#REF!</definedName>
    <definedName name="TEST14" localSheetId="14">'SDGE Costs -FABA'!#REF!</definedName>
    <definedName name="TEST14">#REF!</definedName>
    <definedName name="TEST15" localSheetId="6">#REF!</definedName>
    <definedName name="TEST15" localSheetId="12">#REF!</definedName>
    <definedName name="TEST15" localSheetId="13">'SDGE Costs -ELRP'!#REF!</definedName>
    <definedName name="TEST15" localSheetId="14">'SDGE Costs -FABA'!#REF!</definedName>
    <definedName name="TEST15">#REF!</definedName>
    <definedName name="TEST16" localSheetId="6">#REF!</definedName>
    <definedName name="TEST16" localSheetId="12">#REF!</definedName>
    <definedName name="TEST16" localSheetId="13">'SDGE Costs -ELRP'!#REF!</definedName>
    <definedName name="TEST16" localSheetId="14">'SDGE Costs -FABA'!#REF!</definedName>
    <definedName name="TEST16">#REF!</definedName>
    <definedName name="TEST17" localSheetId="6">#REF!</definedName>
    <definedName name="TEST17" localSheetId="12">#REF!</definedName>
    <definedName name="TEST17" localSheetId="13">'SDGE Costs -ELRP'!#REF!</definedName>
    <definedName name="TEST17" localSheetId="14">'SDGE Costs -FABA'!#REF!</definedName>
    <definedName name="TEST17">#REF!</definedName>
    <definedName name="TEST18" localSheetId="6">#REF!</definedName>
    <definedName name="TEST18" localSheetId="12">#REF!</definedName>
    <definedName name="TEST18" localSheetId="13">'SDGE Costs -ELRP'!#REF!</definedName>
    <definedName name="TEST18" localSheetId="14">'SDGE Costs -FABA'!#REF!</definedName>
    <definedName name="TEST18">#REF!</definedName>
    <definedName name="TEST19" localSheetId="6">#REF!</definedName>
    <definedName name="TEST19" localSheetId="12">#REF!</definedName>
    <definedName name="TEST19" localSheetId="13">'SDGE Costs -ELRP'!#REF!</definedName>
    <definedName name="TEST19" localSheetId="14">'SDGE Costs -FABA'!#REF!</definedName>
    <definedName name="TEST19">#REF!</definedName>
    <definedName name="TEST2" localSheetId="6">#REF!</definedName>
    <definedName name="TEST2" localSheetId="12">#REF!</definedName>
    <definedName name="TEST2" localSheetId="13">'SDGE Costs -ELRP'!#REF!</definedName>
    <definedName name="TEST2" localSheetId="14">'SDGE Costs -FABA'!#REF!</definedName>
    <definedName name="TEST2">#REF!</definedName>
    <definedName name="TEST20" localSheetId="6">#REF!</definedName>
    <definedName name="TEST20" localSheetId="12">#REF!</definedName>
    <definedName name="TEST20" localSheetId="13">'SDGE Costs -ELRP'!#REF!</definedName>
    <definedName name="TEST20" localSheetId="14">'SDGE Costs -FABA'!#REF!</definedName>
    <definedName name="TEST20">#REF!</definedName>
    <definedName name="TEST21" localSheetId="6">#REF!</definedName>
    <definedName name="TEST21" localSheetId="12">#REF!</definedName>
    <definedName name="TEST21" localSheetId="13">'SDGE Costs -ELRP'!#REF!</definedName>
    <definedName name="TEST21" localSheetId="14">'SDGE Costs -FABA'!#REF!</definedName>
    <definedName name="TEST21">#REF!</definedName>
    <definedName name="TEST22" localSheetId="6">#REF!</definedName>
    <definedName name="TEST22" localSheetId="12">#REF!</definedName>
    <definedName name="TEST22" localSheetId="13">'SDGE Costs -ELRP'!#REF!</definedName>
    <definedName name="TEST22" localSheetId="14">'SDGE Costs -FABA'!#REF!</definedName>
    <definedName name="TEST22">#REF!</definedName>
    <definedName name="TEST23" localSheetId="6">#REF!</definedName>
    <definedName name="TEST23" localSheetId="12">#REF!</definedName>
    <definedName name="TEST23" localSheetId="13">'SDGE Costs -ELRP'!#REF!</definedName>
    <definedName name="TEST23" localSheetId="14">'SDGE Costs -FABA'!#REF!</definedName>
    <definedName name="TEST23">#REF!</definedName>
    <definedName name="TEST24" localSheetId="6">#REF!</definedName>
    <definedName name="TEST24" localSheetId="12">#REF!</definedName>
    <definedName name="TEST24" localSheetId="13">'SDGE Costs -ELRP'!#REF!</definedName>
    <definedName name="TEST24" localSheetId="14">'SDGE Costs -FABA'!#REF!</definedName>
    <definedName name="TEST24">#REF!</definedName>
    <definedName name="TEST25" localSheetId="6">#REF!</definedName>
    <definedName name="TEST25" localSheetId="12">#REF!</definedName>
    <definedName name="TEST25" localSheetId="13">'SDGE Costs -ELRP'!#REF!</definedName>
    <definedName name="TEST25" localSheetId="14">'SDGE Costs -FABA'!#REF!</definedName>
    <definedName name="TEST25">#REF!</definedName>
    <definedName name="TEST26" localSheetId="6">#REF!</definedName>
    <definedName name="TEST26" localSheetId="12">#REF!</definedName>
    <definedName name="TEST26" localSheetId="13">'SDGE Costs -ELRP'!#REF!</definedName>
    <definedName name="TEST26" localSheetId="14">'SDGE Costs -FABA'!#REF!</definedName>
    <definedName name="TEST26">#REF!</definedName>
    <definedName name="TEST27" localSheetId="6">#REF!</definedName>
    <definedName name="TEST27" localSheetId="12">#REF!</definedName>
    <definedName name="TEST27" localSheetId="13">'SDGE Costs -ELRP'!#REF!</definedName>
    <definedName name="TEST27" localSheetId="14">'SDGE Costs -FABA'!#REF!</definedName>
    <definedName name="TEST27">#REF!</definedName>
    <definedName name="TEST28" localSheetId="6">#REF!</definedName>
    <definedName name="TEST28" localSheetId="12">#REF!</definedName>
    <definedName name="TEST28" localSheetId="13">'SDGE Costs -ELRP'!#REF!</definedName>
    <definedName name="TEST28" localSheetId="14">'SDGE Costs -FABA'!#REF!</definedName>
    <definedName name="TEST28">#REF!</definedName>
    <definedName name="TEST3" localSheetId="6">#REF!</definedName>
    <definedName name="TEST3" localSheetId="12">#REF!</definedName>
    <definedName name="TEST3" localSheetId="13">'SDGE Costs -ELRP'!#REF!</definedName>
    <definedName name="TEST3" localSheetId="14">'SDGE Costs -FABA'!#REF!</definedName>
    <definedName name="TEST3">#REF!</definedName>
    <definedName name="TEST4" localSheetId="6">#REF!</definedName>
    <definedName name="TEST4" localSheetId="12">#REF!</definedName>
    <definedName name="TEST4" localSheetId="13">'SDGE Costs -ELRP'!#REF!</definedName>
    <definedName name="TEST4" localSheetId="14">'SDGE Costs -FABA'!#REF!</definedName>
    <definedName name="TEST4">#REF!</definedName>
    <definedName name="TEST5" localSheetId="6">#REF!</definedName>
    <definedName name="TEST5" localSheetId="12">#REF!</definedName>
    <definedName name="TEST5" localSheetId="13">'SDGE Costs -ELRP'!#REF!</definedName>
    <definedName name="TEST5" localSheetId="14">'SDGE Costs -FABA'!#REF!</definedName>
    <definedName name="TEST5">#REF!</definedName>
    <definedName name="TEST6" localSheetId="6">#REF!</definedName>
    <definedName name="TEST6" localSheetId="12">#REF!</definedName>
    <definedName name="TEST6" localSheetId="13">'SDGE Costs -ELRP'!#REF!</definedName>
    <definedName name="TEST6" localSheetId="14">'SDGE Costs -FABA'!#REF!</definedName>
    <definedName name="TEST6">#REF!</definedName>
    <definedName name="TEST7" localSheetId="6">#REF!</definedName>
    <definedName name="TEST7" localSheetId="12">#REF!</definedName>
    <definedName name="TEST7" localSheetId="13">'SDGE Costs -ELRP'!#REF!</definedName>
    <definedName name="TEST7" localSheetId="14">'SDGE Costs -FABA'!#REF!</definedName>
    <definedName name="TEST7">#REF!</definedName>
    <definedName name="TEST8" localSheetId="6">#REF!</definedName>
    <definedName name="TEST8" localSheetId="12">#REF!</definedName>
    <definedName name="TEST8" localSheetId="13">'SDGE Costs -ELRP'!#REF!</definedName>
    <definedName name="TEST8" localSheetId="14">'SDGE Costs -FABA'!#REF!</definedName>
    <definedName name="TEST8">#REF!</definedName>
    <definedName name="TEST9" localSheetId="6">#REF!</definedName>
    <definedName name="TEST9" localSheetId="12">#REF!</definedName>
    <definedName name="TEST9" localSheetId="13">'SDGE Costs -ELRP'!#REF!</definedName>
    <definedName name="TEST9" localSheetId="14">'SDGE Costs -FABA'!#REF!</definedName>
    <definedName name="TEST9">#REF!</definedName>
    <definedName name="TESTHKEY" localSheetId="6">#REF!</definedName>
    <definedName name="TESTHKEY" localSheetId="12">#REF!</definedName>
    <definedName name="TESTHKEY" localSheetId="13">'SDGE Costs -ELRP'!#REF!</definedName>
    <definedName name="TESTHKEY" localSheetId="14">'SDGE Costs -FABA'!#REF!</definedName>
    <definedName name="TESTHKEY">#REF!</definedName>
    <definedName name="TESTKEYS" localSheetId="6">#REF!</definedName>
    <definedName name="TESTKEYS" localSheetId="12">#REF!</definedName>
    <definedName name="TESTKEYS" localSheetId="13">'SDGE Costs -ELRP'!#REF!</definedName>
    <definedName name="TESTKEYS" localSheetId="14">'SDGE Costs -FABA'!#REF!</definedName>
    <definedName name="TESTKEYS">#REF!</definedName>
    <definedName name="TESTVKEY" localSheetId="6">#REF!</definedName>
    <definedName name="TESTVKEY" localSheetId="12">#REF!</definedName>
    <definedName name="TESTVKEY" localSheetId="13">'SDGE Costs -ELRP'!#REF!</definedName>
    <definedName name="TESTVKEY" localSheetId="14">'SDGE Costs -FABA'!#REF!</definedName>
    <definedName name="TESTVKEY">#REF!</definedName>
    <definedName name="Valued_Service_Provider" localSheetId="6">#REF!</definedName>
    <definedName name="Valued_Service_Provider" localSheetId="2">#REF!</definedName>
    <definedName name="Valued_Service_Provider" localSheetId="3">#REF!</definedName>
    <definedName name="Valued_Service_Provider" localSheetId="1">#REF!</definedName>
    <definedName name="Valued_Service_Provider" localSheetId="12">#REF!</definedName>
    <definedName name="Valued_Service_Provider" localSheetId="13">'SDGE Costs -ELRP'!#REF!</definedName>
    <definedName name="Valued_Service_Provider" localSheetId="14">'SDGE Costs -FABA'!#REF!</definedName>
    <definedName name="Valued_Service_Provider" localSheetId="4">#REF!</definedName>
    <definedName name="Valued_Service_Provider">#REF!</definedName>
    <definedName name="Voice_of_Customer" localSheetId="6">#REF!</definedName>
    <definedName name="Voice_of_Customer" localSheetId="2">#REF!</definedName>
    <definedName name="Voice_of_Customer" localSheetId="3">#REF!</definedName>
    <definedName name="Voice_of_Customer" localSheetId="1">#REF!</definedName>
    <definedName name="Voice_of_Customer" localSheetId="12">#REF!</definedName>
    <definedName name="Voice_of_Customer" localSheetId="13">'SDGE Costs -ELRP'!#REF!</definedName>
    <definedName name="Voice_of_Customer" localSheetId="14">'SDGE Costs -FABA'!#REF!</definedName>
    <definedName name="Voice_of_Customer" localSheetId="4">#REF!</definedName>
    <definedName name="Voice_of_Customer">#REF!</definedName>
    <definedName name="Z_E5DF83AA_DC53_4EBF_A523_33DA0FE284E8_.wvu.PrintArea" localSheetId="3" hidden="1">'Ex post LI &amp; Eligibility Stats'!$A$2:$O$24</definedName>
    <definedName name="Z_E5DF83AA_DC53_4EBF_A523_33DA0FE284E8_.wvu.PrintArea" localSheetId="1" hidden="1">'Program MW '!$A$1:$Z$49</definedName>
    <definedName name="Z_E5DF83AA_DC53_4EBF_A523_33DA0FE284E8_.wvu.PrintArea" localSheetId="4" hidden="1">'TA-TI Distribution@'!#REF!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4" i="119" l="1"/>
  <c r="J14" i="117"/>
  <c r="J33" i="139"/>
  <c r="I33" i="139"/>
  <c r="J36" i="119" l="1"/>
  <c r="B17" i="29"/>
  <c r="J33" i="131"/>
  <c r="J23" i="131"/>
  <c r="J22" i="131"/>
  <c r="J24" i="131"/>
  <c r="J36" i="131"/>
  <c r="J34" i="131"/>
  <c r="J39" i="131"/>
  <c r="J35" i="131"/>
  <c r="J37" i="131"/>
  <c r="E3" i="119"/>
  <c r="I36" i="131"/>
  <c r="I34" i="131"/>
  <c r="I33" i="131"/>
  <c r="I24" i="131"/>
  <c r="I23" i="131"/>
  <c r="I22" i="131"/>
  <c r="N43" i="119" l="1"/>
  <c r="I14" i="117" l="1"/>
  <c r="I39" i="131" l="1"/>
  <c r="I35" i="131"/>
  <c r="I37" i="131"/>
  <c r="P29" i="117"/>
  <c r="Q49" i="117"/>
  <c r="Q38" i="117"/>
  <c r="P14" i="117"/>
  <c r="O37" i="117" l="1"/>
  <c r="P47" i="117"/>
  <c r="P46" i="117"/>
  <c r="P45" i="117"/>
  <c r="N20" i="129"/>
  <c r="N30" i="120"/>
  <c r="N28" i="120"/>
  <c r="N18" i="120"/>
  <c r="N13" i="120"/>
  <c r="N12" i="120"/>
  <c r="N11" i="120"/>
  <c r="N22" i="120"/>
  <c r="M28" i="120"/>
  <c r="L28" i="120"/>
  <c r="K28" i="120"/>
  <c r="J28" i="120"/>
  <c r="I28" i="120"/>
  <c r="H28" i="120"/>
  <c r="G28" i="120"/>
  <c r="F28" i="120"/>
  <c r="E28" i="120"/>
  <c r="D28" i="120"/>
  <c r="C28" i="120"/>
  <c r="B28" i="120"/>
  <c r="P16" i="117"/>
  <c r="P49" i="117" l="1"/>
  <c r="N23" i="134" l="1"/>
  <c r="N22" i="134"/>
  <c r="N29" i="119" l="1"/>
  <c r="F13" i="131"/>
  <c r="H24" i="131" l="1"/>
  <c r="H36" i="131"/>
  <c r="H34" i="131"/>
  <c r="H33" i="131"/>
  <c r="H39" i="131"/>
  <c r="H35" i="131"/>
  <c r="H37" i="131"/>
  <c r="H23" i="131"/>
  <c r="H22" i="131"/>
  <c r="E40" i="134" l="1"/>
  <c r="E39" i="134"/>
  <c r="E38" i="134"/>
  <c r="E32" i="134"/>
  <c r="G24" i="131" l="1"/>
  <c r="G39" i="131"/>
  <c r="G36" i="131"/>
  <c r="G34" i="131"/>
  <c r="G33" i="131"/>
  <c r="G35" i="131"/>
  <c r="G37" i="131"/>
  <c r="G23" i="131"/>
  <c r="G22" i="131"/>
  <c r="N31" i="139" l="1"/>
  <c r="M29" i="139"/>
  <c r="L29" i="139"/>
  <c r="K29" i="139"/>
  <c r="J29" i="139"/>
  <c r="I29" i="139"/>
  <c r="H29" i="139"/>
  <c r="G29" i="139"/>
  <c r="F29" i="139"/>
  <c r="E29" i="139"/>
  <c r="D29" i="139"/>
  <c r="C29" i="139"/>
  <c r="B29" i="139"/>
  <c r="N28" i="139"/>
  <c r="M25" i="139"/>
  <c r="L25" i="139"/>
  <c r="K25" i="139"/>
  <c r="J25" i="139"/>
  <c r="I25" i="139"/>
  <c r="H25" i="139"/>
  <c r="G25" i="139"/>
  <c r="F25" i="139"/>
  <c r="E25" i="139"/>
  <c r="D25" i="139"/>
  <c r="C25" i="139"/>
  <c r="B25" i="139"/>
  <c r="N24" i="139"/>
  <c r="M21" i="139"/>
  <c r="L21" i="139"/>
  <c r="K21" i="139"/>
  <c r="J21" i="139"/>
  <c r="I21" i="139"/>
  <c r="H21" i="139"/>
  <c r="G21" i="139"/>
  <c r="F21" i="139"/>
  <c r="E21" i="139"/>
  <c r="D21" i="139"/>
  <c r="C21" i="139"/>
  <c r="B21" i="139"/>
  <c r="N20" i="139"/>
  <c r="N19" i="139"/>
  <c r="N18" i="139"/>
  <c r="N17" i="139"/>
  <c r="M14" i="139"/>
  <c r="L14" i="139"/>
  <c r="K14" i="139"/>
  <c r="J14" i="139"/>
  <c r="J32" i="139" s="1"/>
  <c r="I14" i="139"/>
  <c r="H14" i="139"/>
  <c r="G14" i="139"/>
  <c r="F14" i="139"/>
  <c r="E14" i="139"/>
  <c r="D14" i="139"/>
  <c r="C14" i="139"/>
  <c r="B14" i="139"/>
  <c r="B32" i="139" s="1"/>
  <c r="B33" i="139" s="1"/>
  <c r="N13" i="139"/>
  <c r="N12" i="139"/>
  <c r="E5" i="139"/>
  <c r="N21" i="139" l="1"/>
  <c r="F32" i="139"/>
  <c r="F33" i="139" s="1"/>
  <c r="N25" i="139"/>
  <c r="C32" i="139"/>
  <c r="C33" i="139" s="1"/>
  <c r="G32" i="139"/>
  <c r="G33" i="139" s="1"/>
  <c r="K32" i="139"/>
  <c r="K33" i="139" s="1"/>
  <c r="N29" i="139"/>
  <c r="E32" i="139"/>
  <c r="E33" i="139" s="1"/>
  <c r="I32" i="139"/>
  <c r="M32" i="139"/>
  <c r="M33" i="139" s="1"/>
  <c r="D32" i="139"/>
  <c r="D33" i="139" s="1"/>
  <c r="H32" i="139"/>
  <c r="H33" i="139" s="1"/>
  <c r="L32" i="139"/>
  <c r="L33" i="139" s="1"/>
  <c r="N14" i="139"/>
  <c r="F24" i="131"/>
  <c r="F39" i="131"/>
  <c r="F36" i="131"/>
  <c r="F34" i="131"/>
  <c r="F33" i="131"/>
  <c r="F35" i="131"/>
  <c r="F37" i="131"/>
  <c r="F23" i="131"/>
  <c r="F22" i="131"/>
  <c r="M20" i="33"/>
  <c r="F21" i="33"/>
  <c r="I21" i="33"/>
  <c r="E24" i="131"/>
  <c r="E39" i="131"/>
  <c r="E37" i="131"/>
  <c r="E36" i="131"/>
  <c r="E35" i="131"/>
  <c r="E34" i="131"/>
  <c r="E33" i="131"/>
  <c r="E23" i="131"/>
  <c r="E22" i="131"/>
  <c r="B22" i="131"/>
  <c r="C37" i="131"/>
  <c r="B33" i="131"/>
  <c r="C33" i="131"/>
  <c r="C36" i="131"/>
  <c r="C34" i="131"/>
  <c r="C39" i="131"/>
  <c r="C35" i="131"/>
  <c r="C24" i="131"/>
  <c r="C23" i="131"/>
  <c r="C22" i="131"/>
  <c r="B39" i="131"/>
  <c r="B24" i="131"/>
  <c r="B37" i="131"/>
  <c r="B36" i="131"/>
  <c r="B35" i="131"/>
  <c r="B34" i="131"/>
  <c r="B23" i="131"/>
  <c r="D39" i="131"/>
  <c r="D24" i="131"/>
  <c r="D37" i="131"/>
  <c r="D36" i="131"/>
  <c r="D33" i="131"/>
  <c r="D22" i="131"/>
  <c r="D23" i="131"/>
  <c r="N21" i="134"/>
  <c r="O21" i="134" s="1"/>
  <c r="N32" i="139" l="1"/>
  <c r="N33" i="139"/>
  <c r="D35" i="131"/>
  <c r="D34" i="131"/>
  <c r="D15" i="138" l="1"/>
  <c r="C15" i="138"/>
  <c r="B15" i="138"/>
  <c r="N14" i="138"/>
  <c r="M15" i="138"/>
  <c r="L15" i="138"/>
  <c r="K15" i="138"/>
  <c r="J15" i="138"/>
  <c r="I15" i="138"/>
  <c r="H15" i="138"/>
  <c r="G15" i="138"/>
  <c r="F15" i="138"/>
  <c r="E15" i="138"/>
  <c r="N15" i="138" l="1"/>
  <c r="S28" i="33" l="1"/>
  <c r="P28" i="33"/>
  <c r="M28" i="33"/>
  <c r="J28" i="33"/>
  <c r="G28" i="33"/>
  <c r="D28" i="33"/>
  <c r="S6" i="33"/>
  <c r="P6" i="33"/>
  <c r="M6" i="33"/>
  <c r="J6" i="33"/>
  <c r="G6" i="33"/>
  <c r="D6" i="33"/>
  <c r="G20" i="33"/>
  <c r="F20" i="33"/>
  <c r="N13" i="138"/>
  <c r="M13" i="131" l="1"/>
  <c r="L13" i="131" l="1"/>
  <c r="J13" i="131" l="1"/>
  <c r="C4" i="57"/>
  <c r="I13" i="131" l="1"/>
  <c r="N32" i="138"/>
  <c r="N29" i="138"/>
  <c r="B30" i="138"/>
  <c r="C30" i="138"/>
  <c r="D30" i="138"/>
  <c r="E30" i="138"/>
  <c r="F30" i="138"/>
  <c r="G30" i="138"/>
  <c r="H30" i="138"/>
  <c r="I30" i="138"/>
  <c r="J30" i="138"/>
  <c r="K30" i="138"/>
  <c r="L30" i="138"/>
  <c r="M30" i="138"/>
  <c r="N25" i="138"/>
  <c r="B26" i="138"/>
  <c r="C26" i="138"/>
  <c r="D26" i="138"/>
  <c r="E26" i="138"/>
  <c r="F26" i="138"/>
  <c r="G26" i="138"/>
  <c r="H26" i="138"/>
  <c r="I26" i="138"/>
  <c r="J26" i="138"/>
  <c r="K26" i="138"/>
  <c r="L26" i="138"/>
  <c r="M26" i="138"/>
  <c r="N12" i="138"/>
  <c r="N18" i="138"/>
  <c r="N19" i="138"/>
  <c r="N20" i="138"/>
  <c r="N21" i="138"/>
  <c r="B22" i="138"/>
  <c r="C22" i="138"/>
  <c r="D22" i="138"/>
  <c r="D33" i="138" s="1"/>
  <c r="D34" i="138" s="1"/>
  <c r="E22" i="138"/>
  <c r="F22" i="138"/>
  <c r="G22" i="138"/>
  <c r="H22" i="138"/>
  <c r="I22" i="138"/>
  <c r="J22" i="138"/>
  <c r="K22" i="138"/>
  <c r="L22" i="138"/>
  <c r="M22" i="138"/>
  <c r="E5" i="138"/>
  <c r="N21" i="119"/>
  <c r="N35" i="117"/>
  <c r="O35" i="117" s="1"/>
  <c r="I26" i="134"/>
  <c r="H26" i="134"/>
  <c r="C33" i="138" l="1"/>
  <c r="C34" i="138" s="1"/>
  <c r="G33" i="138"/>
  <c r="G34" i="138" s="1"/>
  <c r="R35" i="117"/>
  <c r="H33" i="138"/>
  <c r="H34" i="138" s="1"/>
  <c r="L33" i="138"/>
  <c r="L34" i="138" s="1"/>
  <c r="K33" i="138"/>
  <c r="K34" i="138" s="1"/>
  <c r="J33" i="138"/>
  <c r="J34" i="138" s="1"/>
  <c r="F33" i="138"/>
  <c r="F34" i="138" s="1"/>
  <c r="B33" i="138"/>
  <c r="B34" i="138" s="1"/>
  <c r="N26" i="138"/>
  <c r="M33" i="138"/>
  <c r="M34" i="138" s="1"/>
  <c r="I33" i="138"/>
  <c r="I34" i="138" s="1"/>
  <c r="E33" i="138"/>
  <c r="E34" i="138" s="1"/>
  <c r="N30" i="138"/>
  <c r="N22" i="138"/>
  <c r="G34" i="134"/>
  <c r="N34" i="138" l="1"/>
  <c r="N33" i="138"/>
  <c r="F22" i="33" l="1"/>
  <c r="H32" i="129" l="1"/>
  <c r="Q11" i="134" l="1"/>
  <c r="O19" i="35" l="1"/>
  <c r="N19" i="35"/>
  <c r="O18" i="35"/>
  <c r="N18" i="35"/>
  <c r="O17" i="35"/>
  <c r="N17" i="35"/>
  <c r="O16" i="35"/>
  <c r="N16" i="35"/>
  <c r="O15" i="35"/>
  <c r="N15" i="35"/>
  <c r="O14" i="35"/>
  <c r="N14" i="35"/>
  <c r="O13" i="35"/>
  <c r="N13" i="35"/>
  <c r="O12" i="35"/>
  <c r="N12" i="35"/>
  <c r="O11" i="35"/>
  <c r="N11" i="35"/>
  <c r="O10" i="35"/>
  <c r="N10" i="35"/>
  <c r="O9" i="35"/>
  <c r="N9" i="35"/>
  <c r="C36" i="119" l="1"/>
  <c r="D36" i="119"/>
  <c r="E36" i="119"/>
  <c r="F36" i="119"/>
  <c r="G36" i="119"/>
  <c r="H36" i="119"/>
  <c r="I36" i="119"/>
  <c r="K36" i="119"/>
  <c r="L36" i="119"/>
  <c r="M36" i="119"/>
  <c r="M34" i="134" l="1"/>
  <c r="O37" i="33" l="1"/>
  <c r="K13" i="131" l="1"/>
  <c r="N12" i="134"/>
  <c r="O12" i="134" s="1"/>
  <c r="N13" i="134"/>
  <c r="N14" i="134"/>
  <c r="O14" i="134" s="1"/>
  <c r="N15" i="134"/>
  <c r="O15" i="134" s="1"/>
  <c r="N16" i="134"/>
  <c r="O16" i="134" s="1"/>
  <c r="N17" i="134"/>
  <c r="O17" i="134" s="1"/>
  <c r="N18" i="134"/>
  <c r="O18" i="134" s="1"/>
  <c r="N19" i="134"/>
  <c r="O19" i="134" s="1"/>
  <c r="N20" i="134"/>
  <c r="O20" i="134" s="1"/>
  <c r="N24" i="134"/>
  <c r="O24" i="134" s="1"/>
  <c r="N25" i="134"/>
  <c r="O25" i="134" s="1"/>
  <c r="N11" i="134"/>
  <c r="O11" i="134" s="1"/>
  <c r="N26" i="134" l="1"/>
  <c r="I41" i="33" l="1"/>
  <c r="J41" i="134" l="1"/>
  <c r="N10" i="119" l="1"/>
  <c r="N11" i="119"/>
  <c r="N12" i="119"/>
  <c r="N13" i="119"/>
  <c r="N14" i="119"/>
  <c r="N15" i="119"/>
  <c r="N16" i="119"/>
  <c r="N17" i="119"/>
  <c r="N18" i="119"/>
  <c r="N19" i="119"/>
  <c r="N20" i="119"/>
  <c r="N22" i="119"/>
  <c r="N23" i="119"/>
  <c r="N24" i="119"/>
  <c r="N25" i="119"/>
  <c r="N26" i="119"/>
  <c r="N27" i="119"/>
  <c r="N28" i="119"/>
  <c r="N30" i="119"/>
  <c r="N31" i="119"/>
  <c r="N32" i="119"/>
  <c r="N33" i="119"/>
  <c r="N34" i="119"/>
  <c r="N35" i="119"/>
  <c r="N39" i="119"/>
  <c r="N40" i="119"/>
  <c r="N41" i="119"/>
  <c r="N42" i="119"/>
  <c r="N44" i="119"/>
  <c r="N45" i="119"/>
  <c r="N46" i="119"/>
  <c r="N47" i="119"/>
  <c r="N48" i="119"/>
  <c r="N49" i="119"/>
  <c r="L30" i="117"/>
  <c r="K30" i="117"/>
  <c r="J30" i="117"/>
  <c r="N50" i="119" l="1"/>
  <c r="O13" i="134" l="1"/>
  <c r="O26" i="134" s="1"/>
  <c r="S45" i="33" l="1"/>
  <c r="R45" i="33"/>
  <c r="S44" i="33"/>
  <c r="R44" i="33"/>
  <c r="S43" i="33"/>
  <c r="R43" i="33"/>
  <c r="S42" i="33"/>
  <c r="R42" i="33"/>
  <c r="S41" i="33"/>
  <c r="R41" i="33"/>
  <c r="S40" i="33"/>
  <c r="R40" i="33"/>
  <c r="S39" i="33"/>
  <c r="R39" i="33"/>
  <c r="S38" i="33"/>
  <c r="R38" i="33"/>
  <c r="S37" i="33"/>
  <c r="R37" i="33"/>
  <c r="S34" i="33"/>
  <c r="R34" i="33"/>
  <c r="P45" i="33"/>
  <c r="O45" i="33"/>
  <c r="P44" i="33"/>
  <c r="O44" i="33"/>
  <c r="P43" i="33"/>
  <c r="O43" i="33"/>
  <c r="P42" i="33"/>
  <c r="O42" i="33"/>
  <c r="P41" i="33"/>
  <c r="O41" i="33"/>
  <c r="P40" i="33"/>
  <c r="O40" i="33"/>
  <c r="P39" i="33"/>
  <c r="O39" i="33"/>
  <c r="P38" i="33"/>
  <c r="O38" i="33"/>
  <c r="P37" i="33"/>
  <c r="P34" i="33"/>
  <c r="O34" i="33"/>
  <c r="M45" i="33"/>
  <c r="L45" i="33"/>
  <c r="M44" i="33"/>
  <c r="L44" i="33"/>
  <c r="M43" i="33"/>
  <c r="L43" i="33"/>
  <c r="M42" i="33"/>
  <c r="L42" i="33"/>
  <c r="M41" i="33"/>
  <c r="L41" i="33"/>
  <c r="M40" i="33"/>
  <c r="L40" i="33"/>
  <c r="M39" i="33"/>
  <c r="L39" i="33"/>
  <c r="M38" i="33"/>
  <c r="L38" i="33"/>
  <c r="M37" i="33"/>
  <c r="L37" i="33"/>
  <c r="M34" i="33"/>
  <c r="L34" i="33"/>
  <c r="J45" i="33"/>
  <c r="I45" i="33"/>
  <c r="J44" i="33"/>
  <c r="I44" i="33"/>
  <c r="J43" i="33"/>
  <c r="I43" i="33"/>
  <c r="J42" i="33"/>
  <c r="I42" i="33"/>
  <c r="J41" i="33"/>
  <c r="J40" i="33"/>
  <c r="I40" i="33"/>
  <c r="J39" i="33"/>
  <c r="I39" i="33"/>
  <c r="J38" i="33"/>
  <c r="I38" i="33"/>
  <c r="J37" i="33"/>
  <c r="I37" i="33"/>
  <c r="J34" i="33"/>
  <c r="I34" i="33"/>
  <c r="S31" i="33"/>
  <c r="R31" i="33"/>
  <c r="P31" i="33"/>
  <c r="O31" i="33"/>
  <c r="M31" i="33"/>
  <c r="L31" i="33"/>
  <c r="J31" i="33"/>
  <c r="I31" i="33"/>
  <c r="F31" i="33"/>
  <c r="C31" i="33"/>
  <c r="G31" i="33"/>
  <c r="M40" i="131" l="1"/>
  <c r="M25" i="131"/>
  <c r="L25" i="131"/>
  <c r="K25" i="131"/>
  <c r="J40" i="131"/>
  <c r="J25" i="131"/>
  <c r="L40" i="131"/>
  <c r="K40" i="131"/>
  <c r="G45" i="33"/>
  <c r="F45" i="33"/>
  <c r="G44" i="33"/>
  <c r="F44" i="33"/>
  <c r="G43" i="33"/>
  <c r="F43" i="33"/>
  <c r="G42" i="33"/>
  <c r="F42" i="33"/>
  <c r="G41" i="33"/>
  <c r="F41" i="33"/>
  <c r="G40" i="33"/>
  <c r="F40" i="33"/>
  <c r="G39" i="33"/>
  <c r="F39" i="33"/>
  <c r="G38" i="33"/>
  <c r="F38" i="33"/>
  <c r="G37" i="33"/>
  <c r="F37" i="33"/>
  <c r="G34" i="33"/>
  <c r="F34" i="33"/>
  <c r="D37" i="33"/>
  <c r="D38" i="33"/>
  <c r="D39" i="33"/>
  <c r="D40" i="33"/>
  <c r="D41" i="33"/>
  <c r="D42" i="33"/>
  <c r="D43" i="33"/>
  <c r="D44" i="33"/>
  <c r="D45" i="33"/>
  <c r="C37" i="33"/>
  <c r="C38" i="33"/>
  <c r="C39" i="33"/>
  <c r="C40" i="33"/>
  <c r="C41" i="33"/>
  <c r="C42" i="33"/>
  <c r="C43" i="33"/>
  <c r="C44" i="33"/>
  <c r="C45" i="33"/>
  <c r="D34" i="33"/>
  <c r="C34" i="33"/>
  <c r="D31" i="33"/>
  <c r="I25" i="131" l="1"/>
  <c r="S46" i="33"/>
  <c r="R46" i="33"/>
  <c r="S32" i="33"/>
  <c r="R32" i="33"/>
  <c r="P46" i="33"/>
  <c r="O46" i="33"/>
  <c r="P32" i="33"/>
  <c r="O32" i="33"/>
  <c r="L46" i="33"/>
  <c r="M32" i="33"/>
  <c r="L32" i="33"/>
  <c r="J46" i="33"/>
  <c r="J32" i="33"/>
  <c r="I32" i="33"/>
  <c r="F46" i="33"/>
  <c r="G32" i="33"/>
  <c r="F32" i="33"/>
  <c r="D46" i="33"/>
  <c r="D32" i="33"/>
  <c r="C32" i="33"/>
  <c r="R47" i="33" l="1"/>
  <c r="S47" i="33"/>
  <c r="O47" i="33"/>
  <c r="G46" i="33"/>
  <c r="G47" i="33" s="1"/>
  <c r="M46" i="33"/>
  <c r="M47" i="33" s="1"/>
  <c r="C46" i="33"/>
  <c r="C47" i="33" s="1"/>
  <c r="I46" i="33"/>
  <c r="I47" i="33" s="1"/>
  <c r="P47" i="33"/>
  <c r="L47" i="33"/>
  <c r="J47" i="33"/>
  <c r="F47" i="33"/>
  <c r="D47" i="33"/>
  <c r="N13" i="129" l="1"/>
  <c r="N14" i="129"/>
  <c r="N15" i="129"/>
  <c r="N16" i="129"/>
  <c r="S22" i="33" l="1"/>
  <c r="R22" i="33"/>
  <c r="S21" i="33"/>
  <c r="R21" i="33"/>
  <c r="S20" i="33"/>
  <c r="R20" i="33"/>
  <c r="S19" i="33"/>
  <c r="R19" i="33"/>
  <c r="S18" i="33"/>
  <c r="R18" i="33"/>
  <c r="S17" i="33"/>
  <c r="R17" i="33"/>
  <c r="S16" i="33"/>
  <c r="R16" i="33"/>
  <c r="S15" i="33"/>
  <c r="R15" i="33"/>
  <c r="S14" i="33"/>
  <c r="R14" i="33"/>
  <c r="S12" i="33"/>
  <c r="R12" i="33"/>
  <c r="S9" i="33"/>
  <c r="S10" i="33" s="1"/>
  <c r="R9" i="33"/>
  <c r="R10" i="33" s="1"/>
  <c r="G26" i="134" l="1"/>
  <c r="N15" i="117" l="1"/>
  <c r="O15" i="117" s="1"/>
  <c r="N14" i="117"/>
  <c r="N13" i="117"/>
  <c r="N12" i="117"/>
  <c r="O12" i="117" s="1"/>
  <c r="O14" i="117" l="1"/>
  <c r="O13" i="117"/>
  <c r="P9" i="33"/>
  <c r="O9" i="33"/>
  <c r="P22" i="33" l="1"/>
  <c r="O22" i="33"/>
  <c r="P21" i="33"/>
  <c r="O21" i="33"/>
  <c r="P20" i="33"/>
  <c r="O20" i="33"/>
  <c r="P19" i="33"/>
  <c r="O19" i="33"/>
  <c r="P18" i="33"/>
  <c r="O18" i="33"/>
  <c r="P17" i="33"/>
  <c r="O17" i="33"/>
  <c r="P16" i="33"/>
  <c r="O16" i="33"/>
  <c r="P15" i="33"/>
  <c r="O15" i="33"/>
  <c r="P14" i="33"/>
  <c r="O14" i="33"/>
  <c r="P12" i="33"/>
  <c r="O12" i="33"/>
  <c r="F40" i="131" l="1"/>
  <c r="F25" i="131"/>
  <c r="N23" i="33"/>
  <c r="F26" i="134" l="1"/>
  <c r="I40" i="131" l="1"/>
  <c r="H40" i="131"/>
  <c r="G40" i="131"/>
  <c r="P10" i="33"/>
  <c r="M22" i="33" l="1"/>
  <c r="L22" i="33"/>
  <c r="M21" i="33"/>
  <c r="L21" i="33"/>
  <c r="L20" i="33"/>
  <c r="M19" i="33"/>
  <c r="L19" i="33"/>
  <c r="M18" i="33"/>
  <c r="L18" i="33"/>
  <c r="M17" i="33"/>
  <c r="L17" i="33"/>
  <c r="M16" i="33"/>
  <c r="L16" i="33"/>
  <c r="M15" i="33"/>
  <c r="L15" i="33"/>
  <c r="M14" i="33"/>
  <c r="L14" i="33"/>
  <c r="M12" i="33"/>
  <c r="L12" i="33"/>
  <c r="M9" i="33"/>
  <c r="M10" i="33" s="1"/>
  <c r="L9" i="33"/>
  <c r="L10" i="33" s="1"/>
  <c r="E25" i="131" l="1"/>
  <c r="M23" i="33"/>
  <c r="M24" i="33" s="1"/>
  <c r="L23" i="33"/>
  <c r="L24" i="33" s="1"/>
  <c r="J22" i="33" l="1"/>
  <c r="J21" i="33"/>
  <c r="J20" i="33"/>
  <c r="J19" i="33"/>
  <c r="J18" i="33"/>
  <c r="J17" i="33"/>
  <c r="J16" i="33"/>
  <c r="J15" i="33"/>
  <c r="J14" i="33"/>
  <c r="J12" i="33"/>
  <c r="J9" i="33"/>
  <c r="I22" i="33"/>
  <c r="I20" i="33"/>
  <c r="I19" i="33"/>
  <c r="I18" i="33"/>
  <c r="I17" i="33"/>
  <c r="I16" i="33"/>
  <c r="I15" i="33"/>
  <c r="I14" i="33"/>
  <c r="I12" i="33"/>
  <c r="I9" i="33"/>
  <c r="D25" i="131" l="1"/>
  <c r="D26" i="134"/>
  <c r="D17" i="33" l="1"/>
  <c r="C14" i="33"/>
  <c r="D16" i="33"/>
  <c r="M50" i="119" l="1"/>
  <c r="L50" i="119"/>
  <c r="K50" i="119"/>
  <c r="J50" i="119"/>
  <c r="I50" i="119"/>
  <c r="H50" i="119"/>
  <c r="G50" i="119"/>
  <c r="F50" i="119"/>
  <c r="E50" i="119"/>
  <c r="D50" i="119"/>
  <c r="C50" i="119"/>
  <c r="B50" i="119"/>
  <c r="B26" i="134"/>
  <c r="N40" i="134" l="1"/>
  <c r="O40" i="134" s="1"/>
  <c r="N39" i="134"/>
  <c r="O39" i="134" s="1"/>
  <c r="N38" i="134"/>
  <c r="O38" i="134" s="1"/>
  <c r="N37" i="134"/>
  <c r="O37" i="134" s="1"/>
  <c r="N33" i="134"/>
  <c r="O33" i="134" s="1"/>
  <c r="N32" i="134"/>
  <c r="O32" i="134" s="1"/>
  <c r="N31" i="134"/>
  <c r="O31" i="134" s="1"/>
  <c r="N30" i="134"/>
  <c r="O30" i="134" s="1"/>
  <c r="N29" i="134"/>
  <c r="O29" i="134" s="1"/>
  <c r="O34" i="134" l="1"/>
  <c r="N41" i="134"/>
  <c r="N34" i="134"/>
  <c r="N29" i="117" l="1"/>
  <c r="O29" i="117" s="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N8" i="35" l="1"/>
  <c r="E23" i="33"/>
  <c r="C34" i="134"/>
  <c r="C16" i="33"/>
  <c r="H9" i="136" s="1"/>
  <c r="C17" i="33"/>
  <c r="H10" i="136" s="1"/>
  <c r="H7" i="136"/>
  <c r="E32" i="33"/>
  <c r="C15" i="33"/>
  <c r="H8" i="136" s="1"/>
  <c r="B36" i="119"/>
  <c r="B51" i="119" s="1"/>
  <c r="B53" i="119" s="1"/>
  <c r="Q15" i="134"/>
  <c r="Q26" i="134" s="1"/>
  <c r="P30" i="117"/>
  <c r="B20" i="117"/>
  <c r="C20" i="117"/>
  <c r="D20" i="117"/>
  <c r="E20" i="117"/>
  <c r="F20" i="117"/>
  <c r="G20" i="117"/>
  <c r="H20" i="117"/>
  <c r="I20" i="117"/>
  <c r="J20" i="117"/>
  <c r="K20" i="117"/>
  <c r="L20" i="117"/>
  <c r="M20" i="117"/>
  <c r="N48" i="117"/>
  <c r="O48" i="117" s="1"/>
  <c r="N34" i="117"/>
  <c r="O34" i="117" s="1"/>
  <c r="N33" i="117"/>
  <c r="O33" i="117" s="1"/>
  <c r="N36" i="117"/>
  <c r="O36" i="117" s="1"/>
  <c r="P38" i="117"/>
  <c r="N19" i="117"/>
  <c r="N11" i="117"/>
  <c r="N16" i="117" s="1"/>
  <c r="F15" i="33"/>
  <c r="G15" i="33"/>
  <c r="F16" i="33"/>
  <c r="G16" i="33"/>
  <c r="F17" i="33"/>
  <c r="G17" i="33"/>
  <c r="F18" i="33"/>
  <c r="F19" i="33"/>
  <c r="G18" i="33"/>
  <c r="G19" i="33"/>
  <c r="D14" i="33"/>
  <c r="F14" i="33"/>
  <c r="H20" i="136" s="1"/>
  <c r="G14" i="33"/>
  <c r="H33" i="136"/>
  <c r="H46" i="136"/>
  <c r="M17" i="129"/>
  <c r="M24" i="129"/>
  <c r="M28" i="129"/>
  <c r="M32" i="129"/>
  <c r="B32" i="129"/>
  <c r="C32" i="129"/>
  <c r="D32" i="129"/>
  <c r="E32" i="129"/>
  <c r="F32" i="129"/>
  <c r="G32" i="129"/>
  <c r="I32" i="129"/>
  <c r="J32" i="129"/>
  <c r="K32" i="129"/>
  <c r="L32" i="129"/>
  <c r="N47" i="117"/>
  <c r="O47" i="117" s="1"/>
  <c r="N46" i="117"/>
  <c r="O46" i="117" s="1"/>
  <c r="N45" i="117"/>
  <c r="H120" i="136"/>
  <c r="K16" i="117"/>
  <c r="H107" i="136"/>
  <c r="N9" i="119"/>
  <c r="B17" i="129"/>
  <c r="B24" i="129"/>
  <c r="B28" i="129"/>
  <c r="C24" i="129"/>
  <c r="D24" i="129"/>
  <c r="E24" i="129"/>
  <c r="F24" i="129"/>
  <c r="G24" i="129"/>
  <c r="H24" i="129"/>
  <c r="I24" i="129"/>
  <c r="J24" i="129"/>
  <c r="K24" i="129"/>
  <c r="L24" i="129"/>
  <c r="D17" i="129"/>
  <c r="D28" i="129"/>
  <c r="F17" i="129"/>
  <c r="F28" i="129"/>
  <c r="L17" i="129"/>
  <c r="L28" i="129"/>
  <c r="Q16" i="117"/>
  <c r="G13" i="131"/>
  <c r="E13" i="131"/>
  <c r="G49" i="117"/>
  <c r="G42" i="117"/>
  <c r="G38" i="117"/>
  <c r="G30" i="117"/>
  <c r="G24" i="117"/>
  <c r="G16" i="117"/>
  <c r="D13" i="131"/>
  <c r="D41" i="134"/>
  <c r="C13" i="131"/>
  <c r="M16" i="117"/>
  <c r="L16" i="117"/>
  <c r="J16" i="117"/>
  <c r="I16" i="117"/>
  <c r="H16" i="117"/>
  <c r="F16" i="117"/>
  <c r="E16" i="117"/>
  <c r="D16" i="117"/>
  <c r="C16" i="117"/>
  <c r="P42" i="117"/>
  <c r="P24" i="117"/>
  <c r="P20" i="117"/>
  <c r="Q20" i="117"/>
  <c r="P41" i="134"/>
  <c r="M41" i="134"/>
  <c r="L41" i="134"/>
  <c r="K41" i="134"/>
  <c r="I41" i="134"/>
  <c r="H41" i="134"/>
  <c r="G41" i="134"/>
  <c r="F41" i="134"/>
  <c r="E41" i="134"/>
  <c r="C41" i="134"/>
  <c r="B41" i="134"/>
  <c r="L34" i="134"/>
  <c r="K34" i="134"/>
  <c r="J34" i="134"/>
  <c r="I34" i="134"/>
  <c r="H34" i="134"/>
  <c r="F34" i="134"/>
  <c r="E34" i="134"/>
  <c r="D34" i="134"/>
  <c r="B34" i="134"/>
  <c r="M26" i="134"/>
  <c r="L26" i="134"/>
  <c r="K26" i="134"/>
  <c r="J26" i="134"/>
  <c r="E26" i="134"/>
  <c r="C26" i="134"/>
  <c r="M49" i="117"/>
  <c r="L49" i="117"/>
  <c r="K49" i="117"/>
  <c r="B49" i="117"/>
  <c r="B42" i="117"/>
  <c r="B38" i="117"/>
  <c r="B30" i="117"/>
  <c r="B24" i="117"/>
  <c r="B16" i="117"/>
  <c r="C49" i="117"/>
  <c r="D49" i="117"/>
  <c r="E49" i="117"/>
  <c r="F49" i="117"/>
  <c r="F42" i="117"/>
  <c r="F38" i="117"/>
  <c r="F30" i="117"/>
  <c r="F24" i="117"/>
  <c r="H49" i="117"/>
  <c r="I49" i="117"/>
  <c r="J49" i="117"/>
  <c r="J42" i="117"/>
  <c r="J38" i="117"/>
  <c r="J24" i="117"/>
  <c r="R15" i="117"/>
  <c r="H73" i="136"/>
  <c r="H68" i="136"/>
  <c r="H72" i="136"/>
  <c r="H74" i="136"/>
  <c r="H75" i="136"/>
  <c r="H76" i="136"/>
  <c r="H77" i="136"/>
  <c r="H78" i="136"/>
  <c r="H79" i="136"/>
  <c r="D15" i="33"/>
  <c r="D32" i="131"/>
  <c r="F32" i="131" s="1"/>
  <c r="H32" i="131" s="1"/>
  <c r="J32" i="131" s="1"/>
  <c r="C32" i="131"/>
  <c r="E32" i="131" s="1"/>
  <c r="G32" i="131" s="1"/>
  <c r="M32" i="131"/>
  <c r="C18" i="33"/>
  <c r="H11" i="136" s="1"/>
  <c r="D18" i="33"/>
  <c r="D21" i="131"/>
  <c r="F21" i="131" s="1"/>
  <c r="H21" i="131" s="1"/>
  <c r="J21" i="131" s="1"/>
  <c r="L21" i="131" s="1"/>
  <c r="C21" i="131"/>
  <c r="E21" i="131" s="1"/>
  <c r="G21" i="131" s="1"/>
  <c r="I21" i="131" s="1"/>
  <c r="K21" i="131" s="1"/>
  <c r="M21" i="131" s="1"/>
  <c r="C4" i="134"/>
  <c r="L24" i="117"/>
  <c r="E28" i="129"/>
  <c r="E17" i="129"/>
  <c r="I42" i="117"/>
  <c r="I38" i="117"/>
  <c r="I30" i="117"/>
  <c r="I24" i="117"/>
  <c r="H42" i="117"/>
  <c r="H38" i="117"/>
  <c r="H30" i="117"/>
  <c r="H24" i="117"/>
  <c r="E42" i="117"/>
  <c r="D42" i="117"/>
  <c r="D38" i="117"/>
  <c r="D30" i="117"/>
  <c r="D24" i="117"/>
  <c r="C42" i="117"/>
  <c r="C38" i="117"/>
  <c r="C30" i="117"/>
  <c r="C24" i="117"/>
  <c r="E38" i="117"/>
  <c r="E30" i="117"/>
  <c r="E24" i="117"/>
  <c r="G4" i="117"/>
  <c r="N23" i="117"/>
  <c r="O23" i="117" s="1"/>
  <c r="K24" i="117"/>
  <c r="M24" i="117"/>
  <c r="Q24" i="117"/>
  <c r="N27" i="117"/>
  <c r="O27" i="117" s="1"/>
  <c r="N28" i="117"/>
  <c r="O28" i="117" s="1"/>
  <c r="M30" i="117"/>
  <c r="Q30" i="117"/>
  <c r="K38" i="117"/>
  <c r="L38" i="117"/>
  <c r="M38" i="117"/>
  <c r="M42" i="117"/>
  <c r="N41" i="117"/>
  <c r="O41" i="117" s="1"/>
  <c r="K42" i="117"/>
  <c r="L42" i="117"/>
  <c r="Q42" i="117"/>
  <c r="D9" i="33"/>
  <c r="D10" i="33" s="1"/>
  <c r="D12" i="33"/>
  <c r="D19" i="33"/>
  <c r="D21" i="33"/>
  <c r="D22" i="33"/>
  <c r="H81" i="136"/>
  <c r="H13" i="131"/>
  <c r="N34" i="129"/>
  <c r="N31" i="129"/>
  <c r="K28" i="129"/>
  <c r="K17" i="129"/>
  <c r="J28" i="129"/>
  <c r="I28" i="129"/>
  <c r="H28" i="129"/>
  <c r="G28" i="129"/>
  <c r="C28" i="129"/>
  <c r="N27" i="129"/>
  <c r="N23" i="129"/>
  <c r="J17" i="129"/>
  <c r="I17" i="129"/>
  <c r="H17" i="129"/>
  <c r="G17" i="129"/>
  <c r="C17" i="129"/>
  <c r="N12" i="129"/>
  <c r="E5" i="129"/>
  <c r="D14" i="120"/>
  <c r="D18" i="120"/>
  <c r="D22" i="120"/>
  <c r="B14" i="120"/>
  <c r="B18" i="120"/>
  <c r="B22" i="120"/>
  <c r="C14" i="120"/>
  <c r="C18" i="120"/>
  <c r="C22"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E4" i="120"/>
  <c r="I51" i="119"/>
  <c r="I53" i="119" s="1"/>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P42" i="36" s="1"/>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O7" i="36"/>
  <c r="L7" i="36"/>
  <c r="K7" i="36"/>
  <c r="H7" i="36"/>
  <c r="D7" i="36"/>
  <c r="C7" i="36"/>
  <c r="C15" i="36" s="1"/>
  <c r="U6" i="36"/>
  <c r="U5" i="36"/>
  <c r="Q6" i="36"/>
  <c r="Q5" i="36"/>
  <c r="M6" i="36"/>
  <c r="M5" i="36"/>
  <c r="I6" i="36"/>
  <c r="E6" i="36"/>
  <c r="E5" i="36"/>
  <c r="I5" i="36"/>
  <c r="H3" i="35"/>
  <c r="H3" i="34"/>
  <c r="Q46" i="33"/>
  <c r="Q32" i="33"/>
  <c r="N46" i="33"/>
  <c r="K46" i="33"/>
  <c r="K32" i="33"/>
  <c r="H46" i="33"/>
  <c r="E46" i="33"/>
  <c r="B46" i="33"/>
  <c r="B32" i="33"/>
  <c r="H146" i="136"/>
  <c r="H25" i="131"/>
  <c r="H133" i="136"/>
  <c r="H94" i="136"/>
  <c r="N32" i="33"/>
  <c r="H32" i="33"/>
  <c r="C27" i="33"/>
  <c r="Q23" i="33"/>
  <c r="Q10" i="33"/>
  <c r="K23" i="33"/>
  <c r="H23" i="33"/>
  <c r="H66" i="136"/>
  <c r="H53" i="136"/>
  <c r="H40" i="136"/>
  <c r="G22" i="33"/>
  <c r="H27" i="136"/>
  <c r="C22" i="33"/>
  <c r="H14" i="136" s="1"/>
  <c r="G21" i="33"/>
  <c r="B23" i="33"/>
  <c r="B10" i="33"/>
  <c r="C19" i="33"/>
  <c r="H12" i="136" s="1"/>
  <c r="G25" i="131"/>
  <c r="H59" i="136"/>
  <c r="H55" i="136"/>
  <c r="H42" i="136"/>
  <c r="H29" i="136"/>
  <c r="G12" i="33"/>
  <c r="F12" i="33"/>
  <c r="H16" i="136" s="1"/>
  <c r="C12" i="33"/>
  <c r="H3" i="136" s="1"/>
  <c r="N10" i="33"/>
  <c r="K10" i="33"/>
  <c r="H10" i="33"/>
  <c r="E10" i="33"/>
  <c r="J10" i="33"/>
  <c r="G9" i="33"/>
  <c r="G10" i="33" s="1"/>
  <c r="F9" i="33"/>
  <c r="C9" i="33"/>
  <c r="C21" i="33"/>
  <c r="H13" i="136" s="1"/>
  <c r="F4" i="33"/>
  <c r="D4" i="33"/>
  <c r="D27" i="33" s="1"/>
  <c r="N24" i="129" l="1"/>
  <c r="N14" i="120"/>
  <c r="I51" i="117"/>
  <c r="O45" i="117"/>
  <c r="O49" i="117" s="1"/>
  <c r="N49" i="117"/>
  <c r="N36" i="119"/>
  <c r="N51" i="119" s="1"/>
  <c r="O11" i="117"/>
  <c r="O16" i="117" s="1"/>
  <c r="E40" i="131"/>
  <c r="P15" i="36"/>
  <c r="Q51" i="117"/>
  <c r="O19" i="117"/>
  <c r="O20" i="117" s="1"/>
  <c r="N20" i="117"/>
  <c r="O24" i="117"/>
  <c r="R24" i="117" s="1"/>
  <c r="N24" i="117"/>
  <c r="P51" i="117"/>
  <c r="N24" i="33"/>
  <c r="D40" i="131"/>
  <c r="H147" i="136"/>
  <c r="H134" i="136"/>
  <c r="H82" i="136"/>
  <c r="H121" i="136"/>
  <c r="H108" i="136"/>
  <c r="H95" i="136"/>
  <c r="G147" i="136"/>
  <c r="G134" i="136"/>
  <c r="G121" i="136"/>
  <c r="G108" i="136"/>
  <c r="G95" i="136"/>
  <c r="G82" i="136"/>
  <c r="C25" i="131"/>
  <c r="C40" i="131"/>
  <c r="N47" i="33"/>
  <c r="H85" i="136"/>
  <c r="D42" i="36"/>
  <c r="B51" i="117"/>
  <c r="R33" i="117"/>
  <c r="R28" i="117"/>
  <c r="R34" i="117"/>
  <c r="R27" i="117"/>
  <c r="R13" i="117"/>
  <c r="R37" i="117"/>
  <c r="R48" i="117"/>
  <c r="R46" i="117"/>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7" i="33"/>
  <c r="H132" i="136"/>
  <c r="C10" i="33"/>
  <c r="H2" i="136"/>
  <c r="H67" i="136"/>
  <c r="H80" i="136"/>
  <c r="F10" i="33"/>
  <c r="H15" i="136"/>
  <c r="H41" i="136"/>
  <c r="I10" i="33"/>
  <c r="H28" i="136"/>
  <c r="O10" i="33"/>
  <c r="H54" i="136"/>
  <c r="H119" i="136"/>
  <c r="H106" i="136"/>
  <c r="H93" i="136"/>
  <c r="H145" i="136"/>
  <c r="D35" i="129"/>
  <c r="D36" i="129" s="1"/>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1" i="117"/>
  <c r="L15" i="36"/>
  <c r="E24" i="33"/>
  <c r="Q33" i="36"/>
  <c r="Q42" i="36" s="1"/>
  <c r="H15" i="36"/>
  <c r="X15" i="36"/>
  <c r="G15" i="36"/>
  <c r="C51" i="119"/>
  <c r="C53" i="119" s="1"/>
  <c r="Y13" i="36"/>
  <c r="E33" i="36"/>
  <c r="E42" i="36" s="1"/>
  <c r="F51" i="119"/>
  <c r="F53" i="119" s="1"/>
  <c r="D15" i="36"/>
  <c r="O15" i="36"/>
  <c r="L31" i="120"/>
  <c r="E35" i="129"/>
  <c r="E36" i="129" s="1"/>
  <c r="E7" i="36"/>
  <c r="E15" i="36" s="1"/>
  <c r="Q7" i="36"/>
  <c r="Q15" i="36" s="1"/>
  <c r="Y7" i="36"/>
  <c r="H42" i="36"/>
  <c r="B31" i="120"/>
  <c r="H35" i="129"/>
  <c r="H36" i="129" s="1"/>
  <c r="L51" i="117"/>
  <c r="R14" i="117"/>
  <c r="N32" i="129"/>
  <c r="L51" i="119"/>
  <c r="I33" i="36"/>
  <c r="K31" i="120"/>
  <c r="F31" i="120"/>
  <c r="E31" i="120"/>
  <c r="B35" i="129"/>
  <c r="B36" i="129" s="1"/>
  <c r="M35" i="129"/>
  <c r="L35" i="129"/>
  <c r="O41" i="134"/>
  <c r="C23" i="33"/>
  <c r="M51" i="119"/>
  <c r="E51" i="119"/>
  <c r="E53" i="119" s="1"/>
  <c r="G51" i="119"/>
  <c r="G53" i="119" s="1"/>
  <c r="J51" i="119"/>
  <c r="J53" i="119" s="1"/>
  <c r="D51" i="119"/>
  <c r="D53" i="119" s="1"/>
  <c r="K51" i="119"/>
  <c r="Q24" i="33"/>
  <c r="C31" i="120"/>
  <c r="I35" i="129"/>
  <c r="I36" i="129" s="1"/>
  <c r="D51" i="117"/>
  <c r="G51" i="117"/>
  <c r="G23" i="33"/>
  <c r="G24" i="33" s="1"/>
  <c r="B24" i="33"/>
  <c r="Q47" i="33"/>
  <c r="I7" i="36"/>
  <c r="I15" i="36" s="1"/>
  <c r="T15" i="36"/>
  <c r="Y33" i="36"/>
  <c r="Y42" i="36" s="1"/>
  <c r="M40" i="36"/>
  <c r="H51" i="119"/>
  <c r="H53" i="119" s="1"/>
  <c r="M31" i="120"/>
  <c r="I31" i="120"/>
  <c r="C35" i="129"/>
  <c r="C36" i="129" s="1"/>
  <c r="J35" i="129"/>
  <c r="J36" i="129" s="1"/>
  <c r="G35" i="129"/>
  <c r="G36" i="129" s="1"/>
  <c r="K35" i="129"/>
  <c r="H24" i="33"/>
  <c r="E51" i="117"/>
  <c r="O23" i="33"/>
  <c r="K47" i="33"/>
  <c r="W15" i="36"/>
  <c r="G42" i="36"/>
  <c r="U33" i="36"/>
  <c r="U42" i="36" s="1"/>
  <c r="J31" i="120"/>
  <c r="F51" i="117"/>
  <c r="M51" i="117"/>
  <c r="K15" i="36"/>
  <c r="S42" i="36"/>
  <c r="W42" i="36"/>
  <c r="I40" i="36"/>
  <c r="D31" i="120"/>
  <c r="N42" i="117"/>
  <c r="K51" i="117"/>
  <c r="I4" i="33"/>
  <c r="F27" i="33"/>
  <c r="G4" i="33"/>
  <c r="G27" i="33" s="1"/>
  <c r="N28" i="129"/>
  <c r="N17" i="129"/>
  <c r="M33" i="36"/>
  <c r="K42" i="36"/>
  <c r="K24" i="33"/>
  <c r="U7" i="36"/>
  <c r="U15" i="36" s="1"/>
  <c r="D23" i="33"/>
  <c r="D24" i="33" s="1"/>
  <c r="C51" i="117"/>
  <c r="F35" i="129"/>
  <c r="F36" i="129" s="1"/>
  <c r="R47" i="117"/>
  <c r="J23" i="33"/>
  <c r="J24" i="33" s="1"/>
  <c r="P23" i="33"/>
  <c r="P24" i="33" s="1"/>
  <c r="E47" i="33"/>
  <c r="B47" i="33"/>
  <c r="H31" i="120"/>
  <c r="F23" i="33"/>
  <c r="I23" i="33"/>
  <c r="R41" i="117"/>
  <c r="O42" i="117"/>
  <c r="R42" i="117" s="1"/>
  <c r="R36" i="117"/>
  <c r="N38" i="117"/>
  <c r="N30" i="117"/>
  <c r="H51" i="117"/>
  <c r="R12" i="117"/>
  <c r="B25" i="131"/>
  <c r="G31" i="120"/>
  <c r="R23" i="33"/>
  <c r="S23" i="33"/>
  <c r="S24" i="33" s="1"/>
  <c r="N31" i="120" l="1"/>
  <c r="R11" i="117"/>
  <c r="N51" i="117"/>
  <c r="N53" i="119"/>
  <c r="N35" i="129"/>
  <c r="Y15" i="36"/>
  <c r="R49" i="117"/>
  <c r="R45" i="117"/>
  <c r="R23" i="117"/>
  <c r="I42" i="36"/>
  <c r="O30" i="117"/>
  <c r="R30" i="117" s="1"/>
  <c r="B40" i="131"/>
  <c r="O38" i="117"/>
  <c r="R38" i="117" s="1"/>
  <c r="C24" i="33"/>
  <c r="O24" i="33"/>
  <c r="R24" i="33"/>
  <c r="I24" i="33"/>
  <c r="F24" i="33"/>
  <c r="N36" i="129"/>
  <c r="M42" i="36"/>
  <c r="J4" i="33"/>
  <c r="J27" i="33" s="1"/>
  <c r="I27" i="33"/>
  <c r="L4" i="33"/>
  <c r="R16" i="117" l="1"/>
  <c r="O51" i="117"/>
  <c r="R51" i="117" s="1"/>
  <c r="M4" i="33"/>
  <c r="M27" i="33" s="1"/>
  <c r="O4" i="33"/>
  <c r="L27" i="33"/>
  <c r="O27" i="33" l="1"/>
  <c r="P4" i="33"/>
  <c r="P27" i="33" s="1"/>
  <c r="R4" i="33"/>
  <c r="S4" i="33" l="1"/>
  <c r="S27" i="33" s="1"/>
  <c r="R27" i="33"/>
</calcChain>
</file>

<file path=xl/sharedStrings.xml><?xml version="1.0" encoding="utf-8"?>
<sst xmlns="http://schemas.openxmlformats.org/spreadsheetml/2006/main" count="1554" uniqueCount="397">
  <si>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</si>
  <si>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</si>
  <si>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</si>
  <si>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</si>
  <si>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</si>
  <si>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</si>
  <si>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</si>
  <si>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</si>
  <si>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</si>
  <si>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</si>
  <si>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</si>
  <si>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</si>
  <si>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</si>
  <si>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</si>
  <si>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</si>
  <si>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</si>
  <si>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</si>
  <si>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</si>
  <si>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</si>
  <si>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</si>
  <si>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</si>
  <si>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</si>
  <si>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</si>
  <si>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</si>
  <si>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</si>
  <si>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</si>
  <si>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</si>
  <si>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</si>
  <si>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</si>
  <si>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</si>
  <si>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</si>
  <si>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</si>
  <si>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</si>
  <si>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</si>
  <si>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</si>
  <si>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</si>
  <si>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</si>
  <si>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</si>
  <si>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</si>
  <si>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</si>
  <si>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</si>
  <si>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</si>
  <si>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</si>
  <si>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</si>
  <si>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</si>
  <si>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</si>
  <si>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</si>
  <si>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</si>
  <si>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</si>
  <si>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</si>
  <si>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Eligible Accounts as of Aug 31, 2012</t>
  </si>
  <si>
    <t>Interruptible/Reliability</t>
  </si>
  <si>
    <t xml:space="preserve">  Sub-Total Interruptible</t>
  </si>
  <si>
    <t>Demand Response Programs</t>
  </si>
  <si>
    <r>
      <t>Armed Forces Pilot</t>
    </r>
    <r>
      <rPr>
        <vertAlign val="superscript"/>
        <sz val="9"/>
        <rFont val="Arial"/>
        <family val="2"/>
      </rPr>
      <t xml:space="preserve"> </t>
    </r>
    <r>
      <rPr>
        <vertAlign val="superscript"/>
        <sz val="9"/>
        <color rgb="FFFF0000"/>
        <rFont val="Arial"/>
        <family val="2"/>
      </rPr>
      <t>3</t>
    </r>
  </si>
  <si>
    <t>TOU-PA-P Agricultural</t>
  </si>
  <si>
    <t>Sub-Total Demand Response Programs</t>
  </si>
  <si>
    <t>Total All Programs</t>
  </si>
  <si>
    <t>July</t>
  </si>
  <si>
    <t>August</t>
  </si>
  <si>
    <t>September</t>
  </si>
  <si>
    <t>October</t>
  </si>
  <si>
    <t>November</t>
  </si>
  <si>
    <t>December</t>
  </si>
  <si>
    <t xml:space="preserve">Ex Ante Estimated MW </t>
  </si>
  <si>
    <t xml:space="preserve">Ex Post Estimated MW </t>
  </si>
  <si>
    <t>Capacity Bidding Residential Pilot (CBP Pilot)</t>
  </si>
  <si>
    <t xml:space="preserve"> </t>
  </si>
  <si>
    <t>Notes:</t>
  </si>
  <si>
    <r>
      <rPr>
        <vertAlign val="superscript"/>
        <sz val="11"/>
        <color rgb="FFFF0000"/>
        <rFont val="Arial"/>
        <family val="2"/>
      </rPr>
      <t>1</t>
    </r>
    <r>
      <rPr>
        <sz val="11"/>
        <rFont val="Arial"/>
        <family val="2"/>
      </rPr>
      <t xml:space="preserve">  The Ex-Ante average per customer estimates are based on Program Year 2020 SDG&amp;E DR Load Impacts report filed April 1st, 2021 for the months of January thru March. The Ex-Ante average per customer estimates are based on Program Year 2021 SDG&amp;E DR Load Impacts report filed April 1st, 2021 for the months of April thru December.</t>
    </r>
  </si>
  <si>
    <t xml:space="preserve">  The Ex-Ante average per customer estimates for CBP Day Ahead and Day Of include the elect and non-elect option</t>
  </si>
  <si>
    <r>
      <rPr>
        <vertAlign val="superscript"/>
        <sz val="11"/>
        <color rgb="FFFF0000"/>
        <rFont val="Arial"/>
        <family val="2"/>
      </rPr>
      <t xml:space="preserve">2 </t>
    </r>
    <r>
      <rPr>
        <sz val="11"/>
        <rFont val="Arial"/>
        <family val="2"/>
      </rPr>
      <t xml:space="preserve"> The Ex-Post average per customer estimates are based on Program Year 2020 SDG&amp;E DR Load Impacts report filed April 1st, 2021 for the months of January thru March. The Ex-Post average per customer estimates are based on Program Year 2021 SDG&amp;E DR Load Impacts report filed April 1st, 2021 for the months of April thru December for CBP Non-elect option, BIP, AC Saver Day Of (Commercial and Residential), and AC Saver Day Ahead Residential.</t>
    </r>
  </si>
  <si>
    <t xml:space="preserve">   The Ex-post per customer are based on Program Year 2021 ex-ante per customer for the year of 2021 for the programs AC Saver Day Ahead Commercial, CPP, TOU-DR-P Voluntary Residential, TOU-A-P Small Commercial CPP, TOU-PA-P Aggricultural and CBP Elect Option due to SDG&amp;E did not trigger these programs in 2021.</t>
  </si>
  <si>
    <t xml:space="preserve">  The Ex-post average per customer estimates for CBP Day Ahead and Day Of include the elect and non-elect option</t>
  </si>
  <si>
    <r>
      <rPr>
        <vertAlign val="superscript"/>
        <sz val="11"/>
        <color rgb="FFFF0000"/>
        <rFont val="Arial"/>
        <family val="2"/>
      </rPr>
      <t xml:space="preserve">3 </t>
    </r>
    <r>
      <rPr>
        <vertAlign val="superscript"/>
        <sz val="11"/>
        <rFont val="Arial"/>
        <family val="2"/>
      </rPr>
      <t xml:space="preserve"> </t>
    </r>
    <r>
      <rPr>
        <sz val="11"/>
        <rFont val="Arial"/>
        <family val="2"/>
      </rPr>
      <t xml:space="preserve">On March 27, 2020 SDG&amp;E filed Advice Letter 3522-E (Tier 3) proposed to close the Armed Forces Pilot. SDG&amp;E is awaiting a Decision.  </t>
    </r>
  </si>
  <si>
    <r>
      <rPr>
        <vertAlign val="superscript"/>
        <sz val="11"/>
        <color rgb="FFFF0000"/>
        <rFont val="Arial"/>
        <family val="2"/>
      </rPr>
      <t xml:space="preserve">4 </t>
    </r>
    <r>
      <rPr>
        <vertAlign val="superscript"/>
        <sz val="11"/>
        <rFont val="Arial"/>
        <family val="2"/>
      </rPr>
      <t xml:space="preserve"> </t>
    </r>
    <r>
      <rPr>
        <sz val="11"/>
        <rFont val="Arial"/>
        <family val="2"/>
      </rPr>
      <t>On March 27, 2020 SDG&amp;E filed Advice Letter 3522-E (Tier 3) proposed to close the Over Generation Pilot, SDG&amp;E is awaiting a Decision. The Over Generation Pilot close on December 31, 2020.</t>
    </r>
  </si>
  <si>
    <t>-  The reduction in the number of customers on AC Saver Day-Ahead Commercial in March is due to the un-enrollment of customer with thermostat that had been offline for more then 18 months.</t>
  </si>
  <si>
    <t>-  Capacity Bidding Program reports the number of nominations not enrollments.</t>
  </si>
  <si>
    <t>-  Count of Service Accounts reported for TOU-PA-P Agricultural, TOU-A-P Small Commercial and TOU-DR-P Voluntary Residential for April 2021 includes accounts enrolled through May 13, 2021 due to Envision cutover data validation activities.</t>
  </si>
  <si>
    <t xml:space="preserve">-  The reduction in the number of customer on AC Saver day-ahead residential in June, is due to approximately 2,500 customers with Google-Nest devices did not agree to the new Google terms and conditions. </t>
  </si>
  <si>
    <t>-  CPP-D (Large and Medium Customers) service account numbers for Jan, Feb, and March 2021 are being rechecked. The reason is due to IT conversion data issues.  These should be corrected in next months Aug 2021 report.</t>
  </si>
  <si>
    <t>-  BIP service accounts for April and May were updated in August 2021 to denote a customer who unenrolled from the program.</t>
  </si>
  <si>
    <t xml:space="preserve">-  The "TOU-DR-P Voluntary Residential" and “TOU-A-P Small Commercial” service accounts numbers were inadvertently reported on the wrong row January through June.  This report has been corrected to reflect the service account numbers for both programs. </t>
  </si>
  <si>
    <t>-  Corrected may data to include only active accounts for CPPD.</t>
  </si>
  <si>
    <t>(End of page)</t>
  </si>
  <si>
    <t>Average Ex Ante Load Impact kW / Customer</t>
  </si>
  <si>
    <t>Eligible Accounts as of January</t>
  </si>
  <si>
    <t>Eligibility Criteria (Refer to tariff for specifics)</t>
  </si>
  <si>
    <t>Direct Participation Customers: Any non-residential customer who can commit to reducing at least 15% of their Monthly Average Peak Demand, may participate in Schedule BIP directly with the Utility. Aggregator Customers: Any non-residential customer may participate in Schedule BIP through an aggregator. This tariff is available to bundled, Direct Access (DA), and Community Choice Aggregation (CCA) customers.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</si>
  <si>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</si>
  <si>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</si>
  <si>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</si>
  <si>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</si>
  <si>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</si>
  <si>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</si>
  <si>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</si>
  <si>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TOU-A-2, and/or TOU-A-3.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</si>
  <si>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</si>
  <si>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The Ex-Ante average per customer estimates are based on Program Year 2020 SDG&amp;E DR Load Impacts report filed April 1st, 2021 for the months of January thru March. The Ex-Ante average per customer estimates are based on Program Year 2021 SDG&amp;E DR Load Impacts report filed April 1st, 2021 for the months of April thru December.</t>
  </si>
  <si>
    <t>-  CPP-D, TOU-DR-P (Voluntary Residential) and TOU-A-P (Small Commercial) ex-ante estimates include Technology Deployment (TD).</t>
  </si>
  <si>
    <t>-  The Ex-Ante average per customer estimates for CBP Day Ahead and Day Of include the elect and non-elect option</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</si>
  <si>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</si>
  <si>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</si>
  <si>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t>
  </si>
  <si>
    <t>Average Ex Post Load Impact kW / Customer</t>
  </si>
  <si>
    <t xml:space="preserve">Notes: </t>
  </si>
  <si>
    <t xml:space="preserve">-  The Ex-Post average per customer estimates are based on Program Year 2020 SDG&amp;E DR Load Impacts report filed April 1st, 2021 for the months of January thru March. The Ex-Post average per customer estimates are based on Program Year 2021 SDG&amp;E DR Load Impacts report filed April 1st, 2021 for the months of April thru December for CBP Non-elect option, BIP, AC Saver Day Of (Commercial and Residential), and AC Saver Day Ahead Residential. </t>
  </si>
  <si>
    <t>- The Ex-post per customer are based on Program Year 2021 ex-ante per customer for the year of 2021 for the programs AC Saver Day Ahead Commercial, CPP, TOU-DR-P Voluntary Residential, TOU-A-P Small Commercial CPP, TOU-PA-P Aggricultural and CBP Elect Option due to SDG&amp;E did not trigger these programs in 2021.</t>
  </si>
  <si>
    <t>- The Ex-post average per customer estimates for CBP Day Ahead and Day Of include the elect and non-elect option</t>
  </si>
  <si>
    <t>-  CPP-D, TOU-DR-P (Voluntary Residential) and TOU-A-P (Small Commercial) include Technology Deployment (TD).</t>
  </si>
  <si>
    <t xml:space="preserve">-  Estimated Average Ex-Post Load Impact kW / Customer = Average kW / Customer service account over all actual event hours for the preceding year if events occurred. </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</si>
  <si>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</si>
  <si>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</si>
  <si>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</si>
  <si>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</si>
  <si>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</si>
  <si>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</si>
  <si>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</si>
  <si>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</si>
  <si>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</si>
  <si>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</si>
  <si>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</si>
  <si>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</si>
  <si>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</si>
  <si>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</si>
  <si>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</si>
  <si>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</si>
  <si>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</si>
  <si>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</si>
  <si>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</si>
  <si>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</si>
  <si>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</si>
  <si>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</si>
  <si>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</si>
  <si>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</si>
  <si>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</si>
  <si>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</si>
  <si>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</si>
  <si>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</si>
  <si>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</si>
  <si>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EVENT SUMMARY</t>
  </si>
  <si>
    <t>Year-to-Date Event Summary</t>
  </si>
  <si>
    <t>Program Category</t>
  </si>
  <si>
    <t>Event No.</t>
  </si>
  <si>
    <t>Date</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</si>
  <si>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</si>
  <si>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</si>
  <si>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</si>
  <si>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</si>
  <si>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t>AC Saver DA Residential</t>
  </si>
  <si>
    <t>Heat Rate</t>
  </si>
  <si>
    <t>6:00pm-8:00pm</t>
  </si>
  <si>
    <t>AC Saver DO (Summer Saver) Commercial &amp; Residential</t>
  </si>
  <si>
    <t>CBP DO 1pm- 9pm ($400)</t>
  </si>
  <si>
    <t>Real Time Price</t>
  </si>
  <si>
    <t>5:00pm-9:00pm</t>
  </si>
  <si>
    <t>Critical Peak Pricing (Large and Medium)</t>
  </si>
  <si>
    <t>Temperature and System Load</t>
  </si>
  <si>
    <t>4:00pm-9:00pm</t>
  </si>
  <si>
    <t>TOU Plus Small Commercial (PSW)</t>
  </si>
  <si>
    <t>TOU Plus Residential (PSH)</t>
  </si>
  <si>
    <t>6:00pm-9:00pm</t>
  </si>
  <si>
    <t>CBP DA 1pm- 9pm ($600)</t>
  </si>
  <si>
    <t>Market Price</t>
  </si>
  <si>
    <t>5:00pm-7:00pm</t>
  </si>
  <si>
    <r>
      <rPr>
        <vertAlign val="superscript"/>
        <sz val="11"/>
        <color rgb="FFFF0000"/>
        <rFont val="Arial"/>
        <family val="2"/>
      </rPr>
      <t>1</t>
    </r>
    <r>
      <rPr>
        <sz val="11"/>
        <color rgb="FF444444"/>
        <rFont val="Arial"/>
        <family val="2"/>
      </rPr>
      <t xml:space="preserve"> If the MW Load Reduction is 0.00, there was no actual load reduction. If the MW Load Reduction is negative, there was an increase of load during the event hours. If there is nothing there, there were no events.</t>
    </r>
  </si>
  <si>
    <r>
      <rPr>
        <vertAlign val="superscript"/>
        <sz val="11"/>
        <color rgb="FFFF0000"/>
        <rFont val="Arial"/>
        <family val="2"/>
      </rPr>
      <t>2</t>
    </r>
    <r>
      <rPr>
        <b/>
        <vertAlign val="superscript"/>
        <sz val="11"/>
        <color rgb="FFFF0000"/>
        <rFont val="Arial"/>
        <family val="2"/>
      </rPr>
      <t xml:space="preserve">  </t>
    </r>
    <r>
      <rPr>
        <sz val="11"/>
        <rFont val="Arial"/>
        <family val="2"/>
      </rPr>
      <t>Program Total Hours (Annual) is cumulative</t>
    </r>
    <r>
      <rPr>
        <b/>
        <sz val="11"/>
        <rFont val="Arial"/>
        <family val="2"/>
      </rPr>
      <t>.</t>
    </r>
  </si>
  <si>
    <t xml:space="preserve">SAN DIEGO GAS &amp; ELECTRIC REPORT COMPANY ON INTERRUPTIBLE LOAD AND DEMAND RESPONSE PROGRAMS </t>
  </si>
  <si>
    <t>YEAR TO DATE PROGRAM EXPENDITURES</t>
  </si>
  <si>
    <t>Cost Item</t>
  </si>
  <si>
    <t>Year-to Date 2022 Expenditures</t>
  </si>
  <si>
    <t>Program Cycle-to Date 2018-2022 Expenditures</t>
  </si>
  <si>
    <t>5-Year Funding (2018-2022)</t>
  </si>
  <si>
    <r>
      <t xml:space="preserve">Fund shift Adjustments </t>
    </r>
    <r>
      <rPr>
        <b/>
        <vertAlign val="superscript"/>
        <sz val="10"/>
        <color rgb="FFFF0000"/>
        <rFont val="Arial"/>
        <family val="2"/>
      </rPr>
      <t>6</t>
    </r>
  </si>
  <si>
    <t>Percent Funding</t>
  </si>
  <si>
    <t>Category 1: Supply Side DR Programs</t>
  </si>
  <si>
    <r>
      <t>AC Saver Day-Ahead</t>
    </r>
    <r>
      <rPr>
        <b/>
        <vertAlign val="superscript"/>
        <sz val="10"/>
        <color rgb="FFFF0000"/>
        <rFont val="Arial"/>
        <family val="2"/>
      </rPr>
      <t>1</t>
    </r>
    <r>
      <rPr>
        <vertAlign val="superscript"/>
        <sz val="10"/>
        <color rgb="FFFF0000"/>
        <rFont val="Arial"/>
        <family val="2"/>
      </rPr>
      <t>,4</t>
    </r>
  </si>
  <si>
    <r>
      <t>AC Saver Day-Of</t>
    </r>
    <r>
      <rPr>
        <b/>
        <vertAlign val="superscript"/>
        <sz val="10"/>
        <color rgb="FFFF0000"/>
        <rFont val="Arial"/>
        <family val="2"/>
      </rPr>
      <t>1</t>
    </r>
    <r>
      <rPr>
        <vertAlign val="superscript"/>
        <sz val="10"/>
        <color rgb="FFFF0000"/>
        <rFont val="Arial"/>
        <family val="2"/>
      </rPr>
      <t>,4</t>
    </r>
  </si>
  <si>
    <r>
      <t>Base Interruptible Program (BIP)</t>
    </r>
    <r>
      <rPr>
        <b/>
        <vertAlign val="superscript"/>
        <sz val="10"/>
        <color rgb="FFFF0000"/>
        <rFont val="Arial"/>
        <family val="2"/>
      </rPr>
      <t xml:space="preserve"> 1</t>
    </r>
    <r>
      <rPr>
        <vertAlign val="superscript"/>
        <sz val="10"/>
        <color rgb="FFFF0000"/>
        <rFont val="Arial"/>
        <family val="2"/>
      </rPr>
      <t>,4,5</t>
    </r>
  </si>
  <si>
    <r>
      <t>Capacity Bidding Program (CBP)</t>
    </r>
    <r>
      <rPr>
        <b/>
        <sz val="10"/>
        <rFont val="Arial"/>
        <family val="2"/>
      </rPr>
      <t xml:space="preserve"> </t>
    </r>
    <r>
      <rPr>
        <b/>
        <vertAlign val="superscript"/>
        <sz val="10"/>
        <color rgb="FFFF0000"/>
        <rFont val="Arial"/>
        <family val="2"/>
      </rPr>
      <t>3</t>
    </r>
  </si>
  <si>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</si>
  <si>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</si>
  <si>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</si>
  <si>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</si>
  <si>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</si>
  <si>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r>
      <t>Demand Response Auction Mechanism Pilot (DRAM)</t>
    </r>
    <r>
      <rPr>
        <vertAlign val="superscript"/>
        <sz val="10"/>
        <color rgb="FFFF0000"/>
        <rFont val="Arial"/>
        <family val="2"/>
      </rPr>
      <t xml:space="preserve"> 5</t>
    </r>
  </si>
  <si>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</si>
  <si>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</si>
  <si>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</si>
  <si>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</si>
  <si>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</si>
  <si>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</si>
  <si>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</si>
  <si>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</si>
  <si>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r>
      <t xml:space="preserve">Constrained Local Capacity Program (CLCP) </t>
    </r>
    <r>
      <rPr>
        <vertAlign val="superscript"/>
        <sz val="10"/>
        <color rgb="FFFF0000"/>
        <rFont val="Arial"/>
        <family val="2"/>
      </rPr>
      <t>7</t>
    </r>
  </si>
  <si>
    <t>Capacity Bidding Program Residential Pilot (CBP)</t>
  </si>
  <si>
    <t xml:space="preserve">   Over Generation Pilot (OGP) </t>
  </si>
  <si>
    <t xml:space="preserve">   Small Business Energy Management Pilot (SBEMP)</t>
  </si>
  <si>
    <t xml:space="preserve"> Budget Category 5 Total</t>
  </si>
  <si>
    <t>Category 6:  Marketing, Education, and Outreach</t>
  </si>
  <si>
    <r>
      <t xml:space="preserve">Local Marketing Education &amp; Outreach (LME&amp;O) </t>
    </r>
    <r>
      <rPr>
        <vertAlign val="superscript"/>
        <sz val="10"/>
        <color rgb="FFFF0000"/>
        <rFont val="Arial"/>
        <family val="2"/>
      </rPr>
      <t>5</t>
    </r>
  </si>
  <si>
    <t xml:space="preserve"> Budget Category 6 Total</t>
  </si>
  <si>
    <t>Category 7:  Portfolio Support</t>
  </si>
  <si>
    <r>
      <t>Regulatory Policy &amp; Program Support (Gen. Admin.)</t>
    </r>
    <r>
      <rPr>
        <vertAlign val="superscript"/>
        <sz val="10"/>
        <color rgb="FFFF0000"/>
        <rFont val="Arial"/>
        <family val="2"/>
      </rPr>
      <t xml:space="preserve"> </t>
    </r>
  </si>
  <si>
    <t>IT Infrastructure &amp; Systems Support</t>
  </si>
  <si>
    <r>
      <t xml:space="preserve">EM&amp;V </t>
    </r>
    <r>
      <rPr>
        <vertAlign val="superscript"/>
        <sz val="10"/>
        <color rgb="FFFF0000"/>
        <rFont val="Arial"/>
        <family val="2"/>
      </rPr>
      <t>2</t>
    </r>
  </si>
  <si>
    <t>DR Potential Study</t>
  </si>
  <si>
    <t xml:space="preserve"> Budget Category 7 Total</t>
  </si>
  <si>
    <t>Total Incremental Cost</t>
  </si>
  <si>
    <r>
      <rPr>
        <vertAlign val="superscript"/>
        <sz val="10"/>
        <color rgb="FFC00000"/>
        <rFont val="Arial"/>
        <family val="2"/>
      </rPr>
      <t>1</t>
    </r>
    <r>
      <rPr>
        <sz val="10"/>
        <rFont val="Arial"/>
        <family val="2"/>
      </rPr>
      <t xml:space="preserve"> SDG&amp;E’s prior reports did not include bill credits for January 2022 through June 2022 due to software reprogramming issues. Those issues were resolved in the July 2022 report and reflected in this report. </t>
    </r>
  </si>
  <si>
    <r>
      <rPr>
        <vertAlign val="superscript"/>
        <sz val="10"/>
        <color rgb="FFFF0000"/>
        <rFont val="Arial"/>
        <family val="2"/>
      </rPr>
      <t>2</t>
    </r>
    <r>
      <rPr>
        <sz val="10"/>
        <color rgb="FF000000"/>
        <rFont val="Arial"/>
        <family val="2"/>
      </rPr>
      <t xml:space="preserve"> Negative amount in January is due to an accrual reversal and true-up of December actual program expenditures.</t>
    </r>
  </si>
  <si>
    <r>
      <rPr>
        <b/>
        <vertAlign val="superscript"/>
        <sz val="10"/>
        <color rgb="FFFF0000"/>
        <rFont val="Arial"/>
        <family val="2"/>
      </rPr>
      <t>3</t>
    </r>
    <r>
      <rPr>
        <sz val="10"/>
        <rFont val="Arial"/>
        <family val="2"/>
      </rPr>
      <t xml:space="preserve"> Negative amount in March is primarily due to the correction of prior period labor costs allocations.</t>
    </r>
  </si>
  <si>
    <r>
      <rPr>
        <vertAlign val="superscript"/>
        <sz val="10"/>
        <color rgb="FFFF0000"/>
        <rFont val="Arial"/>
        <family val="2"/>
      </rPr>
      <t>4</t>
    </r>
    <r>
      <rPr>
        <sz val="10"/>
        <rFont val="Arial"/>
        <family val="2"/>
      </rPr>
      <t xml:space="preserve"> Program Cycle to Date column "O" has been revised to include December 2021 Bill Credits. </t>
    </r>
  </si>
  <si>
    <r>
      <rPr>
        <vertAlign val="superscript"/>
        <sz val="10"/>
        <color rgb="FFFF0000"/>
        <rFont val="Arial"/>
        <family val="2"/>
      </rPr>
      <t>5</t>
    </r>
    <r>
      <rPr>
        <sz val="10"/>
        <rFont val="Arial"/>
        <family val="2"/>
      </rPr>
      <t xml:space="preserve"> Negative amount in July is due to the reversal of June program expense accruals. These program expenditures were trued-up in a subsequent month and reflected in this report.</t>
    </r>
  </si>
  <si>
    <r>
      <rPr>
        <vertAlign val="superscript"/>
        <sz val="10"/>
        <color rgb="FFFF0000"/>
        <rFont val="Arial"/>
        <family val="2"/>
      </rPr>
      <t>6</t>
    </r>
    <r>
      <rPr>
        <sz val="10"/>
        <color rgb="FF000000"/>
        <rFont val="Arial"/>
        <family val="2"/>
      </rPr>
      <t xml:space="preserve"> Per Resolution E-4906 (issued 7/21/18), Ordering Paragraph 30 approved a total fund shift of $934,498 of which $234,498 shifted from the Capacity Bidding Program, and $700,000 from Technical Incentives to support the Back Up Generators (BUGs) prohibited resources restrictions. Per SDG&amp;E's AL 3031-E-B (filed July 23, 2018) a total of $194,400 is shifted from EM&amp;V funds for the cost to test the installation of loggers, meters and the cost of the verification administrator to support the Back Up Generators (BUGs) prohibited resources restrictions.  </t>
    </r>
  </si>
  <si>
    <r>
      <rPr>
        <vertAlign val="superscript"/>
        <sz val="10"/>
        <color rgb="FFFF0000"/>
        <rFont val="Arial"/>
        <family val="2"/>
      </rPr>
      <t>7</t>
    </r>
    <r>
      <rPr>
        <sz val="10"/>
        <rFont val="Arial"/>
        <family val="2"/>
      </rPr>
      <t xml:space="preserve"> Negative amount in August is due to the correction of prior period labor cost allocations.</t>
    </r>
  </si>
  <si>
    <t>NOTE:  Any required corrections/adjustments are reported herein and supersede results reported in prior months and may reflect YTD adjustments.</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</si>
  <si>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</si>
  <si>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</si>
  <si>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</si>
  <si>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</si>
  <si>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</si>
  <si>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</si>
  <si>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</si>
  <si>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</si>
  <si>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</si>
  <si>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</si>
  <si>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</si>
  <si>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NA</t>
  </si>
  <si>
    <t>Jan and Feb revision due to correction of cell reference error.  See cells with Yellow highlight.</t>
  </si>
  <si>
    <t>MARKETING, EDUCATION &amp; OUTREACH</t>
  </si>
  <si>
    <t>2022 Expenditures for Marketing, Education and Outreach</t>
  </si>
  <si>
    <r>
      <t xml:space="preserve">Program Cycle-to Date 2018-2022 Expenditures </t>
    </r>
    <r>
      <rPr>
        <b/>
        <vertAlign val="superscript"/>
        <sz val="10"/>
        <color rgb="FFFF0000"/>
        <rFont val="Calibri"/>
        <family val="2"/>
      </rPr>
      <t>7</t>
    </r>
  </si>
  <si>
    <r>
      <t xml:space="preserve">Authorized Budget (if Applicable) </t>
    </r>
    <r>
      <rPr>
        <b/>
        <vertAlign val="superscript"/>
        <sz val="10"/>
        <color rgb="FFFF0000"/>
        <rFont val="Calibri"/>
        <family val="2"/>
      </rPr>
      <t>1</t>
    </r>
  </si>
  <si>
    <r>
      <t xml:space="preserve">July </t>
    </r>
    <r>
      <rPr>
        <b/>
        <vertAlign val="superscript"/>
        <sz val="10"/>
        <color rgb="FFFF0000"/>
        <rFont val="Arial"/>
        <family val="2"/>
      </rPr>
      <t>6</t>
    </r>
  </si>
  <si>
    <t>Carryover Expenditures to Date 2012 - 2014</t>
  </si>
  <si>
    <t>I. UTILITY MARKETING BY ACTIVITY</t>
  </si>
  <si>
    <r>
      <t>PROGRAMS, RATES &amp; ACTIVITES WHICH DO NOT REQUIRE ITEMIZED ACCOUNTING</t>
    </r>
    <r>
      <rPr>
        <b/>
        <vertAlign val="superscript"/>
        <sz val="10"/>
        <rFont val="Arial"/>
        <family val="2"/>
      </rPr>
      <t xml:space="preserve"> 1,2</t>
    </r>
  </si>
  <si>
    <r>
      <t>Local IDSM Marketing</t>
    </r>
    <r>
      <rPr>
        <vertAlign val="superscript"/>
        <sz val="10"/>
        <color rgb="FFFF0000"/>
        <rFont val="Arial"/>
        <family val="2"/>
      </rPr>
      <t xml:space="preserve"> 3</t>
    </r>
  </si>
  <si>
    <r>
      <t>Base Interruptible Program</t>
    </r>
    <r>
      <rPr>
        <vertAlign val="superscript"/>
        <sz val="9"/>
        <color rgb="FFFF0000"/>
        <rFont val="Arial"/>
        <family val="2"/>
      </rPr>
      <t xml:space="preserve"> </t>
    </r>
    <r>
      <rPr>
        <sz val="8"/>
        <color rgb="FFFF0000"/>
        <rFont val="Arial"/>
        <family val="2"/>
      </rPr>
      <t>4</t>
    </r>
  </si>
  <si>
    <t xml:space="preserve">Back Up Generators (BUGs) </t>
  </si>
  <si>
    <t xml:space="preserve">Capacity Bidding Program </t>
  </si>
  <si>
    <r>
      <t>AC Saver Day Ahead</t>
    </r>
    <r>
      <rPr>
        <vertAlign val="superscript"/>
        <sz val="10"/>
        <color rgb="FFFF0000"/>
        <rFont val="Arial"/>
        <family val="2"/>
      </rPr>
      <t xml:space="preserve"> </t>
    </r>
    <r>
      <rPr>
        <vertAlign val="superscript"/>
        <sz val="9"/>
        <color rgb="FFFF0000"/>
        <rFont val="Arial"/>
        <family val="2"/>
      </rPr>
      <t>4</t>
    </r>
  </si>
  <si>
    <t>AC Saver Day Of</t>
  </si>
  <si>
    <t xml:space="preserve">Technology Deployment </t>
  </si>
  <si>
    <t>Technology Incentives</t>
  </si>
  <si>
    <r>
      <t>Smart Pricing</t>
    </r>
    <r>
      <rPr>
        <vertAlign val="superscript"/>
        <sz val="10"/>
        <color rgb="FFFF0000"/>
        <rFont val="Arial"/>
        <family val="2"/>
      </rPr>
      <t xml:space="preserve"> </t>
    </r>
  </si>
  <si>
    <t>ELRP</t>
  </si>
  <si>
    <t>SCTD-2018 Only</t>
  </si>
  <si>
    <t>Small Commercial Energy Management</t>
  </si>
  <si>
    <r>
      <t>FLEX Alert CFA</t>
    </r>
    <r>
      <rPr>
        <vertAlign val="superscript"/>
        <sz val="10"/>
        <color rgb="FFFF0000"/>
        <rFont val="Arial"/>
        <family val="2"/>
      </rPr>
      <t xml:space="preserve"> 5</t>
    </r>
  </si>
  <si>
    <r>
      <t xml:space="preserve">FLEX Alert Admin - Phase 1 </t>
    </r>
    <r>
      <rPr>
        <vertAlign val="superscript"/>
        <sz val="10"/>
        <color rgb="FFFF0000"/>
        <rFont val="Arial"/>
        <family val="2"/>
      </rPr>
      <t>5</t>
    </r>
  </si>
  <si>
    <t>I. TOTAL UTILITY MARKETING BY ACTIVITY</t>
  </si>
  <si>
    <t xml:space="preserve">II. UTILITY MARKETING BY ITEMIZED COST </t>
  </si>
  <si>
    <t>Customer Research</t>
  </si>
  <si>
    <t xml:space="preserve">Collateral- Development, Printing, Distribution etc. (all non-labor costs) </t>
  </si>
  <si>
    <r>
      <t>Labor</t>
    </r>
    <r>
      <rPr>
        <vertAlign val="superscript"/>
        <sz val="10"/>
        <color rgb="FFFF0000"/>
        <rFont val="Arial"/>
        <family val="2"/>
      </rPr>
      <t xml:space="preserve"> 3</t>
    </r>
  </si>
  <si>
    <r>
      <t>Paid Media</t>
    </r>
    <r>
      <rPr>
        <vertAlign val="superscript"/>
        <sz val="10"/>
        <color rgb="FFFF0000"/>
        <rFont val="Arial"/>
        <family val="2"/>
      </rPr>
      <t xml:space="preserve"> </t>
    </r>
  </si>
  <si>
    <t>Other Costs</t>
  </si>
  <si>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</si>
  <si>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</si>
  <si>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</si>
  <si>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</si>
  <si>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r>
      <t xml:space="preserve">Small and Medium Commercial </t>
    </r>
    <r>
      <rPr>
        <vertAlign val="superscript"/>
        <sz val="10"/>
        <color rgb="FFFF0000"/>
        <rFont val="Arial"/>
        <family val="2"/>
      </rPr>
      <t>3</t>
    </r>
  </si>
  <si>
    <r>
      <t>Residential</t>
    </r>
    <r>
      <rPr>
        <vertAlign val="superscript"/>
        <sz val="10"/>
        <color rgb="FFFF0000"/>
        <rFont val="Arial"/>
        <family val="2"/>
      </rPr>
      <t xml:space="preserve"> 3</t>
    </r>
  </si>
  <si>
    <t>III. TOTAL UTILITY MARKETING BY CUSTOMER SEGMENT</t>
  </si>
  <si>
    <r>
      <rPr>
        <vertAlign val="superscript"/>
        <sz val="10"/>
        <color rgb="FFFF0000"/>
        <rFont val="Arial"/>
        <family val="2"/>
      </rPr>
      <t xml:space="preserve">1 </t>
    </r>
    <r>
      <rPr>
        <sz val="10"/>
        <rFont val="Arial"/>
        <family val="2"/>
      </rPr>
      <t>LME&amp;O Approved Budget is a Five (5) Year Program Cycle 2018-2022 with the exception of Local IDSM Marketing which is funded per the approved Advice Letter 3598-E_2898-G/3599-E_2897G.</t>
    </r>
  </si>
  <si>
    <r>
      <rPr>
        <vertAlign val="superscript"/>
        <sz val="10"/>
        <color rgb="FFFF0000"/>
        <rFont val="Arial"/>
        <family val="2"/>
      </rPr>
      <t>2</t>
    </r>
    <r>
      <rPr>
        <sz val="10"/>
        <rFont val="Arial"/>
        <family val="2"/>
      </rPr>
      <t xml:space="preserve"> Programs, Rates &amp; Activities do not include "Critical Peak Pricing &gt; 200kW" (CPP-D) as program funding is not approved or directed in D. 17.12.003.</t>
    </r>
  </si>
  <si>
    <r>
      <rPr>
        <b/>
        <vertAlign val="superscript"/>
        <sz val="10"/>
        <color rgb="FFFF0000"/>
        <rFont val="Arial"/>
        <family val="2"/>
      </rPr>
      <t>3</t>
    </r>
    <r>
      <rPr>
        <sz val="10"/>
        <rFont val="Arial"/>
        <family val="2"/>
      </rPr>
      <t xml:space="preserve"> Negative amount in January is primarily due to the correction of prior period labor costs.</t>
    </r>
  </si>
  <si>
    <r>
      <rPr>
        <vertAlign val="superscript"/>
        <sz val="10"/>
        <color rgb="FFFF0000"/>
        <rFont val="Arial"/>
        <family val="2"/>
      </rPr>
      <t>4</t>
    </r>
    <r>
      <rPr>
        <sz val="10"/>
        <rFont val="Arial"/>
        <family val="2"/>
      </rPr>
      <t xml:space="preserve"> Negative amount in April is due to an accrual reversal and true-up of actual program expenditures.</t>
    </r>
  </si>
  <si>
    <r>
      <rPr>
        <vertAlign val="superscript"/>
        <sz val="10"/>
        <color rgb="FFFF0000"/>
        <rFont val="Arial"/>
        <family val="2"/>
      </rPr>
      <t>5</t>
    </r>
    <r>
      <rPr>
        <sz val="10"/>
        <color rgb="FF000000"/>
        <rFont val="Arial"/>
        <family val="2"/>
      </rPr>
      <t xml:space="preserve"> Flex Alert was approved in D. 21.03.056 and modified by D.21.12.015.</t>
    </r>
  </si>
  <si>
    <r>
      <rPr>
        <vertAlign val="superscript"/>
        <sz val="10"/>
        <color rgb="FFFF0000"/>
        <rFont val="Arial"/>
      </rPr>
      <t>6</t>
    </r>
    <r>
      <rPr>
        <sz val="10"/>
        <color rgb="FF000000"/>
        <rFont val="Arial"/>
      </rPr>
      <t xml:space="preserve"> Negative amount in July is due to the reversal of June program expense accruals. These program expenditures were trued-up in a subsequent period and reflected in this report.</t>
    </r>
  </si>
  <si>
    <r>
      <rPr>
        <vertAlign val="superscript"/>
        <sz val="10"/>
        <color rgb="FFFF0000"/>
        <rFont val="Arial"/>
        <family val="2"/>
      </rPr>
      <t>7</t>
    </r>
    <r>
      <rPr>
        <sz val="10"/>
        <color rgb="FF000000"/>
        <rFont val="Arial"/>
        <family val="2"/>
      </rPr>
      <t xml:space="preserve"> Program Cycle-to-Date 2012022 Expenditure have been updated to include 2021 expenditures.</t>
    </r>
  </si>
  <si>
    <t>FUND SHIFT LOG</t>
  </si>
  <si>
    <t>Program Cycle to Date (2018 - 2022)</t>
  </si>
  <si>
    <t>Fund Shift</t>
  </si>
  <si>
    <t>Programs Impacted</t>
  </si>
  <si>
    <t xml:space="preserve">Rationale for Fund Shift </t>
  </si>
  <si>
    <t>Capacity Bidding Program (CBP)</t>
  </si>
  <si>
    <t>Per Resolution E-4906 (issued 7/21/18), Ordering Paragraph 30 
approved a total fund shift of $934,498 of which $234,498 shifted from the Capacity Bidding Program to support the Back Up Generators (BUGs) prohibited resources restrictions.</t>
  </si>
  <si>
    <t>Category 4: Emerging &amp; Enabling Technologies</t>
  </si>
  <si>
    <t>Technology Incentives (TI)</t>
  </si>
  <si>
    <t>Per Resolution  E-4906 (issued 7/21/18), Ordering Paragraph 30  approved a total fund shift of $934,498 of which $700,000 to be shifted from the Technology Incentives Program to support the Back Up Generators (BUGs) prohibited resources restrictions.</t>
  </si>
  <si>
    <t>Category 7: Portfolio Support</t>
  </si>
  <si>
    <t>EM&amp;V</t>
  </si>
  <si>
    <t xml:space="preserve">Per SDG&amp;E's AL 3031-E-B (filed July 23, 2018) a total of $194,400 to be shifted from EM&amp;V funds for the cost to test the installation of loggers, meters and the cost of the verification administrator to support the Back Up Generators (BUGs) prohibited resources restrictions.  </t>
  </si>
  <si>
    <t>AMDRMA</t>
  </si>
  <si>
    <t>Back Up Generation Resources (BUGs)</t>
  </si>
  <si>
    <t xml:space="preserve">Per Resolution E-4906 (issued 7/21/18), Ordering Paragraph 30 
approved a total fund shift of $934,498 to support the Back Up Generators (BUGs) prohibited resources restrictions.
Per SDG&amp;E's AL 3031-E-B (filed July 23, 2018) a total of $194,400 to be shifted from EM&amp;V funds for the cost to test the installation of loggers, meters and the cost of the verification administrator to support the Back Up Generators (BUGs) prohibited resources restrictions.  
</t>
  </si>
  <si>
    <t>Regulatory Policy &amp; Program Support (Gen. Admin.)</t>
  </si>
  <si>
    <t>Shifting the funds to IT will allow SDG&amp;E to properly maintain systems to ensure compliance and customer experience. IT is projected to be overspent; M&amp;E and Policy (Gen Admin) have unspent dollars that can be applied towards the IT shortfall.</t>
  </si>
  <si>
    <t xml:space="preserve">EM&amp;V </t>
  </si>
  <si>
    <t xml:space="preserve">IT Infrastructure &amp; Systems Support </t>
  </si>
  <si>
    <t>-  All Fund Shifting Rules remain in effect as adopted in D.12-04-045 as referenced in D.17-12-003 at page 131.</t>
  </si>
  <si>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</si>
  <si>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</si>
  <si>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</si>
  <si>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</si>
  <si>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</si>
  <si>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</si>
  <si>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r>
      <rPr>
        <vertAlign val="superscript"/>
        <sz val="9"/>
        <color rgb="FFFF0000"/>
        <rFont val="Arial"/>
        <family val="2"/>
      </rPr>
      <t>8</t>
    </r>
  </si>
  <si>
    <t>Back Up Generators (BUGs)</t>
  </si>
  <si>
    <r>
      <t>Capacity Bidding Program (CBP)</t>
    </r>
    <r>
      <rPr>
        <vertAlign val="superscript"/>
        <sz val="9"/>
        <color rgb="FFFF0000"/>
        <rFont val="Arial"/>
        <family val="2"/>
      </rPr>
      <t xml:space="preserve"> 5</t>
    </r>
  </si>
  <si>
    <t>Demand Response Auction Mechanism (DRAM)</t>
  </si>
  <si>
    <t>Emerging Tech (ET)</t>
  </si>
  <si>
    <t>Armed Forces Pilot</t>
  </si>
  <si>
    <r>
      <t>Over Gen Pilot</t>
    </r>
    <r>
      <rPr>
        <vertAlign val="superscript"/>
        <sz val="9"/>
        <color rgb="FFFF0000"/>
        <rFont val="Arial"/>
        <family val="2"/>
      </rPr>
      <t xml:space="preserve"> </t>
    </r>
  </si>
  <si>
    <t xml:space="preserve">Small Business Energy Management Pilot (SBEMP) </t>
  </si>
  <si>
    <t xml:space="preserve">CBP Res Pilot </t>
  </si>
  <si>
    <r>
      <t>Constrained Local Capacity Program (CLCP)</t>
    </r>
    <r>
      <rPr>
        <vertAlign val="superscript"/>
        <sz val="9"/>
        <color rgb="FFFF0000"/>
        <rFont val="Arial"/>
        <family val="2"/>
      </rPr>
      <t xml:space="preserve"> 9</t>
    </r>
  </si>
  <si>
    <r>
      <t>Local Marketing Education &amp; Outreach (LMEO)</t>
    </r>
    <r>
      <rPr>
        <vertAlign val="superscript"/>
        <sz val="10"/>
        <color rgb="FFFF0000"/>
        <rFont val="Arial"/>
        <family val="2"/>
      </rPr>
      <t xml:space="preserve"> </t>
    </r>
    <r>
      <rPr>
        <vertAlign val="superscript"/>
        <sz val="9"/>
        <color rgb="FFFF0000"/>
        <rFont val="Arial"/>
        <family val="2"/>
      </rPr>
      <t>8</t>
    </r>
  </si>
  <si>
    <t>General Admin</t>
  </si>
  <si>
    <t>IT</t>
  </si>
  <si>
    <r>
      <t>EM&amp;V</t>
    </r>
    <r>
      <rPr>
        <vertAlign val="superscript"/>
        <sz val="9"/>
        <color rgb="FFFF0000"/>
        <rFont val="Arial"/>
        <family val="2"/>
      </rPr>
      <t xml:space="preserve"> 2</t>
    </r>
  </si>
  <si>
    <r>
      <t xml:space="preserve">Local Capacity Requirements (LCR) </t>
    </r>
    <r>
      <rPr>
        <vertAlign val="superscript"/>
        <sz val="9"/>
        <color rgb="FFFF0000"/>
        <rFont val="Arial"/>
        <family val="2"/>
      </rPr>
      <t>8</t>
    </r>
  </si>
  <si>
    <t>SCT - ADMINISTRATION</t>
  </si>
  <si>
    <r>
      <t>SW-COM</t>
    </r>
    <r>
      <rPr>
        <vertAlign val="superscript"/>
        <sz val="9"/>
        <color rgb="FFFF0000"/>
        <rFont val="Arial"/>
        <family val="2"/>
      </rPr>
      <t xml:space="preserve"> </t>
    </r>
  </si>
  <si>
    <r>
      <t>SW-IND</t>
    </r>
    <r>
      <rPr>
        <b/>
        <vertAlign val="superscript"/>
        <sz val="9"/>
        <color rgb="FFFF0000"/>
        <rFont val="Arial"/>
        <family val="2"/>
      </rPr>
      <t xml:space="preserve"> </t>
    </r>
    <r>
      <rPr>
        <vertAlign val="superscript"/>
        <sz val="9"/>
        <color rgb="FFFF0000"/>
        <rFont val="Arial"/>
        <family val="2"/>
      </rPr>
      <t>4</t>
    </r>
  </si>
  <si>
    <r>
      <t>SW-AG</t>
    </r>
    <r>
      <rPr>
        <vertAlign val="superscript"/>
        <sz val="9"/>
        <color rgb="FFFF0000"/>
        <rFont val="Arial"/>
        <family val="2"/>
      </rPr>
      <t xml:space="preserve"> </t>
    </r>
  </si>
  <si>
    <r>
      <t>Local Marketing Res and Non-Res</t>
    </r>
    <r>
      <rPr>
        <vertAlign val="superscript"/>
        <sz val="9"/>
        <color rgb="FFFF0000"/>
        <rFont val="Arial"/>
        <family val="2"/>
      </rPr>
      <t xml:space="preserve"> 2</t>
    </r>
  </si>
  <si>
    <r>
      <t xml:space="preserve">IDSM DR COM </t>
    </r>
    <r>
      <rPr>
        <vertAlign val="superscript"/>
        <sz val="9"/>
        <color rgb="FFFF0000"/>
        <rFont val="Arial"/>
        <family val="2"/>
      </rPr>
      <t>4,6,8,10</t>
    </r>
  </si>
  <si>
    <r>
      <t>Behavioral</t>
    </r>
    <r>
      <rPr>
        <vertAlign val="superscript"/>
        <sz val="9"/>
        <color rgb="FFFF0000"/>
        <rFont val="Arial"/>
        <family val="2"/>
      </rPr>
      <t xml:space="preserve"> 7</t>
    </r>
  </si>
  <si>
    <t xml:space="preserve">  Total Administrative (O&amp;M) </t>
  </si>
  <si>
    <t>Customer Incentives</t>
  </si>
  <si>
    <r>
      <t xml:space="preserve">AC Saver Day‐Ahead </t>
    </r>
    <r>
      <rPr>
        <b/>
        <vertAlign val="superscript"/>
        <sz val="9"/>
        <color rgb="FFFF0000"/>
        <rFont val="Arial"/>
        <family val="2"/>
      </rPr>
      <t>1</t>
    </r>
  </si>
  <si>
    <r>
      <t>AC Saver Day‐Of</t>
    </r>
    <r>
      <rPr>
        <vertAlign val="superscript"/>
        <sz val="10"/>
        <color rgb="FFFF0000"/>
        <rFont val="Arial"/>
        <family val="2"/>
      </rPr>
      <t xml:space="preserve"> </t>
    </r>
    <r>
      <rPr>
        <b/>
        <vertAlign val="superscript"/>
        <sz val="9"/>
        <color rgb="FFFF0000"/>
        <rFont val="Arial"/>
        <family val="2"/>
      </rPr>
      <t>1</t>
    </r>
  </si>
  <si>
    <r>
      <t xml:space="preserve">Base Interruptible Program (BIP) </t>
    </r>
    <r>
      <rPr>
        <vertAlign val="superscript"/>
        <sz val="9"/>
        <color rgb="FFFF0000"/>
        <rFont val="Arial"/>
        <family val="2"/>
      </rPr>
      <t>1</t>
    </r>
  </si>
  <si>
    <r>
      <t>Capacity Bidding Program (CBP)</t>
    </r>
    <r>
      <rPr>
        <vertAlign val="superscript"/>
        <sz val="9"/>
        <color rgb="FFFF0000"/>
        <rFont val="Arial"/>
        <family val="2"/>
      </rPr>
      <t xml:space="preserve"> 11</t>
    </r>
  </si>
  <si>
    <t>Capacity Bidding Program (CBP) - ELECT Incentives Only</t>
  </si>
  <si>
    <r>
      <t>Demand Response Auction Mechanism (DRAM)</t>
    </r>
    <r>
      <rPr>
        <vertAlign val="superscript"/>
        <sz val="9"/>
        <color rgb="FFFF0000"/>
        <rFont val="Arial"/>
        <family val="2"/>
      </rPr>
      <t xml:space="preserve"> 3</t>
    </r>
    <r>
      <rPr>
        <sz val="9"/>
        <color rgb="FFFF0000"/>
        <rFont val="Arial"/>
        <family val="2"/>
      </rPr>
      <t>,</t>
    </r>
    <r>
      <rPr>
        <vertAlign val="superscript"/>
        <sz val="9"/>
        <color rgb="FFFF0000"/>
        <rFont val="Arial"/>
        <family val="2"/>
      </rPr>
      <t>8</t>
    </r>
  </si>
  <si>
    <t>Technology Deployment (TD)</t>
  </si>
  <si>
    <r>
      <t>Technology Incentives (TI)</t>
    </r>
    <r>
      <rPr>
        <vertAlign val="superscript"/>
        <sz val="9"/>
        <color rgb="FFFF0000"/>
        <rFont val="Arial"/>
        <family val="2"/>
      </rPr>
      <t xml:space="preserve"> </t>
    </r>
  </si>
  <si>
    <t>Small Business Energy Management Pilot (SBEMP)</t>
  </si>
  <si>
    <t>CPPD</t>
  </si>
  <si>
    <t>Total Customer Incentives</t>
  </si>
  <si>
    <t xml:space="preserve">Total </t>
  </si>
  <si>
    <t>AMDRMA Account End of Month Balance for Monthly Activity with Interest</t>
  </si>
  <si>
    <r>
      <rPr>
        <vertAlign val="superscript"/>
        <sz val="10"/>
        <color rgb="FFFF0000"/>
        <rFont val="Arial"/>
        <family val="2"/>
      </rPr>
      <t>1</t>
    </r>
    <r>
      <rPr>
        <sz val="10"/>
        <rFont val="Arial"/>
        <family val="2"/>
      </rPr>
      <t xml:space="preserve"> SDG&amp;E’s prior reports did not include bill credits for January 2022 through June 2022 due to software reprogramming issues. Those issues were resolved in the July 2022 report and reflected in this report. </t>
    </r>
  </si>
  <si>
    <r>
      <rPr>
        <vertAlign val="superscript"/>
        <sz val="10"/>
        <color rgb="FFFF0000"/>
        <rFont val="Arial"/>
        <family val="2"/>
      </rPr>
      <t>2</t>
    </r>
    <r>
      <rPr>
        <sz val="10"/>
        <rFont val="Arial"/>
        <family val="2"/>
      </rPr>
      <t xml:space="preserve"> Negative amount in January is due to an accrual reversal and true-up of actual program expenditures.</t>
    </r>
  </si>
  <si>
    <r>
      <rPr>
        <vertAlign val="superscript"/>
        <sz val="10"/>
        <color rgb="FFFF0000"/>
        <rFont val="Arial"/>
        <family val="2"/>
      </rPr>
      <t>3</t>
    </r>
    <r>
      <rPr>
        <sz val="10"/>
        <rFont val="Arial"/>
        <family val="2"/>
      </rPr>
      <t xml:space="preserve"> Negative amounts in February and May are due to accrual reversals and true-up of actual program expenditures.</t>
    </r>
  </si>
  <si>
    <r>
      <rPr>
        <vertAlign val="superscript"/>
        <sz val="10"/>
        <color rgb="FFFF0000"/>
        <rFont val="Arial"/>
        <family val="2"/>
      </rPr>
      <t>4</t>
    </r>
    <r>
      <rPr>
        <sz val="10"/>
        <rFont val="Arial"/>
        <family val="2"/>
      </rPr>
      <t xml:space="preserve"> February credit is related to Contractual Agreement Discount on Timely Payments.</t>
    </r>
  </si>
  <si>
    <r>
      <rPr>
        <vertAlign val="superscript"/>
        <sz val="10"/>
        <color rgb="FFFF0000"/>
        <rFont val="Arial"/>
        <family val="2"/>
      </rPr>
      <t>5</t>
    </r>
    <r>
      <rPr>
        <sz val="10"/>
        <color rgb="FF000000"/>
        <rFont val="Arial"/>
        <family val="2"/>
      </rPr>
      <t xml:space="preserve"> Negative amount in March is primarily due to the correction of prior period labor costs.</t>
    </r>
  </si>
  <si>
    <r>
      <rPr>
        <vertAlign val="superscript"/>
        <sz val="10"/>
        <color rgb="FFFF0000"/>
        <rFont val="Arial"/>
        <family val="2"/>
      </rPr>
      <t>6</t>
    </r>
    <r>
      <rPr>
        <sz val="10"/>
        <rFont val="Arial"/>
        <family val="2"/>
      </rPr>
      <t xml:space="preserve"> Negative amount in April is due to an accrual reversal and true-up of actual program expenditures.</t>
    </r>
  </si>
  <si>
    <r>
      <rPr>
        <vertAlign val="superscript"/>
        <sz val="10"/>
        <color rgb="FFFF0000"/>
        <rFont val="Arial"/>
        <family val="2"/>
      </rPr>
      <t>7</t>
    </r>
    <r>
      <rPr>
        <sz val="10"/>
        <rFont val="Arial"/>
        <family val="2"/>
      </rPr>
      <t xml:space="preserve"> Negative amount in May is due to the reclassification of expense to pre-paid in order to amortize the expense over the periods in which they are incurred. </t>
    </r>
  </si>
  <si>
    <r>
      <rPr>
        <vertAlign val="superscript"/>
        <sz val="10"/>
        <color rgb="FFFF0000"/>
        <rFont val="Arial"/>
      </rPr>
      <t>8</t>
    </r>
    <r>
      <rPr>
        <sz val="10"/>
        <color rgb="FF000000"/>
        <rFont val="Arial"/>
      </rPr>
      <t xml:space="preserve"> Negative amount in July is due to the reversal of June program expense accruals. These program expenditures were trued-up in a subsequent period and reflected in this report.</t>
    </r>
  </si>
  <si>
    <r>
      <rPr>
        <vertAlign val="superscript"/>
        <sz val="10"/>
        <color rgb="FFFF0000"/>
        <rFont val="Arial"/>
        <family val="2"/>
      </rPr>
      <t>9</t>
    </r>
    <r>
      <rPr>
        <sz val="10"/>
        <rFont val="Arial"/>
        <family val="2"/>
      </rPr>
      <t xml:space="preserve"> Negative Amount in August is due to correction of prior period labor cost allocations.</t>
    </r>
  </si>
  <si>
    <r>
      <rPr>
        <vertAlign val="superscript"/>
        <sz val="10"/>
        <color rgb="FFFF0000"/>
        <rFont val="Arial"/>
        <family val="2"/>
      </rPr>
      <t>10</t>
    </r>
    <r>
      <rPr>
        <sz val="10"/>
        <rFont val="Arial"/>
        <family val="2"/>
      </rPr>
      <t xml:space="preserve"> Negative amount in August is due to an accrual reversal and true-up of actual program expenditures.</t>
    </r>
  </si>
  <si>
    <r>
      <rPr>
        <vertAlign val="superscript"/>
        <sz val="10"/>
        <color rgb="FFFF0000"/>
        <rFont val="Arial"/>
      </rPr>
      <t xml:space="preserve">11 </t>
    </r>
    <r>
      <rPr>
        <sz val="10"/>
        <color rgb="FF000000"/>
        <rFont val="Arial"/>
      </rPr>
      <t>Negative amount in August is due to a correction of program expenditures from CBP to CBP Elect Incentives Only.</t>
    </r>
  </si>
  <si>
    <t>GENERAL RATE CASE PROGRAMS ($000)</t>
  </si>
  <si>
    <t>Year-to-Date Total Cost</t>
  </si>
  <si>
    <t>Programs in General Rate Case</t>
  </si>
  <si>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</si>
  <si>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</si>
  <si>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</si>
  <si>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</si>
  <si>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</si>
  <si>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</si>
  <si>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</si>
  <si>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</si>
  <si>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</si>
  <si>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</si>
  <si>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</si>
  <si>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</si>
  <si>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r>
      <t>Rule 32</t>
    </r>
    <r>
      <rPr>
        <b/>
        <vertAlign val="superscript"/>
        <sz val="10"/>
        <color rgb="FFFF0000"/>
        <rFont val="Arial"/>
        <family val="2"/>
      </rPr>
      <t xml:space="preserve"> </t>
    </r>
  </si>
  <si>
    <r>
      <t xml:space="preserve">Rule 32 Operations </t>
    </r>
    <r>
      <rPr>
        <vertAlign val="superscript"/>
        <sz val="10"/>
        <color rgb="FFFF0000"/>
        <rFont val="Arial"/>
        <family val="2"/>
      </rPr>
      <t>2</t>
    </r>
  </si>
  <si>
    <r>
      <t>Rule 32 Meter</t>
    </r>
    <r>
      <rPr>
        <sz val="10"/>
        <rFont val="Arial"/>
        <family val="2"/>
      </rPr>
      <t xml:space="preserve"> </t>
    </r>
  </si>
  <si>
    <r>
      <t>Rule 32 CISR Enhancement</t>
    </r>
    <r>
      <rPr>
        <b/>
        <vertAlign val="superscript"/>
        <sz val="10"/>
        <color rgb="FFFF0000"/>
        <rFont val="Arial"/>
        <family val="2"/>
      </rPr>
      <t xml:space="preserve"> </t>
    </r>
    <r>
      <rPr>
        <vertAlign val="superscript"/>
        <sz val="10"/>
        <color rgb="FFFF0000"/>
        <rFont val="Arial"/>
        <family val="2"/>
      </rPr>
      <t>3</t>
    </r>
  </si>
  <si>
    <r>
      <t xml:space="preserve">Rule 32 Click-Through </t>
    </r>
    <r>
      <rPr>
        <vertAlign val="superscript"/>
        <sz val="10"/>
        <color rgb="FFFF0000"/>
        <rFont val="Arial"/>
        <family val="2"/>
      </rPr>
      <t>1,4</t>
    </r>
  </si>
  <si>
    <t>Capital Related Costs</t>
  </si>
  <si>
    <r>
      <t xml:space="preserve">Depreciation </t>
    </r>
    <r>
      <rPr>
        <b/>
        <vertAlign val="superscript"/>
        <sz val="10"/>
        <color rgb="FFFF0000"/>
        <rFont val="Arial"/>
        <family val="2"/>
      </rPr>
      <t>5</t>
    </r>
  </si>
  <si>
    <t>DPDRMA Tax</t>
  </si>
  <si>
    <t>DPDRMA Property Tax</t>
  </si>
  <si>
    <r>
      <t xml:space="preserve">Return on Rate Base </t>
    </r>
    <r>
      <rPr>
        <b/>
        <vertAlign val="superscript"/>
        <sz val="10"/>
        <color rgb="FFFF0000"/>
        <rFont val="Arial"/>
        <family val="2"/>
      </rPr>
      <t>5</t>
    </r>
  </si>
  <si>
    <t>Total DPDRMA Program Costs</t>
  </si>
  <si>
    <t>Total DPDRMA Program Costs with Interest</t>
  </si>
  <si>
    <r>
      <rPr>
        <vertAlign val="superscript"/>
        <sz val="10"/>
        <color rgb="FFFF0000"/>
        <rFont val="Arial"/>
        <family val="2"/>
      </rPr>
      <t>1</t>
    </r>
    <r>
      <rPr>
        <vertAlign val="superscript"/>
        <sz val="10"/>
        <rFont val="Arial"/>
        <family val="2"/>
      </rPr>
      <t xml:space="preserve"> </t>
    </r>
    <r>
      <rPr>
        <sz val="10"/>
        <rFont val="Arial"/>
        <family val="2"/>
      </rPr>
      <t>Rule 32 click-through was approved in Decision 17-06-005.</t>
    </r>
  </si>
  <si>
    <r>
      <rPr>
        <vertAlign val="superscript"/>
        <sz val="10"/>
        <color rgb="FFFF0000"/>
        <rFont val="Arial"/>
        <family val="2"/>
      </rPr>
      <t>2</t>
    </r>
    <r>
      <rPr>
        <sz val="10"/>
        <rFont val="Arial"/>
        <family val="2"/>
      </rPr>
      <t xml:space="preserve"> Rule 32 Operations was approved in AL 3191-E.</t>
    </r>
  </si>
  <si>
    <r>
      <rPr>
        <vertAlign val="superscript"/>
        <sz val="10"/>
        <color rgb="FFFF0000"/>
        <rFont val="Arial"/>
        <family val="2"/>
      </rPr>
      <t>3</t>
    </r>
    <r>
      <rPr>
        <sz val="10"/>
        <rFont val="Arial"/>
        <family val="2"/>
      </rPr>
      <t xml:space="preserve"> Rule 32 CISR Enhancement was approved in AL 3136-E.</t>
    </r>
  </si>
  <si>
    <r>
      <rPr>
        <vertAlign val="superscript"/>
        <sz val="10"/>
        <color rgb="FFFF0000"/>
        <rFont val="Arial"/>
        <family val="2"/>
      </rPr>
      <t>4</t>
    </r>
    <r>
      <rPr>
        <sz val="10"/>
        <rFont val="Arial"/>
        <family val="2"/>
      </rPr>
      <t xml:space="preserve"> Negative amount in March was primarily due to the correction of prior period labor costs allocations.</t>
    </r>
  </si>
  <si>
    <r>
      <rPr>
        <vertAlign val="superscript"/>
        <sz val="10"/>
        <color rgb="FFFF0000"/>
        <rFont val="Arial"/>
        <family val="2"/>
      </rPr>
      <t>5</t>
    </r>
    <r>
      <rPr>
        <sz val="10"/>
        <color rgb="FF000000"/>
        <rFont val="Arial"/>
        <family val="2"/>
      </rPr>
      <t xml:space="preserve"> As of July 2022, the Rule 32 technology platform was fully depreciated. Starting in August 2022, this asset will no longer have any capital related costs for monthly depreciation or return on rate base.</t>
    </r>
  </si>
  <si>
    <t>SAN DIEGO GAS &amp; ELECTRIC COMPANY REPORT ON INTERRUPTIBLE LOAD AND DEMAND RESPONSE PROGRAMS</t>
  </si>
  <si>
    <t>EMERGENCY LOAD REDUCTION PROGRAM (ELRP) BALANCING ACCOUNT ($000)</t>
  </si>
  <si>
    <t>Program in Emergency Load Reduction (ELRP) Balancing Account</t>
  </si>
  <si>
    <t>ELRP Residential SubGroup A6</t>
  </si>
  <si>
    <r>
      <t xml:space="preserve">ELRP Residential - Marketing </t>
    </r>
    <r>
      <rPr>
        <b/>
        <vertAlign val="superscript"/>
        <sz val="10"/>
        <color rgb="FFFF0000"/>
        <rFont val="Arial"/>
        <family val="2"/>
      </rPr>
      <t>1</t>
    </r>
  </si>
  <si>
    <t>Depreciation</t>
  </si>
  <si>
    <t>ELRP Tax</t>
  </si>
  <si>
    <t>ELRP Property Tax</t>
  </si>
  <si>
    <t>Return on Rate Base</t>
  </si>
  <si>
    <t>Total ELRP Program Costs</t>
  </si>
  <si>
    <t>Total ELRP Program Costs with Interest</t>
  </si>
  <si>
    <t>ELRP was approved in Decision 21.03.056 and modifed by D.21.12.015.</t>
  </si>
  <si>
    <r>
      <rPr>
        <vertAlign val="superscript"/>
        <sz val="10"/>
        <color rgb="FFFF0000"/>
        <rFont val="Arial"/>
        <family val="2"/>
      </rPr>
      <t>1</t>
    </r>
    <r>
      <rPr>
        <sz val="10"/>
        <rFont val="Arial"/>
        <family val="2"/>
      </rPr>
      <t xml:space="preserve"> Negative amount in July is due to the reversal of June program expense accruals. These program expenditures were trued-up in a subsequent period and reflected in this report.</t>
    </r>
  </si>
  <si>
    <t>FLEX ALERT BALANCING ACCOUNT - (FABA) ($000)</t>
  </si>
  <si>
    <r>
      <t>LMEO-Flex Alert Admin - Phase 1</t>
    </r>
    <r>
      <rPr>
        <b/>
        <sz val="10"/>
        <color rgb="FFFF0000"/>
        <rFont val="Arial"/>
        <family val="2"/>
      </rPr>
      <t xml:space="preserve"> </t>
    </r>
    <r>
      <rPr>
        <b/>
        <vertAlign val="superscript"/>
        <sz val="10"/>
        <color rgb="FFFF0000"/>
        <rFont val="Arial"/>
        <family val="2"/>
      </rPr>
      <t>1</t>
    </r>
  </si>
  <si>
    <t>LMEO-SW Flext Alert CFA-Marketing</t>
  </si>
  <si>
    <t>Flex Alert was approved in D. 21.03.056 and modified by D.21.12.015.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</si>
</sst>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000"/>
    <numFmt numFmtId="177" formatCode="_(* #,##0.00_);_(* \(#,##0.00\);_(* &quot;-&quot;_);_(@_)"/>
    <numFmt numFmtId="178" formatCode="_(&quot;$&quot;* #,##0.0_);_(&quot;$&quot;* \(#,##0.0\);_(&quot;$&quot;* &quot;-&quot;?_);_(@_)"/>
    <numFmt numFmtId="179" formatCode="yyyy"/>
    <numFmt numFmtId="180" formatCode="_(&quot;$&quot;* #,##0.00_);_(&quot;$&quot;* \(#,##0.00\);_(&quot;$&quot;* &quot;-&quot;?_);_(@_)"/>
  </numFmts>
  <fonts count="14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sz val="10"/>
      <name val="Arial"/>
      <family val="2"/>
    </font>
    <font>
      <sz val="10"/>
      <name val="Calibri"/>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vertAlign val="superscript"/>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indexed="37"/>
      <name val="Calibri"/>
      <family val="2"/>
    </font>
    <font>
      <sz val="11"/>
      <color indexed="20"/>
      <name val="Calibri"/>
      <family val="2"/>
    </font>
    <font>
      <b/>
      <sz val="11"/>
      <color indexed="17"/>
      <name val="Calibri"/>
      <family val="2"/>
    </font>
    <font>
      <b/>
      <sz val="11"/>
      <color indexed="52"/>
      <name val="Calibri"/>
      <family val="2"/>
    </font>
    <font>
      <sz val="10"/>
      <name val="Times New Roman"/>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8"/>
      <color indexed="62"/>
      <name val="Arial"/>
      <family val="2"/>
    </font>
    <font>
      <b/>
      <sz val="8"/>
      <color indexed="8"/>
      <name val="Arial"/>
      <family val="2"/>
    </font>
    <font>
      <b/>
      <sz val="8"/>
      <name val="Arial"/>
      <family val="2"/>
    </font>
    <font>
      <sz val="8"/>
      <color indexed="8"/>
      <name val="Arial"/>
      <family val="2"/>
    </font>
    <font>
      <b/>
      <sz val="16"/>
      <color indexed="23"/>
      <name val="Arial"/>
      <family val="2"/>
    </font>
    <font>
      <sz val="19"/>
      <name val="Arial"/>
      <family val="2"/>
    </font>
    <font>
      <sz val="8"/>
      <color indexed="14"/>
      <name val="Arial"/>
      <family val="2"/>
    </font>
    <font>
      <b/>
      <sz val="18"/>
      <color indexed="56"/>
      <name val="Cambria"/>
      <family val="2"/>
    </font>
    <font>
      <sz val="11"/>
      <color indexed="14"/>
      <name val="Calibri"/>
      <family val="2"/>
    </font>
    <font>
      <b/>
      <sz val="18"/>
      <color theme="3"/>
      <name val="Cambria"/>
      <family val="2"/>
      <scheme val="major"/>
    </font>
    <font>
      <strike/>
      <sz val="11"/>
      <name val="Arial"/>
      <family val="2"/>
    </font>
    <font>
      <strike/>
      <sz val="10"/>
      <name val="Arial"/>
      <family val="2"/>
    </font>
    <font>
      <vertAlign val="superscript"/>
      <sz val="11"/>
      <name val="Arial"/>
      <family val="2"/>
    </font>
    <font>
      <sz val="9"/>
      <name val="Cambria"/>
      <family val="1"/>
    </font>
    <font>
      <b/>
      <vertAlign val="superscript"/>
      <sz val="11"/>
      <color rgb="FFFF0000"/>
      <name val="Arial"/>
      <family val="2"/>
    </font>
    <font>
      <sz val="11"/>
      <color rgb="FF444444"/>
      <name val="Arial"/>
      <family val="2"/>
    </font>
    <font>
      <strike/>
      <sz val="11"/>
      <color indexed="8"/>
      <name val="Arial"/>
      <family val="2"/>
    </font>
    <font>
      <sz val="10"/>
      <name val="Arial"/>
      <family val="2"/>
    </font>
    <font>
      <b/>
      <sz val="10"/>
      <color rgb="FFFF0000"/>
      <name val="Arial"/>
      <family val="2"/>
    </font>
    <font>
      <vertAlign val="superscript"/>
      <sz val="10"/>
      <color rgb="FFC00000"/>
      <name val="Arial"/>
      <family val="2"/>
    </font>
    <font>
      <b/>
      <sz val="9"/>
      <color rgb="FFFF0000"/>
      <name val="Arial"/>
      <family val="2"/>
    </font>
    <font>
      <sz val="10"/>
      <color theme="4"/>
      <name val="Arial"/>
      <family val="2"/>
    </font>
    <font>
      <sz val="9"/>
      <color theme="4"/>
      <name val="Arial"/>
      <family val="2"/>
    </font>
    <font>
      <sz val="8"/>
      <color rgb="FFFF0000"/>
      <name val="Arial"/>
      <family val="2"/>
    </font>
    <font>
      <sz val="9"/>
      <color rgb="FFFF0000"/>
      <name val="Arial"/>
      <family val="2"/>
    </font>
    <font>
      <sz val="10"/>
      <color rgb="FF000000"/>
      <name val="Arial"/>
      <family val="2"/>
    </font>
    <font>
      <vertAlign val="superscript"/>
      <sz val="10"/>
      <color rgb="FFFF0000"/>
      <name val="Arial"/>
    </font>
    <font>
      <sz val="10"/>
      <color rgb="FF000000"/>
      <name val="Arial"/>
    </font>
  </fonts>
  <fills count="126">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indexed="49"/>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60"/>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patternFill>
    </fill>
    <fill>
      <patternFill patternType="solid">
        <fgColor indexed="22"/>
        <bgColor indexed="64"/>
      </patternFill>
    </fill>
    <fill>
      <patternFill patternType="solid">
        <fgColor indexed="26"/>
        <bgColor indexed="64"/>
      </patternFill>
    </fill>
    <fill>
      <patternFill patternType="solid">
        <fgColor indexed="20"/>
      </patternFill>
    </fill>
    <fill>
      <patternFill patternType="solid">
        <fgColor rgb="FFFFFF00"/>
        <bgColor indexed="64"/>
      </patternFill>
    </fill>
  </fills>
  <borders count="1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58"/>
      </bottom>
      <diagonal/>
    </border>
    <border>
      <left/>
      <right/>
      <top/>
      <bottom style="medium">
        <color indexed="58"/>
      </bottom>
      <diagonal/>
    </border>
    <border>
      <left/>
      <right/>
      <top/>
      <bottom style="medium">
        <color indexed="30"/>
      </bottom>
      <diagonal/>
    </border>
    <border>
      <left/>
      <right/>
      <top/>
      <bottom style="double">
        <color indexed="17"/>
      </bottom>
      <diagonal/>
    </border>
    <border>
      <left/>
      <right/>
      <top/>
      <bottom style="double">
        <color indexed="52"/>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medium">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auto="1"/>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5687">
    <xf numFmtId="175" fontId="0" fillId="0" borderId="0"/>
    <xf numFmtId="175" fontId="20" fillId="2" borderId="0" applyNumberFormat="0" applyBorder="0" applyAlignment="0" applyProtection="0"/>
    <xf numFmtId="175" fontId="20" fillId="3" borderId="0" applyNumberFormat="0" applyBorder="0" applyAlignment="0" applyProtection="0"/>
    <xf numFmtId="175" fontId="20" fillId="4" borderId="0" applyNumberFormat="0" applyBorder="0" applyAlignment="0" applyProtection="0"/>
    <xf numFmtId="175" fontId="20" fillId="5" borderId="0" applyNumberFormat="0" applyBorder="0" applyAlignment="0" applyProtection="0"/>
    <xf numFmtId="175" fontId="20" fillId="6" borderId="0" applyNumberFormat="0" applyBorder="0" applyAlignment="0" applyProtection="0"/>
    <xf numFmtId="175" fontId="20" fillId="7" borderId="0" applyNumberFormat="0" applyBorder="0" applyAlignment="0" applyProtection="0"/>
    <xf numFmtId="175" fontId="20" fillId="8" borderId="0" applyNumberFormat="0" applyBorder="0" applyAlignment="0" applyProtection="0"/>
    <xf numFmtId="175" fontId="20" fillId="3" borderId="0" applyNumberFormat="0" applyBorder="0" applyAlignment="0" applyProtection="0"/>
    <xf numFmtId="175" fontId="20" fillId="9" borderId="0" applyNumberFormat="0" applyBorder="0" applyAlignment="0" applyProtection="0"/>
    <xf numFmtId="175" fontId="20" fillId="10" borderId="0" applyNumberFormat="0" applyBorder="0" applyAlignment="0" applyProtection="0"/>
    <xf numFmtId="175" fontId="20" fillId="8" borderId="0" applyNumberFormat="0" applyBorder="0" applyAlignment="0" applyProtection="0"/>
    <xf numFmtId="175" fontId="20"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3" fillId="13" borderId="0" applyNumberFormat="0" applyBorder="0" applyAlignment="0" applyProtection="0"/>
    <xf numFmtId="175" fontId="23" fillId="14" borderId="0" applyNumberFormat="0" applyBorder="0" applyAlignment="0" applyProtection="0"/>
    <xf numFmtId="175" fontId="22" fillId="15" borderId="0" applyNumberFormat="0" applyBorder="0" applyAlignment="0" applyProtection="0"/>
    <xf numFmtId="175" fontId="22" fillId="16" borderId="0" applyNumberFormat="0" applyBorder="0" applyAlignment="0" applyProtection="0"/>
    <xf numFmtId="175" fontId="23" fillId="17" borderId="0" applyNumberFormat="0" applyBorder="0" applyAlignment="0" applyProtection="0"/>
    <xf numFmtId="175" fontId="23" fillId="18" borderId="0" applyNumberFormat="0" applyBorder="0" applyAlignment="0" applyProtection="0"/>
    <xf numFmtId="175" fontId="22" fillId="19" borderId="0" applyNumberFormat="0" applyBorder="0" applyAlignment="0" applyProtection="0"/>
    <xf numFmtId="175" fontId="22" fillId="19" borderId="0" applyNumberFormat="0" applyBorder="0" applyAlignment="0" applyProtection="0"/>
    <xf numFmtId="175" fontId="23" fillId="20" borderId="0" applyNumberFormat="0" applyBorder="0" applyAlignment="0" applyProtection="0"/>
    <xf numFmtId="175" fontId="23" fillId="21" borderId="0" applyNumberFormat="0" applyBorder="0" applyAlignment="0" applyProtection="0"/>
    <xf numFmtId="175" fontId="22" fillId="22" borderId="0" applyNumberFormat="0" applyBorder="0" applyAlignment="0" applyProtection="0"/>
    <xf numFmtId="175" fontId="22" fillId="23" borderId="0" applyNumberFormat="0" applyBorder="0" applyAlignment="0" applyProtection="0"/>
    <xf numFmtId="175" fontId="23" fillId="21" borderId="0" applyNumberFormat="0" applyBorder="0" applyAlignment="0" applyProtection="0"/>
    <xf numFmtId="175" fontId="23" fillId="22" borderId="0" applyNumberFormat="0" applyBorder="0" applyAlignment="0" applyProtection="0"/>
    <xf numFmtId="175" fontId="22" fillId="22" borderId="0" applyNumberFormat="0" applyBorder="0" applyAlignment="0" applyProtection="0"/>
    <xf numFmtId="175" fontId="22" fillId="24" borderId="0" applyNumberFormat="0" applyBorder="0" applyAlignment="0" applyProtection="0"/>
    <xf numFmtId="175" fontId="23" fillId="13" borderId="0" applyNumberFormat="0" applyBorder="0" applyAlignment="0" applyProtection="0"/>
    <xf numFmtId="175" fontId="23" fillId="14" borderId="0" applyNumberFormat="0" applyBorder="0" applyAlignment="0" applyProtection="0"/>
    <xf numFmtId="175" fontId="22" fillId="14" borderId="0" applyNumberFormat="0" applyBorder="0" applyAlignment="0" applyProtection="0"/>
    <xf numFmtId="175" fontId="22" fillId="25" borderId="0" applyNumberFormat="0" applyBorder="0" applyAlignment="0" applyProtection="0"/>
    <xf numFmtId="175" fontId="23" fillId="26" borderId="0" applyNumberFormat="0" applyBorder="0" applyAlignment="0" applyProtection="0"/>
    <xf numFmtId="175" fontId="23" fillId="18" borderId="0" applyNumberFormat="0" applyBorder="0" applyAlignment="0" applyProtection="0"/>
    <xf numFmtId="175" fontId="22" fillId="27"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43" fontId="51" fillId="0" borderId="0" applyFont="0" applyFill="0" applyBorder="0" applyAlignment="0" applyProtection="0"/>
    <xf numFmtId="43" fontId="16" fillId="0" borderId="0" applyFont="0" applyFill="0" applyBorder="0" applyAlignment="0" applyProtection="0"/>
    <xf numFmtId="44" fontId="51" fillId="0" borderId="0" applyFont="0" applyFill="0" applyBorder="0" applyAlignment="0" applyProtection="0"/>
    <xf numFmtId="44" fontId="16" fillId="0" borderId="0" applyFont="0" applyFill="0" applyBorder="0" applyAlignment="0" applyProtection="0"/>
    <xf numFmtId="44" fontId="52" fillId="0" borderId="0" applyFont="0" applyFill="0" applyBorder="0" applyAlignment="0" applyProtection="0"/>
    <xf numFmtId="44" fontId="16" fillId="0" borderId="0" applyFont="0" applyFill="0" applyBorder="0" applyAlignment="0" applyProtection="0"/>
    <xf numFmtId="44" fontId="52" fillId="0" borderId="0" applyFont="0" applyFill="0" applyBorder="0" applyAlignment="0" applyProtection="0"/>
    <xf numFmtId="175" fontId="27" fillId="29" borderId="0" applyNumberFormat="0" applyBorder="0" applyAlignment="0" applyProtection="0"/>
    <xf numFmtId="175" fontId="27" fillId="30" borderId="0" applyNumberFormat="0" applyBorder="0" applyAlignment="0" applyProtection="0"/>
    <xf numFmtId="175" fontId="27" fillId="31" borderId="0" applyNumberFormat="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0" borderId="0"/>
    <xf numFmtId="175" fontId="18" fillId="0" borderId="0"/>
    <xf numFmtId="175" fontId="16" fillId="26" borderId="7" applyNumberFormat="0" applyFont="0" applyAlignment="0" applyProtection="0"/>
    <xf numFmtId="175" fontId="36" fillId="28" borderId="8" applyNumberFormat="0" applyAlignment="0" applyProtection="0"/>
    <xf numFmtId="9" fontId="51" fillId="0" borderId="0" applyFont="0" applyFill="0" applyBorder="0" applyAlignment="0" applyProtection="0"/>
    <xf numFmtId="9" fontId="16" fillId="0" borderId="0" applyFont="0" applyFill="0" applyBorder="0" applyAlignment="0" applyProtection="0"/>
    <xf numFmtId="4" fontId="37" fillId="33" borderId="9" applyNumberFormat="0" applyProtection="0">
      <alignment vertical="center"/>
    </xf>
    <xf numFmtId="4" fontId="38" fillId="33" borderId="9" applyNumberFormat="0" applyProtection="0">
      <alignment vertical="center"/>
    </xf>
    <xf numFmtId="4" fontId="37" fillId="33" borderId="9" applyNumberFormat="0" applyProtection="0">
      <alignment horizontal="left" vertical="center" indent="1"/>
    </xf>
    <xf numFmtId="175" fontId="37" fillId="33" borderId="9" applyNumberFormat="0" applyProtection="0">
      <alignment horizontal="left" vertical="top" indent="1"/>
    </xf>
    <xf numFmtId="4" fontId="37" fillId="2" borderId="0" applyNumberFormat="0" applyProtection="0">
      <alignment horizontal="left" vertical="center" indent="1"/>
    </xf>
    <xf numFmtId="4" fontId="20" fillId="7" borderId="9" applyNumberFormat="0" applyProtection="0">
      <alignment horizontal="right" vertical="center"/>
    </xf>
    <xf numFmtId="4" fontId="20" fillId="3" borderId="9" applyNumberFormat="0" applyProtection="0">
      <alignment horizontal="right" vertical="center"/>
    </xf>
    <xf numFmtId="4" fontId="20" fillId="34" borderId="9" applyNumberFormat="0" applyProtection="0">
      <alignment horizontal="right" vertical="center"/>
    </xf>
    <xf numFmtId="4" fontId="20" fillId="35" borderId="9" applyNumberFormat="0" applyProtection="0">
      <alignment horizontal="right" vertical="center"/>
    </xf>
    <xf numFmtId="4" fontId="20" fillId="36" borderId="9" applyNumberFormat="0" applyProtection="0">
      <alignment horizontal="right" vertical="center"/>
    </xf>
    <xf numFmtId="4" fontId="20" fillId="37" borderId="9" applyNumberFormat="0" applyProtection="0">
      <alignment horizontal="right" vertical="center"/>
    </xf>
    <xf numFmtId="4" fontId="20" fillId="9" borderId="9" applyNumberFormat="0" applyProtection="0">
      <alignment horizontal="right" vertical="center"/>
    </xf>
    <xf numFmtId="4" fontId="20" fillId="38" borderId="9" applyNumberFormat="0" applyProtection="0">
      <alignment horizontal="right" vertical="center"/>
    </xf>
    <xf numFmtId="4" fontId="20" fillId="39" borderId="9" applyNumberFormat="0" applyProtection="0">
      <alignment horizontal="right" vertical="center"/>
    </xf>
    <xf numFmtId="4" fontId="37" fillId="40" borderId="10" applyNumberFormat="0" applyProtection="0">
      <alignment horizontal="left" vertical="center" indent="1"/>
    </xf>
    <xf numFmtId="4" fontId="20" fillId="41" borderId="0" applyNumberFormat="0" applyProtection="0">
      <alignment horizontal="left" vertical="center" indent="1"/>
    </xf>
    <xf numFmtId="4" fontId="39" fillId="8" borderId="0" applyNumberFormat="0" applyProtection="0">
      <alignment horizontal="left" vertical="center" indent="1"/>
    </xf>
    <xf numFmtId="4" fontId="20" fillId="2" borderId="9" applyNumberFormat="0" applyProtection="0">
      <alignment horizontal="right" vertical="center"/>
    </xf>
    <xf numFmtId="4" fontId="18" fillId="41" borderId="0" applyNumberFormat="0" applyProtection="0">
      <alignment horizontal="left" vertical="center" indent="1"/>
    </xf>
    <xf numFmtId="4" fontId="18" fillId="2" borderId="0" applyNumberFormat="0" applyProtection="0">
      <alignment horizontal="left" vertical="center" indent="1"/>
    </xf>
    <xf numFmtId="175" fontId="16" fillId="8" borderId="9" applyNumberFormat="0" applyProtection="0">
      <alignment horizontal="left" vertical="center" indent="1"/>
    </xf>
    <xf numFmtId="175" fontId="16" fillId="8" borderId="9" applyNumberFormat="0" applyProtection="0">
      <alignment horizontal="left" vertical="top" indent="1"/>
    </xf>
    <xf numFmtId="175" fontId="16" fillId="2" borderId="9" applyNumberFormat="0" applyProtection="0">
      <alignment horizontal="left" vertical="center" indent="1"/>
    </xf>
    <xf numFmtId="175" fontId="16" fillId="2" borderId="9" applyNumberFormat="0" applyProtection="0">
      <alignment horizontal="left" vertical="top" indent="1"/>
    </xf>
    <xf numFmtId="175" fontId="16" fillId="6" borderId="9" applyNumberFormat="0" applyProtection="0">
      <alignment horizontal="left" vertical="center" indent="1"/>
    </xf>
    <xf numFmtId="175" fontId="16" fillId="6" borderId="9" applyNumberFormat="0" applyProtection="0">
      <alignment horizontal="left" vertical="top" indent="1"/>
    </xf>
    <xf numFmtId="175" fontId="16" fillId="41" borderId="9" applyNumberFormat="0" applyProtection="0">
      <alignment horizontal="left" vertical="center" indent="1"/>
    </xf>
    <xf numFmtId="175" fontId="16" fillId="41" borderId="9" applyNumberFormat="0" applyProtection="0">
      <alignment horizontal="left" vertical="top" indent="1"/>
    </xf>
    <xf numFmtId="175" fontId="16" fillId="5" borderId="11" applyNumberFormat="0">
      <protection locked="0"/>
    </xf>
    <xf numFmtId="4" fontId="20" fillId="4" borderId="9" applyNumberFormat="0" applyProtection="0">
      <alignment vertical="center"/>
    </xf>
    <xf numFmtId="4" fontId="40" fillId="4" borderId="9" applyNumberFormat="0" applyProtection="0">
      <alignment vertical="center"/>
    </xf>
    <xf numFmtId="4" fontId="20" fillId="4" borderId="9" applyNumberFormat="0" applyProtection="0">
      <alignment horizontal="left" vertical="center" indent="1"/>
    </xf>
    <xf numFmtId="175" fontId="20" fillId="4" borderId="9" applyNumberFormat="0" applyProtection="0">
      <alignment horizontal="left" vertical="top" indent="1"/>
    </xf>
    <xf numFmtId="4" fontId="20" fillId="41" borderId="9" applyNumberFormat="0" applyProtection="0">
      <alignment horizontal="right" vertical="center"/>
    </xf>
    <xf numFmtId="4" fontId="40" fillId="41" borderId="9" applyNumberFormat="0" applyProtection="0">
      <alignment horizontal="right" vertical="center"/>
    </xf>
    <xf numFmtId="4" fontId="20" fillId="2" borderId="9" applyNumberFormat="0" applyProtection="0">
      <alignment horizontal="left" vertical="center" indent="1"/>
    </xf>
    <xf numFmtId="175" fontId="20" fillId="2" borderId="9" applyNumberFormat="0" applyProtection="0">
      <alignment horizontal="left" vertical="top" indent="1"/>
    </xf>
    <xf numFmtId="4" fontId="41" fillId="42" borderId="0" applyNumberFormat="0" applyProtection="0">
      <alignment horizontal="left" vertical="center" indent="1"/>
    </xf>
    <xf numFmtId="4" fontId="42" fillId="41" borderId="9" applyNumberFormat="0" applyProtection="0">
      <alignment horizontal="right" vertical="center"/>
    </xf>
    <xf numFmtId="175" fontId="43" fillId="0" borderId="0" applyNumberFormat="0" applyFill="0" applyBorder="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44" fontId="16" fillId="0" borderId="0" applyFont="0" applyFill="0" applyBorder="0" applyAlignment="0" applyProtection="0"/>
    <xf numFmtId="4" fontId="18" fillId="7" borderId="9" applyNumberFormat="0" applyProtection="0">
      <alignment horizontal="right" vertical="center"/>
    </xf>
    <xf numFmtId="4" fontId="18" fillId="3" borderId="9" applyNumberFormat="0" applyProtection="0">
      <alignment horizontal="right" vertical="center"/>
    </xf>
    <xf numFmtId="4" fontId="18" fillId="34" borderId="9" applyNumberFormat="0" applyProtection="0">
      <alignment horizontal="right" vertical="center"/>
    </xf>
    <xf numFmtId="4" fontId="18" fillId="35" borderId="9" applyNumberFormat="0" applyProtection="0">
      <alignment horizontal="right" vertical="center"/>
    </xf>
    <xf numFmtId="4" fontId="18" fillId="36" borderId="9" applyNumberFormat="0" applyProtection="0">
      <alignment horizontal="right" vertical="center"/>
    </xf>
    <xf numFmtId="4" fontId="18" fillId="37" borderId="9" applyNumberFormat="0" applyProtection="0">
      <alignment horizontal="right" vertical="center"/>
    </xf>
    <xf numFmtId="4" fontId="18" fillId="9" borderId="9" applyNumberFormat="0" applyProtection="0">
      <alignment horizontal="right" vertical="center"/>
    </xf>
    <xf numFmtId="4" fontId="18" fillId="38" borderId="9" applyNumberFormat="0" applyProtection="0">
      <alignment horizontal="right" vertical="center"/>
    </xf>
    <xf numFmtId="4" fontId="18" fillId="39" borderId="9" applyNumberFormat="0" applyProtection="0">
      <alignment horizontal="right" vertical="center"/>
    </xf>
    <xf numFmtId="4" fontId="18" fillId="41" borderId="0" applyNumberFormat="0" applyProtection="0">
      <alignment horizontal="left" vertical="center" indent="1"/>
    </xf>
    <xf numFmtId="4" fontId="18" fillId="2" borderId="9" applyNumberFormat="0" applyProtection="0">
      <alignment horizontal="right" vertical="center"/>
    </xf>
    <xf numFmtId="4" fontId="18" fillId="4" borderId="9" applyNumberFormat="0" applyProtection="0">
      <alignment vertical="center"/>
    </xf>
    <xf numFmtId="4" fontId="18" fillId="4" borderId="9" applyNumberFormat="0" applyProtection="0">
      <alignment horizontal="left" vertical="center" indent="1"/>
    </xf>
    <xf numFmtId="175" fontId="18" fillId="4" borderId="9" applyNumberFormat="0" applyProtection="0">
      <alignment horizontal="left" vertical="top" indent="1"/>
    </xf>
    <xf numFmtId="4" fontId="18" fillId="41" borderId="9" applyNumberFormat="0" applyProtection="0">
      <alignment horizontal="right" vertical="center"/>
    </xf>
    <xf numFmtId="4" fontId="18" fillId="2" borderId="9" applyNumberFormat="0" applyProtection="0">
      <alignment horizontal="left" vertical="center" indent="1"/>
    </xf>
    <xf numFmtId="175" fontId="18" fillId="2" borderId="9" applyNumberFormat="0" applyProtection="0">
      <alignment horizontal="left" vertical="top" indent="1"/>
    </xf>
    <xf numFmtId="9" fontId="58" fillId="0" borderId="0" applyFont="0" applyFill="0" applyBorder="0" applyAlignment="0" applyProtection="0"/>
    <xf numFmtId="175" fontId="60" fillId="0" borderId="0"/>
    <xf numFmtId="175" fontId="15"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6" fillId="0" borderId="0"/>
    <xf numFmtId="175" fontId="14" fillId="0" borderId="0"/>
    <xf numFmtId="175" fontId="61"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4" fillId="0" borderId="0"/>
    <xf numFmtId="175" fontId="13"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3" fillId="0" borderId="0"/>
    <xf numFmtId="175" fontId="13" fillId="0" borderId="0"/>
    <xf numFmtId="175" fontId="16" fillId="0" borderId="0"/>
    <xf numFmtId="175" fontId="13" fillId="0" borderId="0"/>
    <xf numFmtId="175" fontId="12"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2" fillId="0" borderId="0"/>
    <xf numFmtId="175" fontId="12" fillId="0" borderId="0"/>
    <xf numFmtId="175" fontId="12" fillId="0" borderId="0"/>
    <xf numFmtId="175" fontId="12" fillId="0" borderId="0"/>
    <xf numFmtId="175" fontId="12" fillId="0" borderId="0"/>
    <xf numFmtId="175" fontId="12" fillId="0" borderId="0"/>
    <xf numFmtId="175" fontId="12" fillId="0" borderId="0"/>
    <xf numFmtId="175" fontId="11" fillId="0" borderId="0"/>
    <xf numFmtId="175" fontId="10" fillId="0" borderId="0"/>
    <xf numFmtId="175" fontId="63" fillId="0" borderId="0"/>
    <xf numFmtId="175" fontId="10" fillId="0" borderId="0"/>
    <xf numFmtId="175" fontId="10" fillId="0" borderId="0"/>
    <xf numFmtId="175" fontId="10" fillId="0" borderId="0"/>
    <xf numFmtId="175" fontId="10" fillId="0" borderId="0"/>
    <xf numFmtId="175" fontId="10" fillId="0" borderId="0"/>
    <xf numFmtId="175" fontId="10" fillId="0" borderId="0"/>
    <xf numFmtId="175" fontId="10" fillId="0" borderId="0"/>
    <xf numFmtId="175" fontId="16" fillId="0" borderId="0"/>
    <xf numFmtId="175" fontId="9" fillId="0" borderId="0"/>
    <xf numFmtId="0" fontId="8"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16"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0" fontId="7"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16" fillId="0" borderId="0"/>
    <xf numFmtId="0" fontId="16" fillId="0" borderId="0"/>
    <xf numFmtId="0" fontId="16" fillId="0" borderId="0"/>
    <xf numFmtId="0" fontId="16" fillId="0" borderId="0"/>
    <xf numFmtId="0" fontId="7" fillId="0" borderId="0"/>
    <xf numFmtId="0" fontId="16" fillId="0" borderId="0"/>
    <xf numFmtId="0" fontId="16" fillId="0" borderId="0"/>
    <xf numFmtId="0" fontId="16" fillId="0" borderId="0"/>
    <xf numFmtId="0" fontId="6" fillId="0" borderId="0"/>
    <xf numFmtId="175" fontId="74"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0" fontId="74"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0" fontId="5" fillId="0" borderId="0"/>
    <xf numFmtId="175" fontId="16"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0" fontId="16" fillId="0" borderId="0"/>
    <xf numFmtId="0" fontId="4" fillId="0" borderId="0"/>
    <xf numFmtId="4" fontId="45" fillId="0" borderId="56" applyNumberFormat="0" applyProtection="0">
      <alignment horizontal="right" vertical="center"/>
    </xf>
    <xf numFmtId="4" fontId="45" fillId="51" borderId="56" applyNumberFormat="0" applyProtection="0">
      <alignment horizontal="left" vertical="center" indent="1"/>
    </xf>
    <xf numFmtId="43" fontId="4" fillId="0" borderId="0" applyFont="0" applyFill="0" applyBorder="0" applyAlignment="0" applyProtection="0"/>
    <xf numFmtId="0" fontId="3" fillId="0" borderId="0"/>
    <xf numFmtId="0" fontId="3" fillId="66" borderId="0" applyNumberFormat="0" applyBorder="0" applyAlignment="0" applyProtection="0"/>
    <xf numFmtId="0" fontId="3" fillId="7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2" fillId="22"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3" fillId="26" borderId="0" applyNumberFormat="0" applyBorder="0" applyAlignment="0" applyProtection="0"/>
    <xf numFmtId="0" fontId="23" fillId="18" borderId="0" applyNumberFormat="0" applyBorder="0" applyAlignment="0" applyProtection="0"/>
    <xf numFmtId="0" fontId="22" fillId="27" borderId="0" applyNumberFormat="0" applyBorder="0" applyAlignment="0" applyProtection="0"/>
    <xf numFmtId="0" fontId="104" fillId="76" borderId="0" applyNumberFormat="0" applyBorder="0" applyAlignment="0" applyProtection="0"/>
    <xf numFmtId="0" fontId="3" fillId="74" borderId="0" applyNumberFormat="0" applyBorder="0" applyAlignment="0" applyProtection="0"/>
    <xf numFmtId="0" fontId="3" fillId="73" borderId="0" applyNumberFormat="0" applyBorder="0" applyAlignment="0" applyProtection="0"/>
    <xf numFmtId="0" fontId="104" fillId="72"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3" fillId="65" borderId="0" applyNumberFormat="0" applyBorder="0" applyAlignment="0" applyProtection="0"/>
    <xf numFmtId="0" fontId="103" fillId="0" borderId="67" applyNumberFormat="0" applyFill="0" applyAlignment="0" applyProtection="0"/>
    <xf numFmtId="0" fontId="102" fillId="0" borderId="0" applyNumberFormat="0" applyFill="0" applyBorder="0" applyAlignment="0" applyProtection="0"/>
    <xf numFmtId="0" fontId="98" fillId="57" borderId="62" applyNumberFormat="0" applyAlignment="0" applyProtection="0"/>
    <xf numFmtId="0" fontId="94" fillId="53" borderId="0" applyNumberFormat="0" applyBorder="0" applyAlignment="0" applyProtection="0"/>
    <xf numFmtId="0" fontId="37" fillId="33" borderId="9" applyNumberFormat="0" applyProtection="0">
      <alignment horizontal="left" vertical="top" indent="1"/>
    </xf>
    <xf numFmtId="0" fontId="93" fillId="0" borderId="0" applyNumberFormat="0" applyFill="0" applyBorder="0" applyAlignment="0" applyProtection="0"/>
    <xf numFmtId="0" fontId="93" fillId="0" borderId="61" applyNumberFormat="0" applyFill="0" applyAlignment="0" applyProtection="0"/>
    <xf numFmtId="0" fontId="92" fillId="0" borderId="60" applyNumberFormat="0" applyFill="0" applyAlignment="0" applyProtection="0"/>
    <xf numFmtId="0" fontId="91" fillId="0" borderId="59" applyNumberFormat="0" applyFill="0" applyAlignment="0" applyProtection="0"/>
    <xf numFmtId="43" fontId="16" fillId="0" borderId="0" applyFont="0" applyFill="0" applyBorder="0" applyAlignment="0" applyProtection="0"/>
    <xf numFmtId="0" fontId="104" fillId="64" borderId="0" applyNumberFormat="0" applyBorder="0" applyAlignment="0" applyProtection="0"/>
    <xf numFmtId="0" fontId="3" fillId="61" borderId="0" applyNumberFormat="0" applyBorder="0" applyAlignment="0" applyProtection="0"/>
    <xf numFmtId="0" fontId="16" fillId="8" borderId="9" applyNumberFormat="0" applyProtection="0">
      <alignment horizontal="left" vertical="center" indent="1"/>
    </xf>
    <xf numFmtId="0" fontId="16" fillId="8" borderId="9" applyNumberFormat="0" applyProtection="0">
      <alignment horizontal="left" vertical="top" indent="1"/>
    </xf>
    <xf numFmtId="0" fontId="16" fillId="2" borderId="9" applyNumberFormat="0" applyProtection="0">
      <alignment horizontal="left" vertical="center" indent="1"/>
    </xf>
    <xf numFmtId="0" fontId="16" fillId="2" borderId="9" applyNumberFormat="0" applyProtection="0">
      <alignment horizontal="left" vertical="top" indent="1"/>
    </xf>
    <xf numFmtId="0" fontId="16" fillId="6" borderId="9" applyNumberFormat="0" applyProtection="0">
      <alignment horizontal="left" vertical="center" indent="1"/>
    </xf>
    <xf numFmtId="0" fontId="16" fillId="6" borderId="9" applyNumberFormat="0" applyProtection="0">
      <alignment horizontal="left" vertical="top" indent="1"/>
    </xf>
    <xf numFmtId="0" fontId="16" fillId="41" borderId="9" applyNumberFormat="0" applyProtection="0">
      <alignment horizontal="left" vertical="center" indent="1"/>
    </xf>
    <xf numFmtId="0" fontId="16" fillId="41" borderId="9" applyNumberFormat="0" applyProtection="0">
      <alignment horizontal="left" vertical="top" indent="1"/>
    </xf>
    <xf numFmtId="0" fontId="16" fillId="5" borderId="11" applyNumberFormat="0">
      <protection locked="0"/>
    </xf>
    <xf numFmtId="0" fontId="3" fillId="61" borderId="0" applyNumberFormat="0" applyBorder="0" applyAlignment="0" applyProtection="0"/>
    <xf numFmtId="0" fontId="99" fillId="0" borderId="64" applyNumberFormat="0" applyFill="0" applyAlignment="0" applyProtection="0"/>
    <xf numFmtId="0" fontId="3" fillId="62" borderId="0" applyNumberFormat="0" applyBorder="0" applyAlignment="0" applyProtection="0"/>
    <xf numFmtId="0" fontId="18" fillId="4" borderId="9" applyNumberFormat="0" applyProtection="0">
      <alignment horizontal="left" vertical="top" indent="1"/>
    </xf>
    <xf numFmtId="0" fontId="3" fillId="61" borderId="0" applyNumberFormat="0" applyBorder="0" applyAlignment="0" applyProtection="0"/>
    <xf numFmtId="0" fontId="3" fillId="61" borderId="0" applyNumberFormat="0" applyBorder="0" applyAlignment="0" applyProtection="0"/>
    <xf numFmtId="0" fontId="95" fillId="54" borderId="0" applyNumberFormat="0" applyBorder="0" applyAlignment="0" applyProtection="0"/>
    <xf numFmtId="0" fontId="18" fillId="2" borderId="9" applyNumberFormat="0" applyProtection="0">
      <alignment horizontal="left" vertical="top" indent="1"/>
    </xf>
    <xf numFmtId="0" fontId="104" fillId="64" borderId="0" applyNumberFormat="0" applyBorder="0" applyAlignment="0" applyProtection="0"/>
    <xf numFmtId="0" fontId="104" fillId="60" borderId="0" applyNumberFormat="0" applyBorder="0" applyAlignment="0" applyProtection="0"/>
    <xf numFmtId="0" fontId="43" fillId="0" borderId="0" applyNumberFormat="0" applyFill="0" applyBorder="0" applyAlignment="0" applyProtection="0"/>
    <xf numFmtId="0" fontId="104" fillId="68" borderId="0" applyNumberFormat="0" applyBorder="0" applyAlignment="0" applyProtection="0"/>
    <xf numFmtId="0" fontId="3" fillId="69"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104" fillId="80" borderId="0" applyNumberFormat="0" applyBorder="0" applyAlignment="0" applyProtection="0"/>
    <xf numFmtId="0" fontId="3" fillId="8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23" fillId="86" borderId="0" applyNumberFormat="0" applyBorder="0" applyAlignment="0" applyProtection="0"/>
    <xf numFmtId="0" fontId="3" fillId="61" borderId="0" applyNumberFormat="0" applyBorder="0" applyAlignment="0" applyProtection="0"/>
    <xf numFmtId="0" fontId="3" fillId="82" borderId="0" applyNumberFormat="0" applyBorder="0" applyAlignment="0" applyProtection="0"/>
    <xf numFmtId="0" fontId="3" fillId="0" borderId="0"/>
    <xf numFmtId="0" fontId="101" fillId="0" borderId="0" applyNumberFormat="0" applyFill="0" applyBorder="0" applyAlignment="0" applyProtection="0"/>
    <xf numFmtId="0" fontId="100" fillId="58" borderId="65" applyNumberFormat="0" applyAlignment="0" applyProtection="0"/>
    <xf numFmtId="0" fontId="23" fillId="7" borderId="0" applyNumberFormat="0" applyBorder="0" applyAlignment="0" applyProtection="0"/>
    <xf numFmtId="0" fontId="23" fillId="84" borderId="0" applyNumberFormat="0" applyBorder="0" applyAlignment="0" applyProtection="0"/>
    <xf numFmtId="0" fontId="23" fillId="84" borderId="0" applyNumberFormat="0" applyBorder="0" applyAlignment="0" applyProtection="0"/>
    <xf numFmtId="0" fontId="97" fillId="57" borderId="63" applyNumberFormat="0" applyAlignment="0" applyProtection="0"/>
    <xf numFmtId="0" fontId="96" fillId="56" borderId="62" applyNumberFormat="0" applyAlignment="0" applyProtection="0"/>
    <xf numFmtId="0" fontId="23" fillId="7" borderId="0" applyNumberFormat="0" applyBorder="0" applyAlignment="0" applyProtection="0"/>
    <xf numFmtId="0" fontId="23" fillId="86"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 fillId="87" borderId="0" applyNumberFormat="0" applyBorder="0" applyAlignment="0" applyProtection="0"/>
    <xf numFmtId="0" fontId="23" fillId="8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2" fillId="88" borderId="0" applyNumberFormat="0" applyBorder="0" applyAlignment="0" applyProtection="0"/>
    <xf numFmtId="0" fontId="22" fillId="3" borderId="0" applyNumberFormat="0" applyBorder="0" applyAlignment="0" applyProtection="0"/>
    <xf numFmtId="0" fontId="22" fillId="39" borderId="0" applyNumberFormat="0" applyBorder="0" applyAlignment="0" applyProtection="0"/>
    <xf numFmtId="0" fontId="22" fillId="89" borderId="0" applyNumberFormat="0" applyBorder="0" applyAlignment="0" applyProtection="0"/>
    <xf numFmtId="0" fontId="22" fillId="51" borderId="0" applyNumberFormat="0" applyBorder="0" applyAlignment="0" applyProtection="0"/>
    <xf numFmtId="0" fontId="22" fillId="36" borderId="0" applyNumberFormat="0" applyBorder="0" applyAlignment="0" applyProtection="0"/>
    <xf numFmtId="0" fontId="23" fillId="90" borderId="0" applyNumberFormat="0" applyBorder="0" applyAlignment="0" applyProtection="0"/>
    <xf numFmtId="0" fontId="23" fillId="90"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2" fillId="91" borderId="0" applyNumberFormat="0" applyBorder="0" applyAlignment="0" applyProtection="0"/>
    <xf numFmtId="0" fontId="22" fillId="1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3" fillId="93" borderId="0" applyNumberFormat="0" applyBorder="0" applyAlignment="0" applyProtection="0"/>
    <xf numFmtId="0" fontId="23" fillId="9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2" fillId="18" borderId="0" applyNumberFormat="0" applyBorder="0" applyAlignment="0" applyProtection="0"/>
    <xf numFmtId="0" fontId="22" fillId="16"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3" fillId="94" borderId="0" applyNumberFormat="0" applyBorder="0" applyAlignment="0" applyProtection="0"/>
    <xf numFmtId="0" fontId="23" fillId="94" borderId="0" applyNumberFormat="0" applyBorder="0" applyAlignment="0" applyProtection="0"/>
    <xf numFmtId="0" fontId="23" fillId="95" borderId="0" applyNumberFormat="0" applyBorder="0" applyAlignment="0" applyProtection="0"/>
    <xf numFmtId="0" fontId="23" fillId="95" borderId="0" applyNumberFormat="0" applyBorder="0" applyAlignment="0" applyProtection="0"/>
    <xf numFmtId="0" fontId="22" fillId="96" borderId="0" applyNumberFormat="0" applyBorder="0" applyAlignment="0" applyProtection="0"/>
    <xf numFmtId="0" fontId="22"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93" borderId="0" applyNumberFormat="0" applyBorder="0" applyAlignment="0" applyProtection="0"/>
    <xf numFmtId="0" fontId="23" fillId="9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2" fillId="21" borderId="0" applyNumberFormat="0" applyBorder="0" applyAlignment="0" applyProtection="0"/>
    <xf numFmtId="0" fontId="22" fillId="98"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04" fillId="68" borderId="0" applyNumberFormat="0" applyBorder="0" applyAlignment="0" applyProtection="0"/>
    <xf numFmtId="0" fontId="22" fillId="91" borderId="0" applyNumberFormat="0" applyBorder="0" applyAlignment="0" applyProtection="0"/>
    <xf numFmtId="0" fontId="22" fillId="9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2" fillId="99" borderId="0" applyNumberFormat="0" applyBorder="0" applyAlignment="0" applyProtection="0"/>
    <xf numFmtId="0" fontId="22" fillId="100"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06" fillId="26" borderId="0" applyNumberFormat="0" applyBorder="0" applyAlignment="0" applyProtection="0"/>
    <xf numFmtId="0" fontId="95" fillId="54" borderId="0" applyNumberFormat="0" applyBorder="0" applyAlignment="0" applyProtection="0"/>
    <xf numFmtId="0" fontId="107" fillId="7" borderId="0" applyNumberFormat="0" applyBorder="0" applyAlignment="0" applyProtection="0"/>
    <xf numFmtId="0" fontId="108" fillId="101" borderId="56" applyNumberFormat="0" applyAlignment="0" applyProtection="0"/>
    <xf numFmtId="0" fontId="109" fillId="10" borderId="1" applyNumberFormat="0" applyAlignment="0" applyProtection="0"/>
    <xf numFmtId="0" fontId="26" fillId="98" borderId="2" applyNumberFormat="0" applyAlignment="0" applyProtection="0"/>
    <xf numFmtId="0" fontId="26" fillId="102" borderId="2" applyNumberFormat="0" applyAlignment="0" applyProtection="0"/>
    <xf numFmtId="41" fontId="1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04" fillId="60"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7" fillId="103" borderId="0" applyNumberFormat="0" applyBorder="0" applyAlignment="0" applyProtection="0"/>
    <xf numFmtId="0" fontId="27" fillId="104" borderId="0" applyNumberFormat="0" applyBorder="0" applyAlignment="0" applyProtection="0"/>
    <xf numFmtId="0" fontId="111" fillId="0" borderId="0" applyNumberFormat="0" applyFill="0" applyBorder="0" applyAlignment="0" applyProtection="0"/>
    <xf numFmtId="0" fontId="23" fillId="95" borderId="0" applyNumberFormat="0" applyBorder="0" applyAlignment="0" applyProtection="0"/>
    <xf numFmtId="0" fontId="29" fillId="85" borderId="0" applyNumberFormat="0" applyBorder="0" applyAlignment="0" applyProtection="0"/>
    <xf numFmtId="0" fontId="23" fillId="95" borderId="0" applyNumberFormat="0" applyBorder="0" applyAlignment="0" applyProtection="0"/>
    <xf numFmtId="0" fontId="30" fillId="0" borderId="3" applyNumberFormat="0" applyFill="0" applyAlignment="0" applyProtection="0"/>
    <xf numFmtId="0" fontId="112" fillId="0" borderId="69" applyNumberFormat="0" applyFill="0" applyAlignment="0" applyProtection="0"/>
    <xf numFmtId="0" fontId="31" fillId="0" borderId="70" applyNumberFormat="0" applyFill="0" applyAlignment="0" applyProtection="0"/>
    <xf numFmtId="0" fontId="113" fillId="0" borderId="4" applyNumberFormat="0" applyFill="0" applyAlignment="0" applyProtection="0"/>
    <xf numFmtId="0" fontId="32" fillId="0" borderId="71" applyNumberFormat="0" applyFill="0" applyAlignment="0" applyProtection="0"/>
    <xf numFmtId="0" fontId="114" fillId="0" borderId="72" applyNumberFormat="0" applyFill="0" applyAlignment="0" applyProtection="0"/>
    <xf numFmtId="0" fontId="32" fillId="0" borderId="0" applyNumberFormat="0" applyFill="0" applyBorder="0" applyAlignment="0" applyProtection="0"/>
    <xf numFmtId="0" fontId="114" fillId="0" borderId="0" applyNumberFormat="0" applyFill="0" applyBorder="0" applyAlignment="0" applyProtection="0"/>
    <xf numFmtId="0" fontId="33" fillId="27" borderId="56" applyNumberFormat="0" applyAlignment="0" applyProtection="0"/>
    <xf numFmtId="0" fontId="115" fillId="11" borderId="1" applyNumberFormat="0" applyAlignment="0" applyProtection="0"/>
    <xf numFmtId="0" fontId="29" fillId="0" borderId="73" applyNumberFormat="0" applyFill="0" applyAlignment="0" applyProtection="0"/>
    <xf numFmtId="0" fontId="116" fillId="0" borderId="74" applyNumberFormat="0" applyFill="0" applyAlignment="0" applyProtection="0"/>
    <xf numFmtId="0" fontId="29" fillId="27" borderId="0" applyNumberFormat="0" applyBorder="0" applyAlignment="0" applyProtection="0"/>
    <xf numFmtId="0" fontId="105" fillId="55" borderId="0" applyNumberFormat="0" applyBorder="0" applyAlignment="0" applyProtection="0"/>
    <xf numFmtId="0" fontId="35" fillId="33" borderId="0" applyNumberFormat="0" applyBorder="0" applyAlignment="0" applyProtection="0"/>
    <xf numFmtId="0" fontId="3" fillId="0" borderId="0"/>
    <xf numFmtId="0" fontId="3" fillId="0" borderId="0"/>
    <xf numFmtId="0" fontId="110" fillId="0" borderId="0"/>
    <xf numFmtId="0" fontId="110" fillId="0" borderId="0"/>
    <xf numFmtId="0" fontId="16" fillId="0" borderId="0"/>
    <xf numFmtId="0" fontId="110" fillId="0" borderId="0"/>
    <xf numFmtId="0" fontId="110" fillId="0" borderId="0"/>
    <xf numFmtId="0" fontId="110" fillId="0" borderId="0"/>
    <xf numFmtId="0" fontId="1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3" fillId="0" borderId="0"/>
    <xf numFmtId="0" fontId="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45" fillId="105" borderId="0"/>
    <xf numFmtId="0" fontId="23" fillId="0" borderId="0"/>
    <xf numFmtId="0" fontId="16" fillId="0" borderId="0"/>
    <xf numFmtId="0" fontId="16" fillId="0" borderId="0"/>
    <xf numFmtId="0" fontId="23" fillId="0" borderId="0"/>
    <xf numFmtId="0" fontId="23" fillId="0" borderId="0"/>
    <xf numFmtId="0" fontId="45" fillId="105"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0" fillId="0" borderId="0"/>
    <xf numFmtId="0" fontId="1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16" fillId="0" borderId="0"/>
    <xf numFmtId="0" fontId="3" fillId="0" borderId="0"/>
    <xf numFmtId="0" fontId="3"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0" fillId="0" borderId="0"/>
    <xf numFmtId="0" fontId="3" fillId="59" borderId="66" applyNumberFormat="0" applyFont="0" applyAlignment="0" applyProtection="0"/>
    <xf numFmtId="0" fontId="18" fillId="4" borderId="7" applyNumberFormat="0" applyFont="0" applyAlignment="0" applyProtection="0"/>
    <xf numFmtId="0" fontId="23" fillId="59" borderId="66" applyNumberFormat="0" applyFont="0" applyAlignment="0" applyProtection="0"/>
    <xf numFmtId="0" fontId="45" fillId="26" borderId="56" applyNumberFormat="0" applyFont="0" applyAlignment="0" applyProtection="0"/>
    <xf numFmtId="0" fontId="23" fillId="59" borderId="66" applyNumberFormat="0" applyFont="0" applyAlignment="0" applyProtection="0"/>
    <xf numFmtId="0" fontId="23" fillId="59" borderId="66" applyNumberFormat="0" applyFont="0" applyAlignment="0" applyProtection="0"/>
    <xf numFmtId="0" fontId="3" fillId="59" borderId="66" applyNumberFormat="0" applyFont="0" applyAlignment="0" applyProtection="0"/>
    <xf numFmtId="0" fontId="36" fillId="101" borderId="8" applyNumberFormat="0" applyAlignment="0" applyProtection="0"/>
    <xf numFmtId="0" fontId="36" fillId="10" borderId="8"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 fontId="18" fillId="106" borderId="8" applyNumberFormat="0" applyProtection="0">
      <alignment vertical="center"/>
    </xf>
    <xf numFmtId="4" fontId="18" fillId="106" borderId="8" applyNumberFormat="0" applyProtection="0">
      <alignment vertical="center"/>
    </xf>
    <xf numFmtId="4" fontId="45" fillId="33" borderId="56" applyNumberFormat="0" applyProtection="0">
      <alignment vertical="center"/>
    </xf>
    <xf numFmtId="4" fontId="45" fillId="33" borderId="56" applyNumberFormat="0" applyProtection="0">
      <alignment vertical="center"/>
    </xf>
    <xf numFmtId="4" fontId="45" fillId="33" borderId="56" applyNumberFormat="0" applyProtection="0">
      <alignment vertical="center"/>
    </xf>
    <xf numFmtId="4" fontId="40" fillId="106" borderId="8" applyNumberFormat="0" applyProtection="0">
      <alignment vertical="center"/>
    </xf>
    <xf numFmtId="4" fontId="117" fillId="106" borderId="56" applyNumberFormat="0" applyProtection="0">
      <alignment vertical="center"/>
    </xf>
    <xf numFmtId="4" fontId="18" fillId="106" borderId="8" applyNumberFormat="0" applyProtection="0">
      <alignment horizontal="left" vertical="center" indent="1"/>
    </xf>
    <xf numFmtId="4" fontId="45" fillId="106" borderId="56" applyNumberFormat="0" applyProtection="0">
      <alignment horizontal="left" vertical="center" indent="1"/>
    </xf>
    <xf numFmtId="4" fontId="45" fillId="106" borderId="56" applyNumberFormat="0" applyProtection="0">
      <alignment horizontal="left" vertical="center" indent="1"/>
    </xf>
    <xf numFmtId="4" fontId="45" fillId="106" borderId="56" applyNumberFormat="0" applyProtection="0">
      <alignment horizontal="left" vertical="center" indent="1"/>
    </xf>
    <xf numFmtId="4" fontId="18" fillId="106" borderId="8" applyNumberFormat="0" applyProtection="0">
      <alignment horizontal="left" vertical="center" indent="1"/>
    </xf>
    <xf numFmtId="0" fontId="118" fillId="33" borderId="9" applyNumberFormat="0" applyProtection="0">
      <alignment horizontal="left" vertical="top" indent="1"/>
    </xf>
    <xf numFmtId="0" fontId="16" fillId="107" borderId="8" applyNumberFormat="0" applyProtection="0">
      <alignment horizontal="left" vertical="center" indent="1"/>
    </xf>
    <xf numFmtId="4" fontId="45" fillId="51" borderId="56" applyNumberFormat="0" applyProtection="0">
      <alignment horizontal="left" vertical="center" indent="1"/>
    </xf>
    <xf numFmtId="4" fontId="45" fillId="51" borderId="56" applyNumberFormat="0" applyProtection="0">
      <alignment horizontal="left" vertical="center" indent="1"/>
    </xf>
    <xf numFmtId="4" fontId="45" fillId="51" borderId="56" applyNumberFormat="0" applyProtection="0">
      <alignment horizontal="left" vertical="center" indent="1"/>
    </xf>
    <xf numFmtId="4" fontId="45" fillId="51" borderId="56" applyNumberFormat="0" applyProtection="0">
      <alignment horizontal="left" vertical="center" indent="1"/>
    </xf>
    <xf numFmtId="4" fontId="18" fillId="108" borderId="8" applyNumberFormat="0" applyProtection="0">
      <alignment horizontal="right" vertical="center"/>
    </xf>
    <xf numFmtId="4" fontId="45" fillId="7" borderId="56" applyNumberFormat="0" applyProtection="0">
      <alignment horizontal="right" vertical="center"/>
    </xf>
    <xf numFmtId="4" fontId="45" fillId="7" borderId="56" applyNumberFormat="0" applyProtection="0">
      <alignment horizontal="right" vertical="center"/>
    </xf>
    <xf numFmtId="4" fontId="45" fillId="7" borderId="56" applyNumberFormat="0" applyProtection="0">
      <alignment horizontal="right" vertical="center"/>
    </xf>
    <xf numFmtId="4" fontId="18" fillId="109" borderId="8" applyNumberFormat="0" applyProtection="0">
      <alignment horizontal="right" vertical="center"/>
    </xf>
    <xf numFmtId="4" fontId="45" fillId="110" borderId="56" applyNumberFormat="0" applyProtection="0">
      <alignment horizontal="right" vertical="center"/>
    </xf>
    <xf numFmtId="4" fontId="45" fillId="110" borderId="56" applyNumberFormat="0" applyProtection="0">
      <alignment horizontal="right" vertical="center"/>
    </xf>
    <xf numFmtId="4" fontId="45" fillId="110" borderId="56" applyNumberFormat="0" applyProtection="0">
      <alignment horizontal="right" vertical="center"/>
    </xf>
    <xf numFmtId="4" fontId="18" fillId="111" borderId="8" applyNumberFormat="0" applyProtection="0">
      <alignment horizontal="right" vertical="center"/>
    </xf>
    <xf numFmtId="4" fontId="45" fillId="34" borderId="68" applyNumberFormat="0" applyProtection="0">
      <alignment horizontal="right" vertical="center"/>
    </xf>
    <xf numFmtId="4" fontId="45" fillId="34" borderId="68" applyNumberFormat="0" applyProtection="0">
      <alignment horizontal="right" vertical="center"/>
    </xf>
    <xf numFmtId="4" fontId="45" fillId="34" borderId="68" applyNumberFormat="0" applyProtection="0">
      <alignment horizontal="right" vertical="center"/>
    </xf>
    <xf numFmtId="4" fontId="18" fillId="112" borderId="8" applyNumberFormat="0" applyProtection="0">
      <alignment horizontal="right" vertical="center"/>
    </xf>
    <xf numFmtId="4" fontId="45" fillId="35" borderId="56" applyNumberFormat="0" applyProtection="0">
      <alignment horizontal="right" vertical="center"/>
    </xf>
    <xf numFmtId="4" fontId="45" fillId="35" borderId="56" applyNumberFormat="0" applyProtection="0">
      <alignment horizontal="right" vertical="center"/>
    </xf>
    <xf numFmtId="4" fontId="45" fillId="35" borderId="56" applyNumberFormat="0" applyProtection="0">
      <alignment horizontal="right" vertical="center"/>
    </xf>
    <xf numFmtId="4" fontId="18" fillId="113" borderId="8" applyNumberFormat="0" applyProtection="0">
      <alignment horizontal="right" vertical="center"/>
    </xf>
    <xf numFmtId="4" fontId="45" fillId="36" borderId="56" applyNumberFormat="0" applyProtection="0">
      <alignment horizontal="right" vertical="center"/>
    </xf>
    <xf numFmtId="4" fontId="45" fillId="36" borderId="56" applyNumberFormat="0" applyProtection="0">
      <alignment horizontal="right" vertical="center"/>
    </xf>
    <xf numFmtId="4" fontId="45" fillId="36" borderId="56" applyNumberFormat="0" applyProtection="0">
      <alignment horizontal="right" vertical="center"/>
    </xf>
    <xf numFmtId="4" fontId="18" fillId="114" borderId="8" applyNumberFormat="0" applyProtection="0">
      <alignment horizontal="right" vertical="center"/>
    </xf>
    <xf numFmtId="4" fontId="45" fillId="37" borderId="56" applyNumberFormat="0" applyProtection="0">
      <alignment horizontal="right" vertical="center"/>
    </xf>
    <xf numFmtId="4" fontId="45" fillId="37" borderId="56" applyNumberFormat="0" applyProtection="0">
      <alignment horizontal="right" vertical="center"/>
    </xf>
    <xf numFmtId="4" fontId="45" fillId="37" borderId="56" applyNumberFormat="0" applyProtection="0">
      <alignment horizontal="right" vertical="center"/>
    </xf>
    <xf numFmtId="4" fontId="18" fillId="115" borderId="8" applyNumberFormat="0" applyProtection="0">
      <alignment horizontal="right" vertical="center"/>
    </xf>
    <xf numFmtId="4" fontId="45" fillId="9" borderId="56" applyNumberFormat="0" applyProtection="0">
      <alignment horizontal="right" vertical="center"/>
    </xf>
    <xf numFmtId="4" fontId="45" fillId="9" borderId="56" applyNumberFormat="0" applyProtection="0">
      <alignment horizontal="right" vertical="center"/>
    </xf>
    <xf numFmtId="4" fontId="45" fillId="9" borderId="56" applyNumberFormat="0" applyProtection="0">
      <alignment horizontal="right" vertical="center"/>
    </xf>
    <xf numFmtId="4" fontId="18" fillId="116" borderId="8" applyNumberFormat="0" applyProtection="0">
      <alignment horizontal="right" vertical="center"/>
    </xf>
    <xf numFmtId="4" fontId="45" fillId="38" borderId="56" applyNumberFormat="0" applyProtection="0">
      <alignment horizontal="right" vertical="center"/>
    </xf>
    <xf numFmtId="4" fontId="45" fillId="38" borderId="56" applyNumberFormat="0" applyProtection="0">
      <alignment horizontal="right" vertical="center"/>
    </xf>
    <xf numFmtId="4" fontId="45" fillId="38" borderId="56" applyNumberFormat="0" applyProtection="0">
      <alignment horizontal="right" vertical="center"/>
    </xf>
    <xf numFmtId="4" fontId="18" fillId="117" borderId="8" applyNumberFormat="0" applyProtection="0">
      <alignment horizontal="right" vertical="center"/>
    </xf>
    <xf numFmtId="4" fontId="45" fillId="39" borderId="56" applyNumberFormat="0" applyProtection="0">
      <alignment horizontal="right" vertical="center"/>
    </xf>
    <xf numFmtId="4" fontId="45" fillId="39" borderId="56" applyNumberFormat="0" applyProtection="0">
      <alignment horizontal="right" vertical="center"/>
    </xf>
    <xf numFmtId="4" fontId="45" fillId="39" borderId="56" applyNumberFormat="0" applyProtection="0">
      <alignment horizontal="right" vertical="center"/>
    </xf>
    <xf numFmtId="4" fontId="37" fillId="118" borderId="8" applyNumberFormat="0" applyProtection="0">
      <alignment horizontal="left" vertical="center" indent="1"/>
    </xf>
    <xf numFmtId="4" fontId="45" fillId="40" borderId="68" applyNumberFormat="0" applyProtection="0">
      <alignment horizontal="left" vertical="center" indent="1"/>
    </xf>
    <xf numFmtId="4" fontId="45" fillId="40" borderId="68" applyNumberFormat="0" applyProtection="0">
      <alignment horizontal="left" vertical="center" indent="1"/>
    </xf>
    <xf numFmtId="4" fontId="45" fillId="40" borderId="68" applyNumberFormat="0" applyProtection="0">
      <alignment horizontal="left" vertical="center" indent="1"/>
    </xf>
    <xf numFmtId="4" fontId="18" fillId="119" borderId="75" applyNumberFormat="0" applyProtection="0">
      <alignment horizontal="left" vertical="center" indent="1"/>
    </xf>
    <xf numFmtId="4" fontId="16" fillId="8" borderId="68" applyNumberFormat="0" applyProtection="0">
      <alignment horizontal="left" vertical="center" indent="1"/>
    </xf>
    <xf numFmtId="4" fontId="39" fillId="120" borderId="0" applyNumberFormat="0" applyProtection="0">
      <alignment horizontal="left" vertical="center" indent="1"/>
    </xf>
    <xf numFmtId="4" fontId="16" fillId="8" borderId="68" applyNumberFormat="0" applyProtection="0">
      <alignment horizontal="left" vertical="center" indent="1"/>
    </xf>
    <xf numFmtId="0" fontId="16" fillId="107" borderId="8" applyNumberFormat="0" applyProtection="0">
      <alignment horizontal="left" vertical="center" indent="1"/>
    </xf>
    <xf numFmtId="4" fontId="45" fillId="2" borderId="56" applyNumberFormat="0" applyProtection="0">
      <alignment horizontal="right" vertical="center"/>
    </xf>
    <xf numFmtId="4" fontId="45" fillId="2" borderId="56" applyNumberFormat="0" applyProtection="0">
      <alignment horizontal="right" vertical="center"/>
    </xf>
    <xf numFmtId="4" fontId="45" fillId="2" borderId="56" applyNumberFormat="0" applyProtection="0">
      <alignment horizontal="right" vertical="center"/>
    </xf>
    <xf numFmtId="4" fontId="18" fillId="119" borderId="8" applyNumberFormat="0" applyProtection="0">
      <alignment horizontal="left" vertical="center" indent="1"/>
    </xf>
    <xf numFmtId="4" fontId="45" fillId="41" borderId="68" applyNumberFormat="0" applyProtection="0">
      <alignment horizontal="left" vertical="center" indent="1"/>
    </xf>
    <xf numFmtId="4" fontId="45" fillId="41" borderId="68" applyNumberFormat="0" applyProtection="0">
      <alignment horizontal="left" vertical="center" indent="1"/>
    </xf>
    <xf numFmtId="4" fontId="45" fillId="41" borderId="68" applyNumberFormat="0" applyProtection="0">
      <alignment horizontal="left" vertical="center" indent="1"/>
    </xf>
    <xf numFmtId="4" fontId="18" fillId="46" borderId="8" applyNumberFormat="0" applyProtection="0">
      <alignment horizontal="left" vertical="center" indent="1"/>
    </xf>
    <xf numFmtId="4" fontId="45" fillId="2" borderId="68" applyNumberFormat="0" applyProtection="0">
      <alignment horizontal="left" vertical="center" indent="1"/>
    </xf>
    <xf numFmtId="4" fontId="45" fillId="2" borderId="68" applyNumberFormat="0" applyProtection="0">
      <alignment horizontal="left" vertical="center" indent="1"/>
    </xf>
    <xf numFmtId="4" fontId="45" fillId="2" borderId="68" applyNumberFormat="0" applyProtection="0">
      <alignment horizontal="left" vertical="center" indent="1"/>
    </xf>
    <xf numFmtId="0" fontId="16" fillId="46" borderId="8" applyNumberFormat="0" applyProtection="0">
      <alignment horizontal="left" vertical="center" indent="1"/>
    </xf>
    <xf numFmtId="0" fontId="45" fillId="10" borderId="56" applyNumberFormat="0" applyProtection="0">
      <alignment horizontal="left" vertical="center" indent="1"/>
    </xf>
    <xf numFmtId="0" fontId="45" fillId="10" borderId="56" applyNumberFormat="0" applyProtection="0">
      <alignment horizontal="left" vertical="center" indent="1"/>
    </xf>
    <xf numFmtId="0" fontId="45" fillId="10" borderId="56" applyNumberFormat="0" applyProtection="0">
      <alignment horizontal="left" vertical="center" indent="1"/>
    </xf>
    <xf numFmtId="0" fontId="16" fillId="46" borderId="8" applyNumberFormat="0" applyProtection="0">
      <alignment horizontal="left" vertical="center" indent="1"/>
    </xf>
    <xf numFmtId="0" fontId="45" fillId="8" borderId="9" applyNumberFormat="0" applyProtection="0">
      <alignment horizontal="left" vertical="top" indent="1"/>
    </xf>
    <xf numFmtId="0" fontId="16" fillId="45" borderId="8" applyNumberFormat="0" applyProtection="0">
      <alignment horizontal="left" vertical="center" indent="1"/>
    </xf>
    <xf numFmtId="0" fontId="45" fillId="121" borderId="56" applyNumberFormat="0" applyProtection="0">
      <alignment horizontal="left" vertical="center" indent="1"/>
    </xf>
    <xf numFmtId="0" fontId="45" fillId="121" borderId="56" applyNumberFormat="0" applyProtection="0">
      <alignment horizontal="left" vertical="center" indent="1"/>
    </xf>
    <xf numFmtId="0" fontId="45" fillId="121" borderId="56" applyNumberFormat="0" applyProtection="0">
      <alignment horizontal="left" vertical="center" indent="1"/>
    </xf>
    <xf numFmtId="0" fontId="16" fillId="45" borderId="8" applyNumberFormat="0" applyProtection="0">
      <alignment horizontal="left" vertical="center" indent="1"/>
    </xf>
    <xf numFmtId="0" fontId="45" fillId="2" borderId="9" applyNumberFormat="0" applyProtection="0">
      <alignment horizontal="left" vertical="top" indent="1"/>
    </xf>
    <xf numFmtId="0" fontId="16" fillId="122" borderId="8" applyNumberFormat="0" applyProtection="0">
      <alignment horizontal="left" vertical="center" indent="1"/>
    </xf>
    <xf numFmtId="0" fontId="45" fillId="6" borderId="56" applyNumberFormat="0" applyProtection="0">
      <alignment horizontal="left" vertical="center" indent="1"/>
    </xf>
    <xf numFmtId="0" fontId="45" fillId="6" borderId="56" applyNumberFormat="0" applyProtection="0">
      <alignment horizontal="left" vertical="center" indent="1"/>
    </xf>
    <xf numFmtId="0" fontId="45" fillId="6" borderId="56" applyNumberFormat="0" applyProtection="0">
      <alignment horizontal="left" vertical="center" indent="1"/>
    </xf>
    <xf numFmtId="0" fontId="16" fillId="122" borderId="8" applyNumberFormat="0" applyProtection="0">
      <alignment horizontal="left" vertical="center" indent="1"/>
    </xf>
    <xf numFmtId="0" fontId="45" fillId="6" borderId="9" applyNumberFormat="0" applyProtection="0">
      <alignment horizontal="left" vertical="top" indent="1"/>
    </xf>
    <xf numFmtId="0" fontId="16" fillId="107" borderId="8" applyNumberFormat="0" applyProtection="0">
      <alignment horizontal="left" vertical="center" indent="1"/>
    </xf>
    <xf numFmtId="0" fontId="45" fillId="41" borderId="56" applyNumberFormat="0" applyProtection="0">
      <alignment horizontal="left" vertical="center" indent="1"/>
    </xf>
    <xf numFmtId="0" fontId="45" fillId="41" borderId="56" applyNumberFormat="0" applyProtection="0">
      <alignment horizontal="left" vertical="center" indent="1"/>
    </xf>
    <xf numFmtId="0" fontId="45" fillId="41" borderId="56" applyNumberFormat="0" applyProtection="0">
      <alignment horizontal="left" vertical="center" indent="1"/>
    </xf>
    <xf numFmtId="0" fontId="16" fillId="107" borderId="8" applyNumberFormat="0" applyProtection="0">
      <alignment horizontal="left" vertical="center" indent="1"/>
    </xf>
    <xf numFmtId="0" fontId="45" fillId="41" borderId="9" applyNumberFormat="0" applyProtection="0">
      <alignment horizontal="left" vertical="top" indent="1"/>
    </xf>
    <xf numFmtId="0" fontId="3" fillId="0" borderId="0"/>
    <xf numFmtId="0" fontId="45" fillId="5" borderId="76" applyNumberFormat="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9" fillId="8" borderId="77" applyBorder="0"/>
    <xf numFmtId="4" fontId="18" fillId="123" borderId="8" applyNumberFormat="0" applyProtection="0">
      <alignment vertical="center"/>
    </xf>
    <xf numFmtId="4" fontId="120" fillId="4" borderId="9" applyNumberFormat="0" applyProtection="0">
      <alignment vertical="center"/>
    </xf>
    <xf numFmtId="4" fontId="40" fillId="123" borderId="8" applyNumberFormat="0" applyProtection="0">
      <alignment vertical="center"/>
    </xf>
    <xf numFmtId="4" fontId="117" fillId="123" borderId="11" applyNumberFormat="0" applyProtection="0">
      <alignment vertical="center"/>
    </xf>
    <xf numFmtId="4" fontId="18" fillId="123" borderId="8" applyNumberFormat="0" applyProtection="0">
      <alignment horizontal="left" vertical="center" indent="1"/>
    </xf>
    <xf numFmtId="4" fontId="120" fillId="10" borderId="9" applyNumberFormat="0" applyProtection="0">
      <alignment horizontal="left" vertical="center" indent="1"/>
    </xf>
    <xf numFmtId="4" fontId="18" fillId="123" borderId="8" applyNumberFormat="0" applyProtection="0">
      <alignment horizontal="left" vertical="center" indent="1"/>
    </xf>
    <xf numFmtId="0" fontId="120" fillId="4" borderId="9" applyNumberFormat="0" applyProtection="0">
      <alignment horizontal="left" vertical="top" indent="1"/>
    </xf>
    <xf numFmtId="4" fontId="18" fillId="119" borderId="8" applyNumberFormat="0" applyProtection="0">
      <alignment horizontal="right" vertical="center"/>
    </xf>
    <xf numFmtId="4" fontId="18" fillId="119" borderId="8" applyNumberFormat="0" applyProtection="0">
      <alignment horizontal="right" vertical="center"/>
    </xf>
    <xf numFmtId="4" fontId="45" fillId="0" borderId="56" applyNumberFormat="0" applyProtection="0">
      <alignment horizontal="right" vertical="center"/>
    </xf>
    <xf numFmtId="4" fontId="45" fillId="0" borderId="56" applyNumberFormat="0" applyProtection="0">
      <alignment horizontal="right" vertical="center"/>
    </xf>
    <xf numFmtId="4" fontId="45" fillId="0" borderId="56" applyNumberFormat="0" applyProtection="0">
      <alignment horizontal="right" vertical="center"/>
    </xf>
    <xf numFmtId="4" fontId="45" fillId="0" borderId="56" applyNumberFormat="0" applyProtection="0">
      <alignment horizontal="right" vertical="center"/>
    </xf>
    <xf numFmtId="4" fontId="40" fillId="119" borderId="8" applyNumberFormat="0" applyProtection="0">
      <alignment horizontal="right" vertical="center"/>
    </xf>
    <xf numFmtId="4" fontId="117" fillId="43" borderId="56" applyNumberFormat="0" applyProtection="0">
      <alignment horizontal="right" vertical="center"/>
    </xf>
    <xf numFmtId="0" fontId="16" fillId="107" borderId="8" applyNumberFormat="0" applyProtection="0">
      <alignment horizontal="left" vertical="center" indent="1"/>
    </xf>
    <xf numFmtId="4" fontId="45" fillId="51" borderId="56" applyNumberFormat="0" applyProtection="0">
      <alignment horizontal="left" vertical="center" indent="1"/>
    </xf>
    <xf numFmtId="4" fontId="45" fillId="51" borderId="56" applyNumberFormat="0" applyProtection="0">
      <alignment horizontal="left" vertical="center" indent="1"/>
    </xf>
    <xf numFmtId="4" fontId="45" fillId="51" borderId="56" applyNumberFormat="0" applyProtection="0">
      <alignment horizontal="left" vertical="center" indent="1"/>
    </xf>
    <xf numFmtId="4" fontId="45" fillId="51" borderId="56" applyNumberFormat="0" applyProtection="0">
      <alignment horizontal="left" vertical="center" indent="1"/>
    </xf>
    <xf numFmtId="0" fontId="16" fillId="107" borderId="8" applyNumberFormat="0" applyProtection="0">
      <alignment horizontal="left" vertical="center" indent="1"/>
    </xf>
    <xf numFmtId="0" fontId="120" fillId="2" borderId="9" applyNumberFormat="0" applyProtection="0">
      <alignment horizontal="left" vertical="top" indent="1"/>
    </xf>
    <xf numFmtId="0" fontId="121" fillId="0" borderId="0"/>
    <xf numFmtId="4" fontId="122" fillId="42" borderId="68" applyNumberFormat="0" applyProtection="0">
      <alignment horizontal="left" vertical="center" indent="1"/>
    </xf>
    <xf numFmtId="0" fontId="45" fillId="124" borderId="11"/>
    <xf numFmtId="0" fontId="45" fillId="124" borderId="11"/>
    <xf numFmtId="0" fontId="45" fillId="124" borderId="11"/>
    <xf numFmtId="4" fontId="42" fillId="119" borderId="8" applyNumberFormat="0" applyProtection="0">
      <alignment horizontal="right" vertical="center"/>
    </xf>
    <xf numFmtId="4" fontId="123" fillId="5" borderId="56" applyNumberFormat="0" applyProtection="0">
      <alignment horizontal="right" vertical="center"/>
    </xf>
    <xf numFmtId="0" fontId="124" fillId="0" borderId="0" applyNumberFormat="0" applyFill="0" applyBorder="0" applyAlignment="0" applyProtection="0"/>
    <xf numFmtId="0" fontId="27" fillId="0" borderId="12" applyNumberFormat="0" applyFill="0" applyAlignment="0" applyProtection="0"/>
    <xf numFmtId="0" fontId="27" fillId="0" borderId="78" applyNumberFormat="0" applyFill="0" applyAlignment="0" applyProtection="0"/>
    <xf numFmtId="0" fontId="125" fillId="0" borderId="0" applyNumberFormat="0" applyFill="0" applyBorder="0" applyAlignment="0" applyProtection="0"/>
    <xf numFmtId="0" fontId="44" fillId="0" borderId="0" applyNumberFormat="0" applyFill="0" applyBorder="0" applyAlignment="0" applyProtection="0"/>
    <xf numFmtId="0" fontId="126" fillId="0" borderId="0" applyNumberFormat="0" applyFill="0" applyBorder="0" applyAlignment="0" applyProtection="0"/>
    <xf numFmtId="0" fontId="105" fillId="55" borderId="0" applyNumberFormat="0" applyBorder="0" applyAlignment="0" applyProtection="0"/>
    <xf numFmtId="0" fontId="104" fillId="63" borderId="0" applyNumberFormat="0" applyBorder="0" applyAlignment="0" applyProtection="0"/>
    <xf numFmtId="0" fontId="104" fillId="67" borderId="0" applyNumberFormat="0" applyBorder="0" applyAlignment="0" applyProtection="0"/>
    <xf numFmtId="0" fontId="104" fillId="71" borderId="0" applyNumberFormat="0" applyBorder="0" applyAlignment="0" applyProtection="0"/>
    <xf numFmtId="0" fontId="104" fillId="75" borderId="0" applyNumberFormat="0" applyBorder="0" applyAlignment="0" applyProtection="0"/>
    <xf numFmtId="0" fontId="104" fillId="79" borderId="0" applyNumberFormat="0" applyBorder="0" applyAlignment="0" applyProtection="0"/>
    <xf numFmtId="0" fontId="104" fillId="83"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6"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6"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6"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59" borderId="66"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0" borderId="0"/>
    <xf numFmtId="0" fontId="3" fillId="59" borderId="66"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59" borderId="6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6" applyNumberFormat="0" applyFont="0" applyAlignment="0" applyProtection="0"/>
    <xf numFmtId="0" fontId="3" fillId="0" borderId="0"/>
    <xf numFmtId="9" fontId="3" fillId="0" borderId="0" applyFont="0" applyFill="0" applyBorder="0" applyAlignment="0" applyProtection="0"/>
    <xf numFmtId="0" fontId="23" fillId="84" borderId="0" applyNumberFormat="0" applyBorder="0" applyAlignment="0" applyProtection="0"/>
    <xf numFmtId="0" fontId="23" fillId="7" borderId="0" applyNumberFormat="0" applyBorder="0" applyAlignment="0" applyProtection="0"/>
    <xf numFmtId="0" fontId="23" fillId="85" borderId="0" applyNumberFormat="0" applyBorder="0" applyAlignment="0" applyProtection="0"/>
    <xf numFmtId="0" fontId="23" fillId="86" borderId="0" applyNumberFormat="0" applyBorder="0" applyAlignment="0" applyProtection="0"/>
    <xf numFmtId="0" fontId="23" fillId="87" borderId="0" applyNumberFormat="0" applyBorder="0" applyAlignment="0" applyProtection="0"/>
    <xf numFmtId="0" fontId="23" fillId="11" borderId="0" applyNumberFormat="0" applyBorder="0" applyAlignment="0" applyProtection="0"/>
    <xf numFmtId="0" fontId="16" fillId="0" borderId="0"/>
    <xf numFmtId="0" fontId="23" fillId="6" borderId="0" applyNumberFormat="0" applyBorder="0" applyAlignment="0" applyProtection="0"/>
    <xf numFmtId="0" fontId="23" fillId="3" borderId="0" applyNumberFormat="0" applyBorder="0" applyAlignment="0" applyProtection="0"/>
    <xf numFmtId="0" fontId="23" fillId="39" borderId="0" applyNumberFormat="0" applyBorder="0" applyAlignment="0" applyProtection="0"/>
    <xf numFmtId="0" fontId="23" fillId="86" borderId="0" applyNumberFormat="0" applyBorder="0" applyAlignment="0" applyProtection="0"/>
    <xf numFmtId="0" fontId="23" fillId="6" borderId="0" applyNumberFormat="0" applyBorder="0" applyAlignment="0" applyProtection="0"/>
    <xf numFmtId="0" fontId="23" fillId="35" borderId="0" applyNumberFormat="0" applyBorder="0" applyAlignment="0" applyProtection="0"/>
    <xf numFmtId="0" fontId="3" fillId="0" borderId="0"/>
    <xf numFmtId="0" fontId="16"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6"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110" fillId="0" borderId="0"/>
    <xf numFmtId="0" fontId="18" fillId="4" borderId="7" applyNumberFormat="0" applyFont="0" applyAlignment="0" applyProtection="0"/>
    <xf numFmtId="0" fontId="16" fillId="0" borderId="0"/>
    <xf numFmtId="0" fontId="16"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3" fillId="0" borderId="0" applyFont="0" applyFill="0" applyBorder="0" applyAlignment="0" applyProtection="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59" borderId="66" applyNumberFormat="0" applyFont="0" applyAlignment="0" applyProtection="0"/>
    <xf numFmtId="0" fontId="3" fillId="0" borderId="0"/>
    <xf numFmtId="0" fontId="3" fillId="0" borderId="0"/>
    <xf numFmtId="0" fontId="3" fillId="0" borderId="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6" applyNumberFormat="0" applyFont="0" applyAlignment="0" applyProtection="0"/>
    <xf numFmtId="0" fontId="3" fillId="59" borderId="6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6"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6"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6"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59" borderId="66" applyNumberFormat="0" applyFont="0" applyAlignment="0" applyProtection="0"/>
    <xf numFmtId="0" fontId="16" fillId="0" borderId="0"/>
    <xf numFmtId="43" fontId="3" fillId="0" borderId="0" applyFont="0" applyFill="0" applyBorder="0" applyAlignment="0" applyProtection="0"/>
    <xf numFmtId="4" fontId="45" fillId="0" borderId="56" applyNumberFormat="0" applyProtection="0">
      <alignment horizontal="right" vertical="center"/>
    </xf>
    <xf numFmtId="4" fontId="18" fillId="123" borderId="8" applyNumberFormat="0" applyProtection="0">
      <alignment vertical="center"/>
    </xf>
    <xf numFmtId="4" fontId="45" fillId="34" borderId="68" applyNumberFormat="0" applyProtection="0">
      <alignment horizontal="right" vertical="center"/>
    </xf>
    <xf numFmtId="4" fontId="45" fillId="40" borderId="68" applyNumberFormat="0" applyProtection="0">
      <alignment horizontal="left" vertical="center" indent="1"/>
    </xf>
    <xf numFmtId="4" fontId="45" fillId="37" borderId="56" applyNumberFormat="0" applyProtection="0">
      <alignment horizontal="right" vertical="center"/>
    </xf>
    <xf numFmtId="4" fontId="40" fillId="106" borderId="8" applyNumberFormat="0" applyProtection="0">
      <alignment vertical="center"/>
    </xf>
    <xf numFmtId="0" fontId="16" fillId="107" borderId="8" applyNumberFormat="0" applyProtection="0">
      <alignment horizontal="left" vertical="center" indent="1"/>
    </xf>
    <xf numFmtId="4" fontId="45" fillId="37" borderId="56" applyNumberFormat="0" applyProtection="0">
      <alignment horizontal="right" vertical="center"/>
    </xf>
    <xf numFmtId="4" fontId="45" fillId="0" borderId="56" applyNumberFormat="0" applyProtection="0">
      <alignment horizontal="right" vertical="center"/>
    </xf>
    <xf numFmtId="0" fontId="45" fillId="41" borderId="56" applyNumberFormat="0" applyProtection="0">
      <alignment horizontal="left" vertical="center" indent="1"/>
    </xf>
    <xf numFmtId="0" fontId="16" fillId="46" borderId="8" applyNumberFormat="0" applyProtection="0">
      <alignment horizontal="left" vertical="center" indent="1"/>
    </xf>
    <xf numFmtId="4" fontId="18" fillId="106" borderId="8" applyNumberFormat="0" applyProtection="0">
      <alignment horizontal="left" vertical="center" indent="1"/>
    </xf>
    <xf numFmtId="4" fontId="18" fillId="119" borderId="75" applyNumberFormat="0" applyProtection="0">
      <alignment horizontal="left" vertical="center" indent="1"/>
    </xf>
    <xf numFmtId="0" fontId="45" fillId="10" borderId="56" applyNumberFormat="0" applyProtection="0">
      <alignment horizontal="left" vertical="center" indent="1"/>
    </xf>
    <xf numFmtId="4" fontId="45" fillId="35" borderId="56" applyNumberFormat="0" applyProtection="0">
      <alignment horizontal="right" vertical="center"/>
    </xf>
    <xf numFmtId="0" fontId="118" fillId="33" borderId="9" applyNumberFormat="0" applyProtection="0">
      <alignment horizontal="left" vertical="top" indent="1"/>
    </xf>
    <xf numFmtId="0" fontId="119" fillId="8" borderId="77" applyBorder="0"/>
    <xf numFmtId="0" fontId="45" fillId="121" borderId="56" applyNumberFormat="0" applyProtection="0">
      <alignment horizontal="left" vertical="center" indent="1"/>
    </xf>
    <xf numFmtId="0" fontId="45" fillId="41" borderId="9" applyNumberFormat="0" applyProtection="0">
      <alignment horizontal="left" vertical="top" indent="1"/>
    </xf>
    <xf numFmtId="4" fontId="45" fillId="39" borderId="56" applyNumberFormat="0" applyProtection="0">
      <alignment horizontal="right" vertical="center"/>
    </xf>
    <xf numFmtId="4" fontId="45" fillId="35" borderId="56" applyNumberFormat="0" applyProtection="0">
      <alignment horizontal="right" vertical="center"/>
    </xf>
    <xf numFmtId="0" fontId="45" fillId="10" borderId="56" applyNumberFormat="0" applyProtection="0">
      <alignment horizontal="left" vertical="center" indent="1"/>
    </xf>
    <xf numFmtId="4" fontId="18" fillId="113" borderId="8" applyNumberFormat="0" applyProtection="0">
      <alignment horizontal="right" vertical="center"/>
    </xf>
    <xf numFmtId="0" fontId="45" fillId="10" borderId="56" applyNumberFormat="0" applyProtection="0">
      <alignment horizontal="left" vertical="center" indent="1"/>
    </xf>
    <xf numFmtId="4" fontId="123" fillId="5" borderId="56" applyNumberFormat="0" applyProtection="0">
      <alignment horizontal="right" vertical="center"/>
    </xf>
    <xf numFmtId="4" fontId="18" fillId="117" borderId="8" applyNumberFormat="0" applyProtection="0">
      <alignment horizontal="right" vertical="center"/>
    </xf>
    <xf numFmtId="4" fontId="45" fillId="33" borderId="56" applyNumberFormat="0" applyProtection="0">
      <alignment vertical="center"/>
    </xf>
    <xf numFmtId="4" fontId="45" fillId="37" borderId="56" applyNumberFormat="0" applyProtection="0">
      <alignment horizontal="right" vertical="center"/>
    </xf>
    <xf numFmtId="0" fontId="45" fillId="121" borderId="56" applyNumberFormat="0" applyProtection="0">
      <alignment horizontal="left" vertical="center" indent="1"/>
    </xf>
    <xf numFmtId="4" fontId="18" fillId="46" borderId="8" applyNumberFormat="0" applyProtection="0">
      <alignment horizontal="left" vertical="center" indent="1"/>
    </xf>
    <xf numFmtId="4" fontId="45" fillId="37" borderId="56" applyNumberFormat="0" applyProtection="0">
      <alignment horizontal="right" vertical="center"/>
    </xf>
    <xf numFmtId="4" fontId="37" fillId="118" borderId="8" applyNumberFormat="0" applyProtection="0">
      <alignment horizontal="left" vertical="center" indent="1"/>
    </xf>
    <xf numFmtId="4" fontId="45" fillId="9" borderId="56" applyNumberFormat="0" applyProtection="0">
      <alignment horizontal="right" vertical="center"/>
    </xf>
    <xf numFmtId="0" fontId="45" fillId="6" borderId="56" applyNumberFormat="0" applyProtection="0">
      <alignment horizontal="left" vertical="center" indent="1"/>
    </xf>
    <xf numFmtId="0" fontId="120" fillId="4" borderId="9" applyNumberFormat="0" applyProtection="0">
      <alignment horizontal="left" vertical="top" indent="1"/>
    </xf>
    <xf numFmtId="4" fontId="45" fillId="41" borderId="68" applyNumberFormat="0" applyProtection="0">
      <alignment horizontal="left" vertical="center" indent="1"/>
    </xf>
    <xf numFmtId="0" fontId="45" fillId="124" borderId="79"/>
    <xf numFmtId="4" fontId="45" fillId="51" borderId="56" applyNumberFormat="0" applyProtection="0">
      <alignment horizontal="left" vertical="center" indent="1"/>
    </xf>
    <xf numFmtId="0" fontId="36" fillId="10" borderId="8" applyNumberFormat="0" applyAlignment="0" applyProtection="0"/>
    <xf numFmtId="0" fontId="18" fillId="4" borderId="7" applyNumberFormat="0" applyFont="0" applyAlignment="0" applyProtection="0"/>
    <xf numFmtId="4" fontId="18" fillId="112" borderId="8" applyNumberFormat="0" applyProtection="0">
      <alignment horizontal="right" vertical="center"/>
    </xf>
    <xf numFmtId="0" fontId="16" fillId="45" borderId="8" applyNumberFormat="0" applyProtection="0">
      <alignment horizontal="left" vertical="center" indent="1"/>
    </xf>
    <xf numFmtId="0" fontId="16" fillId="46" borderId="8" applyNumberFormat="0" applyProtection="0">
      <alignment horizontal="left" vertical="center" indent="1"/>
    </xf>
    <xf numFmtId="4" fontId="45" fillId="38" borderId="56" applyNumberFormat="0" applyProtection="0">
      <alignment horizontal="right" vertical="center"/>
    </xf>
    <xf numFmtId="4" fontId="18" fillId="108" borderId="8" applyNumberFormat="0" applyProtection="0">
      <alignment horizontal="right" vertical="center"/>
    </xf>
    <xf numFmtId="4" fontId="45" fillId="51" borderId="56" applyNumberFormat="0" applyProtection="0">
      <alignment horizontal="left" vertical="center" indent="1"/>
    </xf>
    <xf numFmtId="0" fontId="45" fillId="41" borderId="56" applyNumberFormat="0" applyProtection="0">
      <alignment horizontal="left" vertical="center" indent="1"/>
    </xf>
    <xf numFmtId="4" fontId="45" fillId="2" borderId="56" applyNumberFormat="0" applyProtection="0">
      <alignment horizontal="right" vertical="center"/>
    </xf>
    <xf numFmtId="0" fontId="16" fillId="107" borderId="8" applyNumberFormat="0" applyProtection="0">
      <alignment horizontal="left" vertical="center" indent="1"/>
    </xf>
    <xf numFmtId="4" fontId="18" fillId="109" borderId="8" applyNumberFormat="0" applyProtection="0">
      <alignment horizontal="right" vertical="center"/>
    </xf>
    <xf numFmtId="0" fontId="45" fillId="6" borderId="56" applyNumberFormat="0" applyProtection="0">
      <alignment horizontal="left" vertical="center" indent="1"/>
    </xf>
    <xf numFmtId="4" fontId="45" fillId="51" borderId="56" applyNumberFormat="0" applyProtection="0">
      <alignment horizontal="left" vertical="center" indent="1"/>
    </xf>
    <xf numFmtId="4" fontId="45" fillId="41" borderId="68" applyNumberFormat="0" applyProtection="0">
      <alignment horizontal="left" vertical="center" indent="1"/>
    </xf>
    <xf numFmtId="0" fontId="16" fillId="107" borderId="8" applyNumberFormat="0" applyProtection="0">
      <alignment horizontal="left" vertical="center" indent="1"/>
    </xf>
    <xf numFmtId="4" fontId="18" fillId="119" borderId="8" applyNumberFormat="0" applyProtection="0">
      <alignment horizontal="right" vertical="center"/>
    </xf>
    <xf numFmtId="4" fontId="40" fillId="106" borderId="8" applyNumberFormat="0" applyProtection="0">
      <alignment vertical="center"/>
    </xf>
    <xf numFmtId="4" fontId="18" fillId="119" borderId="8" applyNumberFormat="0" applyProtection="0">
      <alignment horizontal="right" vertical="center"/>
    </xf>
    <xf numFmtId="4" fontId="45" fillId="40" borderId="68" applyNumberFormat="0" applyProtection="0">
      <alignment horizontal="left" vertical="center" indent="1"/>
    </xf>
    <xf numFmtId="0" fontId="45" fillId="2" borderId="9" applyNumberFormat="0" applyProtection="0">
      <alignment horizontal="left" vertical="top" indent="1"/>
    </xf>
    <xf numFmtId="4" fontId="45" fillId="33" borderId="56" applyNumberFormat="0" applyProtection="0">
      <alignment vertical="center"/>
    </xf>
    <xf numFmtId="4" fontId="117" fillId="123" borderId="79" applyNumberFormat="0" applyProtection="0">
      <alignment vertical="center"/>
    </xf>
    <xf numFmtId="0" fontId="120" fillId="2" borderId="9" applyNumberFormat="0" applyProtection="0">
      <alignment horizontal="left" vertical="top" indent="1"/>
    </xf>
    <xf numFmtId="4" fontId="45" fillId="37" borderId="56" applyNumberFormat="0" applyProtection="0">
      <alignment horizontal="right" vertical="center"/>
    </xf>
    <xf numFmtId="0" fontId="108" fillId="101" borderId="56" applyNumberFormat="0" applyAlignment="0" applyProtection="0"/>
    <xf numFmtId="4" fontId="45" fillId="51" borderId="56" applyNumberFormat="0" applyProtection="0">
      <alignment horizontal="left" vertical="center" indent="1"/>
    </xf>
    <xf numFmtId="4" fontId="40" fillId="123" borderId="8" applyNumberFormat="0" applyProtection="0">
      <alignment vertical="center"/>
    </xf>
    <xf numFmtId="4" fontId="45" fillId="33" borderId="56" applyNumberFormat="0" applyProtection="0">
      <alignment vertical="center"/>
    </xf>
    <xf numFmtId="0" fontId="16" fillId="107" borderId="8" applyNumberFormat="0" applyProtection="0">
      <alignment horizontal="left" vertical="center" indent="1"/>
    </xf>
    <xf numFmtId="4" fontId="45" fillId="40" borderId="68" applyNumberFormat="0" applyProtection="0">
      <alignment horizontal="left" vertical="center" indent="1"/>
    </xf>
    <xf numFmtId="4" fontId="18" fillId="119" borderId="8" applyNumberFormat="0" applyProtection="0">
      <alignment horizontal="right" vertical="center"/>
    </xf>
    <xf numFmtId="0" fontId="16" fillId="107" borderId="8" applyNumberFormat="0" applyProtection="0">
      <alignment horizontal="left" vertical="center" indent="1"/>
    </xf>
    <xf numFmtId="4" fontId="45" fillId="39" borderId="56" applyNumberFormat="0" applyProtection="0">
      <alignment horizontal="right" vertical="center"/>
    </xf>
    <xf numFmtId="0" fontId="33" fillId="27" borderId="56" applyNumberFormat="0" applyAlignment="0" applyProtection="0"/>
    <xf numFmtId="4" fontId="18" fillId="112" borderId="8" applyNumberFormat="0" applyProtection="0">
      <alignment horizontal="right" vertical="center"/>
    </xf>
    <xf numFmtId="4" fontId="45" fillId="38" borderId="56" applyNumberFormat="0" applyProtection="0">
      <alignment horizontal="right" vertical="center"/>
    </xf>
    <xf numFmtId="4" fontId="45" fillId="106" borderId="56" applyNumberFormat="0" applyProtection="0">
      <alignment horizontal="left" vertical="center" indent="1"/>
    </xf>
    <xf numFmtId="4" fontId="45" fillId="36" borderId="56" applyNumberFormat="0" applyProtection="0">
      <alignment horizontal="right" vertical="center"/>
    </xf>
    <xf numFmtId="4" fontId="45" fillId="41" borderId="68" applyNumberFormat="0" applyProtection="0">
      <alignment horizontal="left" vertical="center" indent="1"/>
    </xf>
    <xf numFmtId="4" fontId="45" fillId="110" borderId="56" applyNumberFormat="0" applyProtection="0">
      <alignment horizontal="right" vertical="center"/>
    </xf>
    <xf numFmtId="4" fontId="45" fillId="2" borderId="68" applyNumberFormat="0" applyProtection="0">
      <alignment horizontal="left" vertical="center" indent="1"/>
    </xf>
    <xf numFmtId="4" fontId="45" fillId="39" borderId="56" applyNumberFormat="0" applyProtection="0">
      <alignment horizontal="right" vertical="center"/>
    </xf>
    <xf numFmtId="4" fontId="45" fillId="41" borderId="68" applyNumberFormat="0" applyProtection="0">
      <alignment horizontal="left" vertical="center" indent="1"/>
    </xf>
    <xf numFmtId="4" fontId="18" fillId="106" borderId="8" applyNumberFormat="0" applyProtection="0">
      <alignment horizontal="left" vertical="center" indent="1"/>
    </xf>
    <xf numFmtId="4" fontId="18" fillId="115" borderId="8" applyNumberFormat="0" applyProtection="0">
      <alignment horizontal="right" vertical="center"/>
    </xf>
    <xf numFmtId="4" fontId="18" fillId="106" borderId="8" applyNumberFormat="0" applyProtection="0">
      <alignment horizontal="left" vertical="center" indent="1"/>
    </xf>
    <xf numFmtId="4" fontId="45" fillId="38" borderId="56" applyNumberFormat="0" applyProtection="0">
      <alignment horizontal="right" vertical="center"/>
    </xf>
    <xf numFmtId="4" fontId="45" fillId="2" borderId="68" applyNumberFormat="0" applyProtection="0">
      <alignment horizontal="left" vertical="center" indent="1"/>
    </xf>
    <xf numFmtId="4" fontId="45" fillId="35" borderId="56" applyNumberFormat="0" applyProtection="0">
      <alignment horizontal="right" vertical="center"/>
    </xf>
    <xf numFmtId="0" fontId="45" fillId="2" borderId="9" applyNumberFormat="0" applyProtection="0">
      <alignment horizontal="left" vertical="top" indent="1"/>
    </xf>
    <xf numFmtId="4" fontId="45" fillId="7" borderId="56" applyNumberFormat="0" applyProtection="0">
      <alignment horizontal="right" vertical="center"/>
    </xf>
    <xf numFmtId="0" fontId="36" fillId="10" borderId="8" applyNumberFormat="0" applyAlignment="0" applyProtection="0"/>
    <xf numFmtId="4" fontId="45" fillId="51" borderId="56" applyNumberFormat="0" applyProtection="0">
      <alignment horizontal="left" vertical="center" indent="1"/>
    </xf>
    <xf numFmtId="4" fontId="45" fillId="40" borderId="68" applyNumberFormat="0" applyProtection="0">
      <alignment horizontal="left" vertical="center" indent="1"/>
    </xf>
    <xf numFmtId="0" fontId="45" fillId="41" borderId="9" applyNumberFormat="0" applyProtection="0">
      <alignment horizontal="left" vertical="top" indent="1"/>
    </xf>
    <xf numFmtId="4" fontId="45" fillId="37" borderId="56" applyNumberFormat="0" applyProtection="0">
      <alignment horizontal="right" vertical="center"/>
    </xf>
    <xf numFmtId="0" fontId="16" fillId="122" borderId="8" applyNumberFormat="0" applyProtection="0">
      <alignment horizontal="left" vertical="center" indent="1"/>
    </xf>
    <xf numFmtId="0" fontId="36" fillId="101" borderId="8" applyNumberFormat="0" applyAlignment="0" applyProtection="0"/>
    <xf numFmtId="0" fontId="109" fillId="10" borderId="1" applyNumberFormat="0" applyAlignment="0" applyProtection="0"/>
    <xf numFmtId="4" fontId="18" fillId="123" borderId="8" applyNumberFormat="0" applyProtection="0">
      <alignment horizontal="left" vertical="center" indent="1"/>
    </xf>
    <xf numFmtId="4" fontId="45" fillId="34" borderId="68" applyNumberFormat="0" applyProtection="0">
      <alignment horizontal="right" vertical="center"/>
    </xf>
    <xf numFmtId="4" fontId="18" fillId="46" borderId="8" applyNumberFormat="0" applyProtection="0">
      <alignment horizontal="left" vertical="center" indent="1"/>
    </xf>
    <xf numFmtId="4" fontId="120" fillId="10" borderId="9" applyNumberFormat="0" applyProtection="0">
      <alignment horizontal="left" vertical="center" indent="1"/>
    </xf>
    <xf numFmtId="4" fontId="45" fillId="41" borderId="68" applyNumberFormat="0" applyProtection="0">
      <alignment horizontal="left" vertical="center" indent="1"/>
    </xf>
    <xf numFmtId="0" fontId="45" fillId="41" borderId="56" applyNumberFormat="0" applyProtection="0">
      <alignment horizontal="left" vertical="center" indent="1"/>
    </xf>
    <xf numFmtId="4" fontId="122" fillId="42" borderId="68" applyNumberFormat="0" applyProtection="0">
      <alignment horizontal="left" vertical="center" indent="1"/>
    </xf>
    <xf numFmtId="4" fontId="45" fillId="51" borderId="56" applyNumberFormat="0" applyProtection="0">
      <alignment horizontal="left" vertical="center" indent="1"/>
    </xf>
    <xf numFmtId="0" fontId="16" fillId="107" borderId="8" applyNumberFormat="0" applyProtection="0">
      <alignment horizontal="left" vertical="center" indent="1"/>
    </xf>
    <xf numFmtId="0" fontId="45" fillId="124" borderId="79"/>
    <xf numFmtId="0" fontId="45" fillId="6" borderId="56" applyNumberFormat="0" applyProtection="0">
      <alignment horizontal="left" vertical="center" indent="1"/>
    </xf>
    <xf numFmtId="0" fontId="16" fillId="107" borderId="8" applyNumberFormat="0" applyProtection="0">
      <alignment horizontal="left" vertical="center" indent="1"/>
    </xf>
    <xf numFmtId="4" fontId="45" fillId="38" borderId="56" applyNumberFormat="0" applyProtection="0">
      <alignment horizontal="right" vertical="center"/>
    </xf>
    <xf numFmtId="4" fontId="45" fillId="2" borderId="56" applyNumberFormat="0" applyProtection="0">
      <alignment horizontal="right" vertical="center"/>
    </xf>
    <xf numFmtId="4" fontId="18" fillId="111" borderId="8" applyNumberFormat="0" applyProtection="0">
      <alignment horizontal="right" vertical="center"/>
    </xf>
    <xf numFmtId="4" fontId="45" fillId="35" borderId="56" applyNumberFormat="0" applyProtection="0">
      <alignment horizontal="right" vertical="center"/>
    </xf>
    <xf numFmtId="4" fontId="18" fillId="119" borderId="8" applyNumberFormat="0" applyProtection="0">
      <alignment horizontal="left" vertical="center" indent="1"/>
    </xf>
    <xf numFmtId="4" fontId="18" fillId="119" borderId="8" applyNumberFormat="0" applyProtection="0">
      <alignment horizontal="right" vertical="center"/>
    </xf>
    <xf numFmtId="0" fontId="18" fillId="4" borderId="7" applyNumberFormat="0" applyFont="0" applyAlignment="0" applyProtection="0"/>
    <xf numFmtId="0" fontId="45" fillId="6" borderId="9" applyNumberFormat="0" applyProtection="0">
      <alignment horizontal="left" vertical="top" indent="1"/>
    </xf>
    <xf numFmtId="0" fontId="27" fillId="0" borderId="78" applyNumberFormat="0" applyFill="0" applyAlignment="0" applyProtection="0"/>
    <xf numFmtId="0" fontId="45" fillId="10" borderId="56" applyNumberFormat="0" applyProtection="0">
      <alignment horizontal="left" vertical="center" indent="1"/>
    </xf>
    <xf numFmtId="4" fontId="18" fillId="117" borderId="8" applyNumberFormat="0" applyProtection="0">
      <alignment horizontal="right" vertical="center"/>
    </xf>
    <xf numFmtId="4" fontId="18" fillId="123" borderId="8" applyNumberFormat="0" applyProtection="0">
      <alignment vertical="center"/>
    </xf>
    <xf numFmtId="4" fontId="45" fillId="51" borderId="56" applyNumberFormat="0" applyProtection="0">
      <alignment horizontal="left" vertical="center" indent="1"/>
    </xf>
    <xf numFmtId="0" fontId="16" fillId="122" borderId="8" applyNumberFormat="0" applyProtection="0">
      <alignment horizontal="left" vertical="center" indent="1"/>
    </xf>
    <xf numFmtId="4" fontId="45" fillId="9" borderId="56" applyNumberFormat="0" applyProtection="0">
      <alignment horizontal="right" vertical="center"/>
    </xf>
    <xf numFmtId="4" fontId="18" fillId="114" borderId="8" applyNumberFormat="0" applyProtection="0">
      <alignment horizontal="right" vertical="center"/>
    </xf>
    <xf numFmtId="4" fontId="45" fillId="36" borderId="56" applyNumberFormat="0" applyProtection="0">
      <alignment horizontal="right" vertical="center"/>
    </xf>
    <xf numFmtId="4" fontId="45" fillId="34" borderId="68" applyNumberFormat="0" applyProtection="0">
      <alignment horizontal="right" vertical="center"/>
    </xf>
    <xf numFmtId="0" fontId="27" fillId="0" borderId="12" applyNumberFormat="0" applyFill="0" applyAlignment="0" applyProtection="0"/>
    <xf numFmtId="4" fontId="45" fillId="7" borderId="56" applyNumberFormat="0" applyProtection="0">
      <alignment horizontal="right" vertical="center"/>
    </xf>
    <xf numFmtId="4" fontId="45" fillId="40" borderId="68" applyNumberFormat="0" applyProtection="0">
      <alignment horizontal="left" vertical="center" indent="1"/>
    </xf>
    <xf numFmtId="4" fontId="45" fillId="110" borderId="56" applyNumberFormat="0" applyProtection="0">
      <alignment horizontal="right" vertical="center"/>
    </xf>
    <xf numFmtId="4" fontId="45" fillId="7" borderId="56" applyNumberFormat="0" applyProtection="0">
      <alignment horizontal="right" vertical="center"/>
    </xf>
    <xf numFmtId="4" fontId="45" fillId="51" borderId="56" applyNumberFormat="0" applyProtection="0">
      <alignment horizontal="left" vertical="center" indent="1"/>
    </xf>
    <xf numFmtId="4" fontId="45" fillId="110" borderId="56" applyNumberFormat="0" applyProtection="0">
      <alignment horizontal="right" vertical="center"/>
    </xf>
    <xf numFmtId="0" fontId="45" fillId="121" borderId="56" applyNumberFormat="0" applyProtection="0">
      <alignment horizontal="left" vertical="center" indent="1"/>
    </xf>
    <xf numFmtId="4" fontId="45" fillId="51" borderId="56" applyNumberFormat="0" applyProtection="0">
      <alignment horizontal="left" vertical="center" indent="1"/>
    </xf>
    <xf numFmtId="4" fontId="45" fillId="36" borderId="56" applyNumberFormat="0" applyProtection="0">
      <alignment horizontal="right" vertical="center"/>
    </xf>
    <xf numFmtId="4" fontId="45" fillId="2" borderId="56" applyNumberFormat="0" applyProtection="0">
      <alignment horizontal="right" vertical="center"/>
    </xf>
    <xf numFmtId="4" fontId="45" fillId="51" borderId="56" applyNumberFormat="0" applyProtection="0">
      <alignment horizontal="left" vertical="center" indent="1"/>
    </xf>
    <xf numFmtId="0" fontId="120" fillId="4" borderId="9" applyNumberFormat="0" applyProtection="0">
      <alignment horizontal="left" vertical="top" indent="1"/>
    </xf>
    <xf numFmtId="0" fontId="16" fillId="107" borderId="8" applyNumberFormat="0" applyProtection="0">
      <alignment horizontal="left" vertical="center" indent="1"/>
    </xf>
    <xf numFmtId="4" fontId="45" fillId="36" borderId="56" applyNumberFormat="0" applyProtection="0">
      <alignment horizontal="right" vertical="center"/>
    </xf>
    <xf numFmtId="4" fontId="45" fillId="35" borderId="56" applyNumberFormat="0" applyProtection="0">
      <alignment horizontal="right" vertical="center"/>
    </xf>
    <xf numFmtId="0" fontId="45" fillId="121" borderId="56" applyNumberFormat="0" applyProtection="0">
      <alignment horizontal="left" vertical="center" indent="1"/>
    </xf>
    <xf numFmtId="0" fontId="45" fillId="6" borderId="56" applyNumberFormat="0" applyProtection="0">
      <alignment horizontal="left" vertical="center" indent="1"/>
    </xf>
    <xf numFmtId="4" fontId="117" fillId="106" borderId="56" applyNumberFormat="0" applyProtection="0">
      <alignment vertical="center"/>
    </xf>
    <xf numFmtId="4" fontId="45" fillId="33" borderId="56" applyNumberFormat="0" applyProtection="0">
      <alignment vertical="center"/>
    </xf>
    <xf numFmtId="4" fontId="117" fillId="106" borderId="56" applyNumberFormat="0" applyProtection="0">
      <alignment vertical="center"/>
    </xf>
    <xf numFmtId="0" fontId="16" fillId="46" borderId="8" applyNumberFormat="0" applyProtection="0">
      <alignment horizontal="left" vertical="center" indent="1"/>
    </xf>
    <xf numFmtId="4" fontId="45" fillId="34" borderId="68" applyNumberFormat="0" applyProtection="0">
      <alignment horizontal="right" vertical="center"/>
    </xf>
    <xf numFmtId="4" fontId="45" fillId="106" borderId="56" applyNumberFormat="0" applyProtection="0">
      <alignment horizontal="left" vertical="center" indent="1"/>
    </xf>
    <xf numFmtId="4" fontId="16" fillId="8" borderId="68" applyNumberFormat="0" applyProtection="0">
      <alignment horizontal="left" vertical="center" indent="1"/>
    </xf>
    <xf numFmtId="0" fontId="45" fillId="6" borderId="56" applyNumberFormat="0" applyProtection="0">
      <alignment horizontal="left" vertical="center" indent="1"/>
    </xf>
    <xf numFmtId="4" fontId="16" fillId="8" borderId="68" applyNumberFormat="0" applyProtection="0">
      <alignment horizontal="left" vertical="center" indent="1"/>
    </xf>
    <xf numFmtId="0" fontId="16" fillId="46" borderId="8" applyNumberFormat="0" applyProtection="0">
      <alignment horizontal="left" vertical="center" indent="1"/>
    </xf>
    <xf numFmtId="0" fontId="16" fillId="107" borderId="8" applyNumberFormat="0" applyProtection="0">
      <alignment horizontal="left" vertical="center" indent="1"/>
    </xf>
    <xf numFmtId="4" fontId="18" fillId="106" borderId="8" applyNumberFormat="0" applyProtection="0">
      <alignment vertical="center"/>
    </xf>
    <xf numFmtId="4" fontId="45" fillId="36" borderId="56" applyNumberFormat="0" applyProtection="0">
      <alignment horizontal="right" vertical="center"/>
    </xf>
    <xf numFmtId="4" fontId="16" fillId="8" borderId="68" applyNumberFormat="0" applyProtection="0">
      <alignment horizontal="left" vertical="center" indent="1"/>
    </xf>
    <xf numFmtId="4" fontId="37" fillId="118" borderId="8" applyNumberFormat="0" applyProtection="0">
      <alignment horizontal="left" vertical="center" indent="1"/>
    </xf>
    <xf numFmtId="4" fontId="18" fillId="116" borderId="8" applyNumberFormat="0" applyProtection="0">
      <alignment horizontal="right" vertical="center"/>
    </xf>
    <xf numFmtId="4" fontId="18" fillId="106" borderId="8" applyNumberFormat="0" applyProtection="0">
      <alignment vertical="center"/>
    </xf>
    <xf numFmtId="4" fontId="40" fillId="123" borderId="8" applyNumberFormat="0" applyProtection="0">
      <alignment vertical="center"/>
    </xf>
    <xf numFmtId="4" fontId="40" fillId="119" borderId="8" applyNumberFormat="0" applyProtection="0">
      <alignment horizontal="right" vertical="center"/>
    </xf>
    <xf numFmtId="4" fontId="18" fillId="114" borderId="8" applyNumberFormat="0" applyProtection="0">
      <alignment horizontal="right" vertical="center"/>
    </xf>
    <xf numFmtId="0" fontId="18" fillId="4" borderId="7" applyNumberFormat="0" applyFont="0" applyAlignment="0" applyProtection="0"/>
    <xf numFmtId="4" fontId="18" fillId="108" borderId="8" applyNumberFormat="0" applyProtection="0">
      <alignment horizontal="right" vertical="center"/>
    </xf>
    <xf numFmtId="4" fontId="45" fillId="9" borderId="56" applyNumberFormat="0" applyProtection="0">
      <alignment horizontal="right" vertical="center"/>
    </xf>
    <xf numFmtId="4" fontId="123" fillId="5" borderId="56" applyNumberFormat="0" applyProtection="0">
      <alignment horizontal="right" vertical="center"/>
    </xf>
    <xf numFmtId="0" fontId="16" fillId="122" borderId="8" applyNumberFormat="0" applyProtection="0">
      <alignment horizontal="left" vertical="center" indent="1"/>
    </xf>
    <xf numFmtId="0" fontId="45" fillId="41" borderId="56" applyNumberFormat="0" applyProtection="0">
      <alignment horizontal="left" vertical="center" indent="1"/>
    </xf>
    <xf numFmtId="0" fontId="45" fillId="121" borderId="56" applyNumberFormat="0" applyProtection="0">
      <alignment horizontal="left" vertical="center" indent="1"/>
    </xf>
    <xf numFmtId="4" fontId="45" fillId="34" borderId="68" applyNumberFormat="0" applyProtection="0">
      <alignment horizontal="right" vertical="center"/>
    </xf>
    <xf numFmtId="4" fontId="45" fillId="106" borderId="56" applyNumberFormat="0" applyProtection="0">
      <alignment horizontal="left" vertical="center" indent="1"/>
    </xf>
    <xf numFmtId="0" fontId="45" fillId="8" borderId="9" applyNumberFormat="0" applyProtection="0">
      <alignment horizontal="left" vertical="top" indent="1"/>
    </xf>
    <xf numFmtId="4" fontId="45" fillId="34" borderId="68" applyNumberFormat="0" applyProtection="0">
      <alignment horizontal="right" vertical="center"/>
    </xf>
    <xf numFmtId="4" fontId="45" fillId="2" borderId="68" applyNumberFormat="0" applyProtection="0">
      <alignment horizontal="left" vertical="center" indent="1"/>
    </xf>
    <xf numFmtId="4" fontId="45" fillId="40" borderId="68" applyNumberFormat="0" applyProtection="0">
      <alignment horizontal="left" vertical="center" indent="1"/>
    </xf>
    <xf numFmtId="4" fontId="45" fillId="2" borderId="56" applyNumberFormat="0" applyProtection="0">
      <alignment horizontal="right" vertical="center"/>
    </xf>
    <xf numFmtId="0" fontId="45" fillId="8" borderId="9" applyNumberFormat="0" applyProtection="0">
      <alignment horizontal="left" vertical="top" indent="1"/>
    </xf>
    <xf numFmtId="4" fontId="45" fillId="38" borderId="56" applyNumberFormat="0" applyProtection="0">
      <alignment horizontal="right" vertical="center"/>
    </xf>
    <xf numFmtId="0" fontId="45" fillId="121" borderId="56" applyNumberFormat="0" applyProtection="0">
      <alignment horizontal="left" vertical="center" indent="1"/>
    </xf>
    <xf numFmtId="0" fontId="115" fillId="11" borderId="1" applyNumberFormat="0" applyAlignment="0" applyProtection="0"/>
    <xf numFmtId="4" fontId="18" fillId="123" borderId="8" applyNumberFormat="0" applyProtection="0">
      <alignment horizontal="left" vertical="center" indent="1"/>
    </xf>
    <xf numFmtId="4" fontId="120" fillId="4" borderId="9" applyNumberFormat="0" applyProtection="0">
      <alignment vertical="center"/>
    </xf>
    <xf numFmtId="4" fontId="120" fillId="4" borderId="9" applyNumberFormat="0" applyProtection="0">
      <alignment vertical="center"/>
    </xf>
    <xf numFmtId="0" fontId="45" fillId="6" borderId="9" applyNumberFormat="0" applyProtection="0">
      <alignment horizontal="left" vertical="top" indent="1"/>
    </xf>
    <xf numFmtId="4" fontId="45" fillId="110" borderId="56" applyNumberFormat="0" applyProtection="0">
      <alignment horizontal="right" vertical="center"/>
    </xf>
    <xf numFmtId="4" fontId="45" fillId="2" borderId="68" applyNumberFormat="0" applyProtection="0">
      <alignment horizontal="left" vertical="center" indent="1"/>
    </xf>
    <xf numFmtId="0" fontId="45" fillId="10" borderId="56" applyNumberFormat="0" applyProtection="0">
      <alignment horizontal="left" vertical="center" indent="1"/>
    </xf>
    <xf numFmtId="4" fontId="18" fillId="119" borderId="8" applyNumberFormat="0" applyProtection="0">
      <alignment horizontal="left" vertical="center" indent="1"/>
    </xf>
    <xf numFmtId="4" fontId="45" fillId="9" borderId="56" applyNumberFormat="0" applyProtection="0">
      <alignment horizontal="right" vertical="center"/>
    </xf>
    <xf numFmtId="4" fontId="45" fillId="2" borderId="56" applyNumberFormat="0" applyProtection="0">
      <alignment horizontal="right" vertical="center"/>
    </xf>
    <xf numFmtId="0" fontId="45" fillId="41" borderId="56" applyNumberFormat="0" applyProtection="0">
      <alignment horizontal="left" vertical="center" indent="1"/>
    </xf>
    <xf numFmtId="4" fontId="117" fillId="43" borderId="56" applyNumberFormat="0" applyProtection="0">
      <alignment horizontal="right" vertical="center"/>
    </xf>
    <xf numFmtId="4" fontId="45" fillId="2" borderId="56" applyNumberFormat="0" applyProtection="0">
      <alignment horizontal="right" vertical="center"/>
    </xf>
    <xf numFmtId="4" fontId="45" fillId="0" borderId="56" applyNumberFormat="0" applyProtection="0">
      <alignment horizontal="right" vertical="center"/>
    </xf>
    <xf numFmtId="0" fontId="16" fillId="45" borderId="8" applyNumberFormat="0" applyProtection="0">
      <alignment horizontal="left" vertical="center" indent="1"/>
    </xf>
    <xf numFmtId="4" fontId="18" fillId="111" borderId="8" applyNumberFormat="0" applyProtection="0">
      <alignment horizontal="right" vertical="center"/>
    </xf>
    <xf numFmtId="0" fontId="16" fillId="107" borderId="8" applyNumberFormat="0" applyProtection="0">
      <alignment horizontal="left" vertical="center" indent="1"/>
    </xf>
    <xf numFmtId="4" fontId="18" fillId="106" borderId="8" applyNumberFormat="0" applyProtection="0">
      <alignment vertical="center"/>
    </xf>
    <xf numFmtId="4" fontId="45" fillId="39" borderId="56" applyNumberFormat="0" applyProtection="0">
      <alignment horizontal="right" vertical="center"/>
    </xf>
    <xf numFmtId="0" fontId="33" fillId="27" borderId="56" applyNumberFormat="0" applyAlignment="0" applyProtection="0"/>
    <xf numFmtId="0" fontId="45" fillId="41" borderId="56" applyNumberFormat="0" applyProtection="0">
      <alignment horizontal="left" vertical="center" indent="1"/>
    </xf>
    <xf numFmtId="4" fontId="18" fillId="115" borderId="8" applyNumberFormat="0" applyProtection="0">
      <alignment horizontal="right" vertical="center"/>
    </xf>
    <xf numFmtId="4" fontId="45" fillId="9" borderId="56" applyNumberFormat="0" applyProtection="0">
      <alignment horizontal="right" vertical="center"/>
    </xf>
    <xf numFmtId="4" fontId="45" fillId="39" borderId="56" applyNumberFormat="0" applyProtection="0">
      <alignment horizontal="right" vertical="center"/>
    </xf>
    <xf numFmtId="0" fontId="16" fillId="107" borderId="8" applyNumberFormat="0" applyProtection="0">
      <alignment horizontal="left" vertical="center" indent="1"/>
    </xf>
    <xf numFmtId="4" fontId="18" fillId="109" borderId="8" applyNumberFormat="0" applyProtection="0">
      <alignment horizontal="right" vertical="center"/>
    </xf>
    <xf numFmtId="4" fontId="45" fillId="0" borderId="56" applyNumberFormat="0" applyProtection="0">
      <alignment horizontal="right" vertical="center"/>
    </xf>
    <xf numFmtId="4" fontId="45" fillId="110" borderId="56" applyNumberFormat="0" applyProtection="0">
      <alignment horizontal="right" vertical="center"/>
    </xf>
    <xf numFmtId="4" fontId="18" fillId="106" borderId="8" applyNumberFormat="0" applyProtection="0">
      <alignment horizontal="left" vertical="center" indent="1"/>
    </xf>
    <xf numFmtId="4" fontId="45" fillId="51" borderId="56" applyNumberFormat="0" applyProtection="0">
      <alignment horizontal="left" vertical="center" indent="1"/>
    </xf>
    <xf numFmtId="0" fontId="16" fillId="122" borderId="8" applyNumberFormat="0" applyProtection="0">
      <alignment horizontal="left" vertical="center" indent="1"/>
    </xf>
    <xf numFmtId="4" fontId="18" fillId="123" borderId="8" applyNumberFormat="0" applyProtection="0">
      <alignment horizontal="left" vertical="center" indent="1"/>
    </xf>
    <xf numFmtId="4" fontId="45" fillId="7" borderId="56" applyNumberFormat="0" applyProtection="0">
      <alignment horizontal="right" vertical="center"/>
    </xf>
    <xf numFmtId="0" fontId="115" fillId="11" borderId="1" applyNumberFormat="0" applyAlignment="0" applyProtection="0"/>
    <xf numFmtId="4" fontId="117" fillId="43" borderId="56" applyNumberFormat="0" applyProtection="0">
      <alignment horizontal="right" vertical="center"/>
    </xf>
    <xf numFmtId="4" fontId="45" fillId="110" borderId="56" applyNumberFormat="0" applyProtection="0">
      <alignment horizontal="right" vertical="center"/>
    </xf>
    <xf numFmtId="0" fontId="16" fillId="45" borderId="8" applyNumberFormat="0" applyProtection="0">
      <alignment horizontal="left" vertical="center" indent="1"/>
    </xf>
    <xf numFmtId="0" fontId="119" fillId="8" borderId="77" applyBorder="0"/>
    <xf numFmtId="0" fontId="45" fillId="6" borderId="56" applyNumberFormat="0" applyProtection="0">
      <alignment horizontal="left" vertical="center" indent="1"/>
    </xf>
    <xf numFmtId="4" fontId="18" fillId="116" borderId="8" applyNumberFormat="0" applyProtection="0">
      <alignment horizontal="right" vertical="center"/>
    </xf>
    <xf numFmtId="4" fontId="45" fillId="36" borderId="56" applyNumberFormat="0" applyProtection="0">
      <alignment horizontal="right" vertical="center"/>
    </xf>
    <xf numFmtId="4" fontId="45" fillId="9" borderId="56" applyNumberFormat="0" applyProtection="0">
      <alignment horizontal="right" vertical="center"/>
    </xf>
    <xf numFmtId="4" fontId="45" fillId="38" borderId="56" applyNumberFormat="0" applyProtection="0">
      <alignment horizontal="right" vertical="center"/>
    </xf>
    <xf numFmtId="4" fontId="120" fillId="10" borderId="9" applyNumberFormat="0" applyProtection="0">
      <alignment horizontal="left" vertical="center" indent="1"/>
    </xf>
    <xf numFmtId="4" fontId="45" fillId="7" borderId="56" applyNumberFormat="0" applyProtection="0">
      <alignment horizontal="right" vertical="center"/>
    </xf>
    <xf numFmtId="4" fontId="45" fillId="33" borderId="56" applyNumberFormat="0" applyProtection="0">
      <alignment vertical="center"/>
    </xf>
    <xf numFmtId="4" fontId="18" fillId="123" borderId="8" applyNumberFormat="0" applyProtection="0">
      <alignment horizontal="left" vertical="center" indent="1"/>
    </xf>
    <xf numFmtId="4" fontId="45" fillId="106" borderId="56" applyNumberFormat="0" applyProtection="0">
      <alignment horizontal="left" vertical="center" indent="1"/>
    </xf>
    <xf numFmtId="0" fontId="45" fillId="10" borderId="56" applyNumberFormat="0" applyProtection="0">
      <alignment horizontal="left" vertical="center" indent="1"/>
    </xf>
    <xf numFmtId="4" fontId="45" fillId="41" borderId="68" applyNumberFormat="0" applyProtection="0">
      <alignment horizontal="left" vertical="center" indent="1"/>
    </xf>
    <xf numFmtId="4" fontId="18" fillId="113" borderId="8" applyNumberFormat="0" applyProtection="0">
      <alignment horizontal="right" vertical="center"/>
    </xf>
    <xf numFmtId="4" fontId="45" fillId="35" borderId="56" applyNumberFormat="0" applyProtection="0">
      <alignment horizontal="right" vertical="center"/>
    </xf>
    <xf numFmtId="4" fontId="16" fillId="8" borderId="68" applyNumberFormat="0" applyProtection="0">
      <alignment horizontal="left" vertical="center" indent="1"/>
    </xf>
    <xf numFmtId="0" fontId="16" fillId="45" borderId="8" applyNumberFormat="0" applyProtection="0">
      <alignment horizontal="left" vertical="center" indent="1"/>
    </xf>
    <xf numFmtId="4" fontId="45" fillId="39" borderId="56" applyNumberFormat="0" applyProtection="0">
      <alignment horizontal="right" vertical="center"/>
    </xf>
    <xf numFmtId="4" fontId="45" fillId="2" borderId="68" applyNumberFormat="0" applyProtection="0">
      <alignment horizontal="left" vertical="center" indent="1"/>
    </xf>
    <xf numFmtId="4" fontId="42" fillId="119" borderId="8" applyNumberFormat="0" applyProtection="0">
      <alignment horizontal="right" vertical="center"/>
    </xf>
    <xf numFmtId="4" fontId="45" fillId="2" borderId="68" applyNumberFormat="0" applyProtection="0">
      <alignment horizontal="left" vertical="center" indent="1"/>
    </xf>
    <xf numFmtId="4" fontId="45" fillId="106" borderId="56" applyNumberFormat="0" applyProtection="0">
      <alignment horizontal="left" vertical="center" indent="1"/>
    </xf>
    <xf numFmtId="4" fontId="18" fillId="106" borderId="8" applyNumberFormat="0" applyProtection="0">
      <alignment vertical="center"/>
    </xf>
    <xf numFmtId="4" fontId="45" fillId="106" borderId="56" applyNumberFormat="0" applyProtection="0">
      <alignment horizontal="left" vertical="center" indent="1"/>
    </xf>
    <xf numFmtId="0" fontId="45" fillId="26" borderId="56" applyNumberFormat="0" applyFont="0" applyAlignment="0" applyProtection="0"/>
    <xf numFmtId="0" fontId="109" fillId="10" borderId="1" applyNumberFormat="0" applyAlignment="0" applyProtection="0"/>
    <xf numFmtId="4" fontId="45" fillId="7" borderId="56" applyNumberFormat="0" applyProtection="0">
      <alignment horizontal="right" vertical="center"/>
    </xf>
    <xf numFmtId="0" fontId="118" fillId="33" borderId="9" applyNumberFormat="0" applyProtection="0">
      <alignment horizontal="left" vertical="top" indent="1"/>
    </xf>
    <xf numFmtId="4" fontId="45" fillId="33" borderId="56" applyNumberFormat="0" applyProtection="0">
      <alignment vertical="center"/>
    </xf>
    <xf numFmtId="0" fontId="108" fillId="101" borderId="56" applyNumberFormat="0" applyAlignment="0" applyProtection="0"/>
    <xf numFmtId="4" fontId="122" fillId="42" borderId="68" applyNumberFormat="0" applyProtection="0">
      <alignment horizontal="left" vertical="center" indent="1"/>
    </xf>
    <xf numFmtId="0" fontId="45" fillId="124" borderId="79"/>
    <xf numFmtId="0" fontId="120" fillId="2" borderId="9" applyNumberFormat="0" applyProtection="0">
      <alignment horizontal="left" vertical="top" indent="1"/>
    </xf>
    <xf numFmtId="4" fontId="42" fillId="119" borderId="8" applyNumberFormat="0" applyProtection="0">
      <alignment horizontal="right" vertical="center"/>
    </xf>
    <xf numFmtId="4" fontId="45" fillId="0" borderId="56" applyNumberFormat="0" applyProtection="0">
      <alignment horizontal="right" vertical="center"/>
    </xf>
    <xf numFmtId="0" fontId="16" fillId="107" borderId="8" applyNumberFormat="0" applyProtection="0">
      <alignment horizontal="left" vertical="center" indent="1"/>
    </xf>
    <xf numFmtId="4" fontId="45" fillId="0" borderId="56" applyNumberFormat="0" applyProtection="0">
      <alignment horizontal="right" vertical="center"/>
    </xf>
    <xf numFmtId="4" fontId="45" fillId="51" borderId="56" applyNumberFormat="0" applyProtection="0">
      <alignment horizontal="left" vertical="center" indent="1"/>
    </xf>
    <xf numFmtId="4" fontId="40" fillId="119" borderId="8" applyNumberFormat="0" applyProtection="0">
      <alignment horizontal="right" vertical="center"/>
    </xf>
    <xf numFmtId="0" fontId="36" fillId="101" borderId="8" applyNumberFormat="0" applyAlignment="0" applyProtection="0"/>
    <xf numFmtId="0" fontId="45" fillId="26" borderId="56" applyNumberFormat="0" applyFont="0" applyAlignment="0" applyProtection="0"/>
    <xf numFmtId="0" fontId="18" fillId="4" borderId="7"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04" fillId="72" borderId="0" applyNumberFormat="0" applyBorder="0" applyAlignment="0" applyProtection="0"/>
    <xf numFmtId="0" fontId="104" fillId="76" borderId="0" applyNumberFormat="0" applyBorder="0" applyAlignment="0" applyProtection="0"/>
    <xf numFmtId="0" fontId="104" fillId="80" borderId="0" applyNumberFormat="0" applyBorder="0" applyAlignment="0" applyProtection="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4" fontId="37" fillId="33" borderId="84" applyNumberFormat="0" applyProtection="0">
      <alignment vertical="center"/>
    </xf>
    <xf numFmtId="4" fontId="38" fillId="33" borderId="84" applyNumberFormat="0" applyProtection="0">
      <alignment vertical="center"/>
    </xf>
    <xf numFmtId="4" fontId="37" fillId="33" borderId="84" applyNumberFormat="0" applyProtection="0">
      <alignment horizontal="left" vertical="center" indent="1"/>
    </xf>
    <xf numFmtId="175" fontId="37" fillId="33" borderId="84" applyNumberFormat="0" applyProtection="0">
      <alignment horizontal="left" vertical="top" indent="1"/>
    </xf>
    <xf numFmtId="4" fontId="18" fillId="7" borderId="84" applyNumberFormat="0" applyProtection="0">
      <alignment horizontal="right" vertical="center"/>
    </xf>
    <xf numFmtId="4" fontId="18" fillId="3" borderId="84" applyNumberFormat="0" applyProtection="0">
      <alignment horizontal="right" vertical="center"/>
    </xf>
    <xf numFmtId="4" fontId="18" fillId="34" borderId="84" applyNumberFormat="0" applyProtection="0">
      <alignment horizontal="right" vertical="center"/>
    </xf>
    <xf numFmtId="4" fontId="18" fillId="35" borderId="84" applyNumberFormat="0" applyProtection="0">
      <alignment horizontal="right" vertical="center"/>
    </xf>
    <xf numFmtId="4" fontId="18" fillId="36" borderId="84" applyNumberFormat="0" applyProtection="0">
      <alignment horizontal="right" vertical="center"/>
    </xf>
    <xf numFmtId="4" fontId="18" fillId="37" borderId="84" applyNumberFormat="0" applyProtection="0">
      <alignment horizontal="right" vertical="center"/>
    </xf>
    <xf numFmtId="4" fontId="18" fillId="9" borderId="84" applyNumberFormat="0" applyProtection="0">
      <alignment horizontal="right" vertical="center"/>
    </xf>
    <xf numFmtId="4" fontId="18" fillId="38" borderId="84" applyNumberFormat="0" applyProtection="0">
      <alignment horizontal="right" vertical="center"/>
    </xf>
    <xf numFmtId="4" fontId="18" fillId="39" borderId="84" applyNumberFormat="0" applyProtection="0">
      <alignment horizontal="right" vertical="center"/>
    </xf>
    <xf numFmtId="4" fontId="18" fillId="2" borderId="84" applyNumberFormat="0" applyProtection="0">
      <alignment horizontal="right" vertical="center"/>
    </xf>
    <xf numFmtId="175" fontId="16" fillId="8" borderId="84" applyNumberFormat="0" applyProtection="0">
      <alignment horizontal="left" vertical="center" indent="1"/>
    </xf>
    <xf numFmtId="175" fontId="16" fillId="8" borderId="84" applyNumberFormat="0" applyProtection="0">
      <alignment horizontal="left" vertical="top" indent="1"/>
    </xf>
    <xf numFmtId="175" fontId="16" fillId="2" borderId="84" applyNumberFormat="0" applyProtection="0">
      <alignment horizontal="left" vertical="center" indent="1"/>
    </xf>
    <xf numFmtId="175" fontId="16" fillId="2" borderId="84" applyNumberFormat="0" applyProtection="0">
      <alignment horizontal="left" vertical="top" indent="1"/>
    </xf>
    <xf numFmtId="175" fontId="16" fillId="6" borderId="84" applyNumberFormat="0" applyProtection="0">
      <alignment horizontal="left" vertical="center" indent="1"/>
    </xf>
    <xf numFmtId="175" fontId="16" fillId="6" borderId="84" applyNumberFormat="0" applyProtection="0">
      <alignment horizontal="left" vertical="top" indent="1"/>
    </xf>
    <xf numFmtId="175" fontId="16" fillId="41" borderId="84" applyNumberFormat="0" applyProtection="0">
      <alignment horizontal="left" vertical="center" indent="1"/>
    </xf>
    <xf numFmtId="175" fontId="16" fillId="41" borderId="84" applyNumberFormat="0" applyProtection="0">
      <alignment horizontal="left" vertical="top" indent="1"/>
    </xf>
    <xf numFmtId="4" fontId="18" fillId="4" borderId="84" applyNumberFormat="0" applyProtection="0">
      <alignment vertical="center"/>
    </xf>
    <xf numFmtId="4" fontId="40" fillId="4" borderId="84" applyNumberFormat="0" applyProtection="0">
      <alignment vertical="center"/>
    </xf>
    <xf numFmtId="4" fontId="18" fillId="4" borderId="84" applyNumberFormat="0" applyProtection="0">
      <alignment horizontal="left" vertical="center" indent="1"/>
    </xf>
    <xf numFmtId="175" fontId="18" fillId="4" borderId="84" applyNumberFormat="0" applyProtection="0">
      <alignment horizontal="left" vertical="top" indent="1"/>
    </xf>
    <xf numFmtId="4" fontId="18" fillId="41" borderId="84" applyNumberFormat="0" applyProtection="0">
      <alignment horizontal="right" vertical="center"/>
    </xf>
    <xf numFmtId="4" fontId="40" fillId="41" borderId="84" applyNumberFormat="0" applyProtection="0">
      <alignment horizontal="right" vertical="center"/>
    </xf>
    <xf numFmtId="4" fontId="18" fillId="2" borderId="84" applyNumberFormat="0" applyProtection="0">
      <alignment horizontal="left" vertical="center" indent="1"/>
    </xf>
    <xf numFmtId="175" fontId="18" fillId="2" borderId="84" applyNumberFormat="0" applyProtection="0">
      <alignment horizontal="left" vertical="top" indent="1"/>
    </xf>
    <xf numFmtId="4" fontId="42" fillId="41" borderId="84" applyNumberFormat="0" applyProtection="0">
      <alignment horizontal="right" vertical="center"/>
    </xf>
    <xf numFmtId="175" fontId="27" fillId="0" borderId="85" applyNumberFormat="0" applyFill="0" applyAlignment="0" applyProtection="0"/>
    <xf numFmtId="4" fontId="18" fillId="7" borderId="84" applyNumberFormat="0" applyProtection="0">
      <alignment horizontal="right" vertical="center"/>
    </xf>
    <xf numFmtId="4" fontId="18" fillId="3" borderId="84" applyNumberFormat="0" applyProtection="0">
      <alignment horizontal="right" vertical="center"/>
    </xf>
    <xf numFmtId="4" fontId="18" fillId="34" borderId="84" applyNumberFormat="0" applyProtection="0">
      <alignment horizontal="right" vertical="center"/>
    </xf>
    <xf numFmtId="4" fontId="18" fillId="35" borderId="84" applyNumberFormat="0" applyProtection="0">
      <alignment horizontal="right" vertical="center"/>
    </xf>
    <xf numFmtId="4" fontId="18" fillId="36" borderId="84" applyNumberFormat="0" applyProtection="0">
      <alignment horizontal="right" vertical="center"/>
    </xf>
    <xf numFmtId="4" fontId="18" fillId="37" borderId="84" applyNumberFormat="0" applyProtection="0">
      <alignment horizontal="right" vertical="center"/>
    </xf>
    <xf numFmtId="4" fontId="18" fillId="9" borderId="84" applyNumberFormat="0" applyProtection="0">
      <alignment horizontal="right" vertical="center"/>
    </xf>
    <xf numFmtId="4" fontId="18" fillId="38" borderId="84" applyNumberFormat="0" applyProtection="0">
      <alignment horizontal="right" vertical="center"/>
    </xf>
    <xf numFmtId="4" fontId="18" fillId="39" borderId="84" applyNumberFormat="0" applyProtection="0">
      <alignment horizontal="right" vertical="center"/>
    </xf>
    <xf numFmtId="4" fontId="18" fillId="2" borderId="84" applyNumberFormat="0" applyProtection="0">
      <alignment horizontal="right" vertical="center"/>
    </xf>
    <xf numFmtId="4" fontId="18" fillId="4" borderId="84" applyNumberFormat="0" applyProtection="0">
      <alignment vertical="center"/>
    </xf>
    <xf numFmtId="4" fontId="18" fillId="4" borderId="84" applyNumberFormat="0" applyProtection="0">
      <alignment horizontal="left" vertical="center" indent="1"/>
    </xf>
    <xf numFmtId="175" fontId="18" fillId="4" borderId="84" applyNumberFormat="0" applyProtection="0">
      <alignment horizontal="left" vertical="top" indent="1"/>
    </xf>
    <xf numFmtId="4" fontId="18" fillId="41" borderId="84" applyNumberFormat="0" applyProtection="0">
      <alignment horizontal="right" vertical="center"/>
    </xf>
    <xf numFmtId="4" fontId="18" fillId="2" borderId="84" applyNumberFormat="0" applyProtection="0">
      <alignment horizontal="left" vertical="center" indent="1"/>
    </xf>
    <xf numFmtId="175" fontId="18" fillId="2" borderId="84" applyNumberFormat="0" applyProtection="0">
      <alignment horizontal="left" vertical="top" indent="1"/>
    </xf>
    <xf numFmtId="175" fontId="2" fillId="0" borderId="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175" fontId="27" fillId="0" borderId="85" applyNumberFormat="0" applyFill="0" applyAlignment="0" applyProtection="0"/>
    <xf numFmtId="175" fontId="2" fillId="0" borderId="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175" fontId="27" fillId="0" borderId="85" applyNumberFormat="0" applyFill="0" applyAlignment="0" applyProtection="0"/>
    <xf numFmtId="175" fontId="2" fillId="0" borderId="0"/>
    <xf numFmtId="175" fontId="2" fillId="0" borderId="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175" fontId="27" fillId="0" borderId="85" applyNumberFormat="0" applyFill="0" applyAlignment="0" applyProtection="0"/>
    <xf numFmtId="175" fontId="2" fillId="0" borderId="0"/>
    <xf numFmtId="175" fontId="2" fillId="0" borderId="0"/>
    <xf numFmtId="175" fontId="2" fillId="0" borderId="0"/>
    <xf numFmtId="175" fontId="2" fillId="0" borderId="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175" fontId="27" fillId="0" borderId="85"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175" fontId="27" fillId="0" borderId="85"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175" fontId="27" fillId="0" borderId="85"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175" fontId="27" fillId="0" borderId="85"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4" fontId="45" fillId="0" borderId="86" applyNumberFormat="0" applyProtection="0">
      <alignment horizontal="right" vertical="center"/>
    </xf>
    <xf numFmtId="4" fontId="45" fillId="51" borderId="86" applyNumberFormat="0" applyProtection="0">
      <alignment horizontal="left" vertical="center" indent="1"/>
    </xf>
    <xf numFmtId="43" fontId="2" fillId="0" borderId="0" applyFont="0" applyFill="0" applyBorder="0" applyAlignment="0" applyProtection="0"/>
    <xf numFmtId="0" fontId="2" fillId="0" borderId="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3" borderId="0" applyNumberFormat="0" applyBorder="0" applyAlignment="0" applyProtection="0"/>
    <xf numFmtId="0" fontId="2" fillId="65" borderId="0" applyNumberFormat="0" applyBorder="0" applyAlignment="0" applyProtection="0"/>
    <xf numFmtId="0" fontId="37" fillId="33" borderId="84" applyNumberFormat="0" applyProtection="0">
      <alignment horizontal="left" vertical="top" indent="1"/>
    </xf>
    <xf numFmtId="0" fontId="2" fillId="61" borderId="0" applyNumberFormat="0" applyBorder="0" applyAlignment="0" applyProtection="0"/>
    <xf numFmtId="0" fontId="16" fillId="8" borderId="84" applyNumberFormat="0" applyProtection="0">
      <alignment horizontal="left" vertical="center" indent="1"/>
    </xf>
    <xf numFmtId="0" fontId="16" fillId="8" borderId="84" applyNumberFormat="0" applyProtection="0">
      <alignment horizontal="left" vertical="top" indent="1"/>
    </xf>
    <xf numFmtId="0" fontId="16" fillId="2" borderId="84" applyNumberFormat="0" applyProtection="0">
      <alignment horizontal="left" vertical="center" indent="1"/>
    </xf>
    <xf numFmtId="0" fontId="16" fillId="2" borderId="84" applyNumberFormat="0" applyProtection="0">
      <alignment horizontal="left" vertical="top" indent="1"/>
    </xf>
    <xf numFmtId="0" fontId="16" fillId="6" borderId="84" applyNumberFormat="0" applyProtection="0">
      <alignment horizontal="left" vertical="center" indent="1"/>
    </xf>
    <xf numFmtId="0" fontId="16" fillId="6" borderId="84" applyNumberFormat="0" applyProtection="0">
      <alignment horizontal="left" vertical="top" indent="1"/>
    </xf>
    <xf numFmtId="0" fontId="16" fillId="41" borderId="84" applyNumberFormat="0" applyProtection="0">
      <alignment horizontal="left" vertical="center" indent="1"/>
    </xf>
    <xf numFmtId="0" fontId="16" fillId="41" borderId="84" applyNumberFormat="0" applyProtection="0">
      <alignment horizontal="left" vertical="top" indent="1"/>
    </xf>
    <xf numFmtId="0" fontId="2" fillId="61" borderId="0" applyNumberFormat="0" applyBorder="0" applyAlignment="0" applyProtection="0"/>
    <xf numFmtId="0" fontId="2" fillId="62" borderId="0" applyNumberFormat="0" applyBorder="0" applyAlignment="0" applyProtection="0"/>
    <xf numFmtId="0" fontId="18" fillId="4" borderId="84" applyNumberFormat="0" applyProtection="0">
      <alignment horizontal="left" vertical="top" indent="1"/>
    </xf>
    <xf numFmtId="0" fontId="2" fillId="61" borderId="0" applyNumberFormat="0" applyBorder="0" applyAlignment="0" applyProtection="0"/>
    <xf numFmtId="0" fontId="2" fillId="61" borderId="0" applyNumberFormat="0" applyBorder="0" applyAlignment="0" applyProtection="0"/>
    <xf numFmtId="0" fontId="18" fillId="2" borderId="84" applyNumberFormat="0" applyProtection="0">
      <alignment horizontal="left" vertical="top" indent="1"/>
    </xf>
    <xf numFmtId="0" fontId="2" fillId="69"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1" borderId="0" applyNumberFormat="0" applyBorder="0" applyAlignment="0" applyProtection="0"/>
    <xf numFmtId="0" fontId="2" fillId="82" borderId="0" applyNumberFormat="0" applyBorder="0" applyAlignment="0" applyProtection="0"/>
    <xf numFmtId="0" fontId="2" fillId="0" borderId="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108" fillId="101" borderId="86" applyNumberFormat="0" applyAlignment="0" applyProtection="0"/>
    <xf numFmtId="0" fontId="109" fillId="10" borderId="81"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0" fontId="33" fillId="27" borderId="86" applyNumberFormat="0" applyAlignment="0" applyProtection="0"/>
    <xf numFmtId="0" fontId="115" fillId="11" borderId="8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6" applyNumberFormat="0" applyFont="0" applyAlignment="0" applyProtection="0"/>
    <xf numFmtId="0" fontId="18" fillId="4" borderId="82" applyNumberFormat="0" applyFont="0" applyAlignment="0" applyProtection="0"/>
    <xf numFmtId="0" fontId="45" fillId="26" borderId="86" applyNumberFormat="0" applyFont="0" applyAlignment="0" applyProtection="0"/>
    <xf numFmtId="0" fontId="2" fillId="59" borderId="66" applyNumberFormat="0" applyFont="0" applyAlignment="0" applyProtection="0"/>
    <xf numFmtId="0" fontId="36" fillId="101" borderId="83" applyNumberFormat="0" applyAlignment="0" applyProtection="0"/>
    <xf numFmtId="0" fontId="36" fillId="10" borderId="83" applyNumberFormat="0" applyAlignment="0" applyProtection="0"/>
    <xf numFmtId="9" fontId="2" fillId="0" borderId="0" applyFont="0" applyFill="0" applyBorder="0" applyAlignment="0" applyProtection="0"/>
    <xf numFmtId="9" fontId="2" fillId="0" borderId="0" applyFont="0" applyFill="0" applyBorder="0" applyAlignment="0" applyProtection="0"/>
    <xf numFmtId="4" fontId="18" fillId="106" borderId="83" applyNumberFormat="0" applyProtection="0">
      <alignment vertical="center"/>
    </xf>
    <xf numFmtId="4" fontId="18" fillId="106" borderId="83" applyNumberFormat="0" applyProtection="0">
      <alignment vertical="center"/>
    </xf>
    <xf numFmtId="4" fontId="45" fillId="33" borderId="86" applyNumberFormat="0" applyProtection="0">
      <alignment vertical="center"/>
    </xf>
    <xf numFmtId="4" fontId="45" fillId="33" borderId="86" applyNumberFormat="0" applyProtection="0">
      <alignment vertical="center"/>
    </xf>
    <xf numFmtId="4" fontId="45" fillId="33" borderId="86" applyNumberFormat="0" applyProtection="0">
      <alignment vertical="center"/>
    </xf>
    <xf numFmtId="4" fontId="40" fillId="106" borderId="83" applyNumberFormat="0" applyProtection="0">
      <alignment vertical="center"/>
    </xf>
    <xf numFmtId="4" fontId="117" fillId="106" borderId="86" applyNumberFormat="0" applyProtection="0">
      <alignment vertical="center"/>
    </xf>
    <xf numFmtId="4" fontId="18" fillId="106" borderId="83" applyNumberFormat="0" applyProtection="0">
      <alignment horizontal="left" vertical="center" indent="1"/>
    </xf>
    <xf numFmtId="4" fontId="45" fillId="106" borderId="86" applyNumberFormat="0" applyProtection="0">
      <alignment horizontal="left" vertical="center" indent="1"/>
    </xf>
    <xf numFmtId="4" fontId="45" fillId="106" borderId="86" applyNumberFormat="0" applyProtection="0">
      <alignment horizontal="left" vertical="center" indent="1"/>
    </xf>
    <xf numFmtId="4" fontId="45" fillId="106" borderId="86" applyNumberFormat="0" applyProtection="0">
      <alignment horizontal="left" vertical="center" indent="1"/>
    </xf>
    <xf numFmtId="4" fontId="18" fillId="106" borderId="83" applyNumberFormat="0" applyProtection="0">
      <alignment horizontal="left" vertical="center" indent="1"/>
    </xf>
    <xf numFmtId="0" fontId="118" fillId="33" borderId="84" applyNumberFormat="0" applyProtection="0">
      <alignment horizontal="left" vertical="top" indent="1"/>
    </xf>
    <xf numFmtId="0" fontId="16" fillId="107" borderId="83" applyNumberFormat="0" applyProtection="0">
      <alignment horizontal="left" vertical="center" indent="1"/>
    </xf>
    <xf numFmtId="4" fontId="45" fillId="51" borderId="86" applyNumberFormat="0" applyProtection="0">
      <alignment horizontal="left" vertical="center" indent="1"/>
    </xf>
    <xf numFmtId="4" fontId="45" fillId="51" borderId="86" applyNumberFormat="0" applyProtection="0">
      <alignment horizontal="left" vertical="center" indent="1"/>
    </xf>
    <xf numFmtId="4" fontId="45" fillId="51" borderId="86" applyNumberFormat="0" applyProtection="0">
      <alignment horizontal="left" vertical="center" indent="1"/>
    </xf>
    <xf numFmtId="4" fontId="18" fillId="108" borderId="83" applyNumberFormat="0" applyProtection="0">
      <alignment horizontal="right" vertical="center"/>
    </xf>
    <xf numFmtId="4" fontId="45" fillId="7" borderId="86" applyNumberFormat="0" applyProtection="0">
      <alignment horizontal="right" vertical="center"/>
    </xf>
    <xf numFmtId="4" fontId="45" fillId="7" borderId="86" applyNumberFormat="0" applyProtection="0">
      <alignment horizontal="right" vertical="center"/>
    </xf>
    <xf numFmtId="4" fontId="45" fillId="7" borderId="86" applyNumberFormat="0" applyProtection="0">
      <alignment horizontal="right" vertical="center"/>
    </xf>
    <xf numFmtId="4" fontId="18" fillId="109" borderId="83" applyNumberFormat="0" applyProtection="0">
      <alignment horizontal="right" vertical="center"/>
    </xf>
    <xf numFmtId="4" fontId="45" fillId="110" borderId="86" applyNumberFormat="0" applyProtection="0">
      <alignment horizontal="right" vertical="center"/>
    </xf>
    <xf numFmtId="4" fontId="45" fillId="110" borderId="86" applyNumberFormat="0" applyProtection="0">
      <alignment horizontal="right" vertical="center"/>
    </xf>
    <xf numFmtId="4" fontId="45" fillId="110" borderId="86" applyNumberFormat="0" applyProtection="0">
      <alignment horizontal="right" vertical="center"/>
    </xf>
    <xf numFmtId="4" fontId="18" fillId="111" borderId="83" applyNumberFormat="0" applyProtection="0">
      <alignment horizontal="right" vertical="center"/>
    </xf>
    <xf numFmtId="4" fontId="45" fillId="34" borderId="87" applyNumberFormat="0" applyProtection="0">
      <alignment horizontal="right" vertical="center"/>
    </xf>
    <xf numFmtId="4" fontId="45" fillId="34" borderId="87" applyNumberFormat="0" applyProtection="0">
      <alignment horizontal="right" vertical="center"/>
    </xf>
    <xf numFmtId="4" fontId="45" fillId="34" borderId="87" applyNumberFormat="0" applyProtection="0">
      <alignment horizontal="right" vertical="center"/>
    </xf>
    <xf numFmtId="4" fontId="18" fillId="112" borderId="83" applyNumberFormat="0" applyProtection="0">
      <alignment horizontal="right" vertical="center"/>
    </xf>
    <xf numFmtId="4" fontId="45" fillId="35" borderId="86" applyNumberFormat="0" applyProtection="0">
      <alignment horizontal="right" vertical="center"/>
    </xf>
    <xf numFmtId="4" fontId="45" fillId="35" borderId="86" applyNumberFormat="0" applyProtection="0">
      <alignment horizontal="right" vertical="center"/>
    </xf>
    <xf numFmtId="4" fontId="45" fillId="35" borderId="86" applyNumberFormat="0" applyProtection="0">
      <alignment horizontal="right" vertical="center"/>
    </xf>
    <xf numFmtId="4" fontId="18" fillId="113" borderId="83" applyNumberFormat="0" applyProtection="0">
      <alignment horizontal="right" vertical="center"/>
    </xf>
    <xf numFmtId="4" fontId="45" fillId="36" borderId="86" applyNumberFormat="0" applyProtection="0">
      <alignment horizontal="right" vertical="center"/>
    </xf>
    <xf numFmtId="4" fontId="45" fillId="36" borderId="86" applyNumberFormat="0" applyProtection="0">
      <alignment horizontal="right" vertical="center"/>
    </xf>
    <xf numFmtId="4" fontId="45" fillId="36" borderId="86" applyNumberFormat="0" applyProtection="0">
      <alignment horizontal="right" vertical="center"/>
    </xf>
    <xf numFmtId="4" fontId="18" fillId="114" borderId="83" applyNumberFormat="0" applyProtection="0">
      <alignment horizontal="right" vertical="center"/>
    </xf>
    <xf numFmtId="4" fontId="45" fillId="37" borderId="86" applyNumberFormat="0" applyProtection="0">
      <alignment horizontal="right" vertical="center"/>
    </xf>
    <xf numFmtId="4" fontId="45" fillId="37" borderId="86" applyNumberFormat="0" applyProtection="0">
      <alignment horizontal="right" vertical="center"/>
    </xf>
    <xf numFmtId="4" fontId="45" fillId="37" borderId="86" applyNumberFormat="0" applyProtection="0">
      <alignment horizontal="right" vertical="center"/>
    </xf>
    <xf numFmtId="4" fontId="18" fillId="115" borderId="83" applyNumberFormat="0" applyProtection="0">
      <alignment horizontal="right" vertical="center"/>
    </xf>
    <xf numFmtId="4" fontId="45" fillId="9" borderId="86" applyNumberFormat="0" applyProtection="0">
      <alignment horizontal="right" vertical="center"/>
    </xf>
    <xf numFmtId="4" fontId="45" fillId="9" borderId="86" applyNumberFormat="0" applyProtection="0">
      <alignment horizontal="right" vertical="center"/>
    </xf>
    <xf numFmtId="4" fontId="45" fillId="9" borderId="86" applyNumberFormat="0" applyProtection="0">
      <alignment horizontal="right" vertical="center"/>
    </xf>
    <xf numFmtId="4" fontId="18" fillId="116" borderId="83" applyNumberFormat="0" applyProtection="0">
      <alignment horizontal="right" vertical="center"/>
    </xf>
    <xf numFmtId="4" fontId="45" fillId="38" borderId="86" applyNumberFormat="0" applyProtection="0">
      <alignment horizontal="right" vertical="center"/>
    </xf>
    <xf numFmtId="4" fontId="45" fillId="38" borderId="86" applyNumberFormat="0" applyProtection="0">
      <alignment horizontal="right" vertical="center"/>
    </xf>
    <xf numFmtId="4" fontId="45" fillId="38" borderId="86" applyNumberFormat="0" applyProtection="0">
      <alignment horizontal="right" vertical="center"/>
    </xf>
    <xf numFmtId="4" fontId="18" fillId="117" borderId="83" applyNumberFormat="0" applyProtection="0">
      <alignment horizontal="right" vertical="center"/>
    </xf>
    <xf numFmtId="4" fontId="45" fillId="39" borderId="86" applyNumberFormat="0" applyProtection="0">
      <alignment horizontal="right" vertical="center"/>
    </xf>
    <xf numFmtId="4" fontId="45" fillId="39" borderId="86" applyNumberFormat="0" applyProtection="0">
      <alignment horizontal="right" vertical="center"/>
    </xf>
    <xf numFmtId="4" fontId="45" fillId="39" borderId="86" applyNumberFormat="0" applyProtection="0">
      <alignment horizontal="right" vertical="center"/>
    </xf>
    <xf numFmtId="4" fontId="37" fillId="118" borderId="83" applyNumberFormat="0" applyProtection="0">
      <alignment horizontal="left" vertical="center" indent="1"/>
    </xf>
    <xf numFmtId="4" fontId="45" fillId="40" borderId="87" applyNumberFormat="0" applyProtection="0">
      <alignment horizontal="left" vertical="center" indent="1"/>
    </xf>
    <xf numFmtId="4" fontId="45" fillId="40" borderId="87" applyNumberFormat="0" applyProtection="0">
      <alignment horizontal="left" vertical="center" indent="1"/>
    </xf>
    <xf numFmtId="4" fontId="45" fillId="40" borderId="87" applyNumberFormat="0" applyProtection="0">
      <alignment horizontal="left" vertical="center" indent="1"/>
    </xf>
    <xf numFmtId="4" fontId="18" fillId="119" borderId="88" applyNumberFormat="0" applyProtection="0">
      <alignment horizontal="left" vertical="center" indent="1"/>
    </xf>
    <xf numFmtId="4" fontId="16" fillId="8" borderId="87" applyNumberFormat="0" applyProtection="0">
      <alignment horizontal="left" vertical="center" indent="1"/>
    </xf>
    <xf numFmtId="4" fontId="16" fillId="8" borderId="87" applyNumberFormat="0" applyProtection="0">
      <alignment horizontal="left" vertical="center" indent="1"/>
    </xf>
    <xf numFmtId="0" fontId="16" fillId="107" borderId="83" applyNumberFormat="0" applyProtection="0">
      <alignment horizontal="left" vertical="center" indent="1"/>
    </xf>
    <xf numFmtId="4" fontId="45" fillId="2" borderId="86" applyNumberFormat="0" applyProtection="0">
      <alignment horizontal="right" vertical="center"/>
    </xf>
    <xf numFmtId="4" fontId="45" fillId="2" borderId="86" applyNumberFormat="0" applyProtection="0">
      <alignment horizontal="right" vertical="center"/>
    </xf>
    <xf numFmtId="4" fontId="45" fillId="2" borderId="86" applyNumberFormat="0" applyProtection="0">
      <alignment horizontal="right" vertical="center"/>
    </xf>
    <xf numFmtId="4" fontId="18" fillId="119" borderId="83" applyNumberFormat="0" applyProtection="0">
      <alignment horizontal="left" vertical="center" indent="1"/>
    </xf>
    <xf numFmtId="4" fontId="45" fillId="41" borderId="87" applyNumberFormat="0" applyProtection="0">
      <alignment horizontal="left" vertical="center" indent="1"/>
    </xf>
    <xf numFmtId="4" fontId="45" fillId="41" borderId="87" applyNumberFormat="0" applyProtection="0">
      <alignment horizontal="left" vertical="center" indent="1"/>
    </xf>
    <xf numFmtId="4" fontId="45" fillId="41" borderId="87" applyNumberFormat="0" applyProtection="0">
      <alignment horizontal="left" vertical="center" indent="1"/>
    </xf>
    <xf numFmtId="4" fontId="18" fillId="46" borderId="83" applyNumberFormat="0" applyProtection="0">
      <alignment horizontal="left" vertical="center" indent="1"/>
    </xf>
    <xf numFmtId="4" fontId="45" fillId="2" borderId="87" applyNumberFormat="0" applyProtection="0">
      <alignment horizontal="left" vertical="center" indent="1"/>
    </xf>
    <xf numFmtId="4" fontId="45" fillId="2" borderId="87" applyNumberFormat="0" applyProtection="0">
      <alignment horizontal="left" vertical="center" indent="1"/>
    </xf>
    <xf numFmtId="4" fontId="45" fillId="2" borderId="87" applyNumberFormat="0" applyProtection="0">
      <alignment horizontal="left" vertical="center" indent="1"/>
    </xf>
    <xf numFmtId="0" fontId="16" fillId="46" borderId="83" applyNumberFormat="0" applyProtection="0">
      <alignment horizontal="left" vertical="center" indent="1"/>
    </xf>
    <xf numFmtId="0" fontId="45" fillId="10" borderId="86" applyNumberFormat="0" applyProtection="0">
      <alignment horizontal="left" vertical="center" indent="1"/>
    </xf>
    <xf numFmtId="0" fontId="45" fillId="10" borderId="86" applyNumberFormat="0" applyProtection="0">
      <alignment horizontal="left" vertical="center" indent="1"/>
    </xf>
    <xf numFmtId="0" fontId="45" fillId="10" borderId="86" applyNumberFormat="0" applyProtection="0">
      <alignment horizontal="left" vertical="center" indent="1"/>
    </xf>
    <xf numFmtId="0" fontId="16" fillId="46" borderId="83" applyNumberFormat="0" applyProtection="0">
      <alignment horizontal="left" vertical="center" indent="1"/>
    </xf>
    <xf numFmtId="0" fontId="45" fillId="8" borderId="84" applyNumberFormat="0" applyProtection="0">
      <alignment horizontal="left" vertical="top" indent="1"/>
    </xf>
    <xf numFmtId="0" fontId="16" fillId="45" borderId="83" applyNumberFormat="0" applyProtection="0">
      <alignment horizontal="left" vertical="center" indent="1"/>
    </xf>
    <xf numFmtId="0" fontId="45" fillId="121" borderId="86" applyNumberFormat="0" applyProtection="0">
      <alignment horizontal="left" vertical="center" indent="1"/>
    </xf>
    <xf numFmtId="0" fontId="45" fillId="121" borderId="86" applyNumberFormat="0" applyProtection="0">
      <alignment horizontal="left" vertical="center" indent="1"/>
    </xf>
    <xf numFmtId="0" fontId="45" fillId="121" borderId="86" applyNumberFormat="0" applyProtection="0">
      <alignment horizontal="left" vertical="center" indent="1"/>
    </xf>
    <xf numFmtId="0" fontId="16" fillId="45" borderId="83" applyNumberFormat="0" applyProtection="0">
      <alignment horizontal="left" vertical="center" indent="1"/>
    </xf>
    <xf numFmtId="0" fontId="45" fillId="2" borderId="84" applyNumberFormat="0" applyProtection="0">
      <alignment horizontal="left" vertical="top" indent="1"/>
    </xf>
    <xf numFmtId="0" fontId="16" fillId="122" borderId="83" applyNumberFormat="0" applyProtection="0">
      <alignment horizontal="left" vertical="center" indent="1"/>
    </xf>
    <xf numFmtId="0" fontId="45" fillId="6" borderId="86" applyNumberFormat="0" applyProtection="0">
      <alignment horizontal="left" vertical="center" indent="1"/>
    </xf>
    <xf numFmtId="0" fontId="45" fillId="6" borderId="86" applyNumberFormat="0" applyProtection="0">
      <alignment horizontal="left" vertical="center" indent="1"/>
    </xf>
    <xf numFmtId="0" fontId="45" fillId="6" borderId="86" applyNumberFormat="0" applyProtection="0">
      <alignment horizontal="left" vertical="center" indent="1"/>
    </xf>
    <xf numFmtId="0" fontId="16" fillId="122" borderId="83" applyNumberFormat="0" applyProtection="0">
      <alignment horizontal="left" vertical="center" indent="1"/>
    </xf>
    <xf numFmtId="0" fontId="45" fillId="6" borderId="84" applyNumberFormat="0" applyProtection="0">
      <alignment horizontal="left" vertical="top" indent="1"/>
    </xf>
    <xf numFmtId="0" fontId="16" fillId="107" borderId="83" applyNumberFormat="0" applyProtection="0">
      <alignment horizontal="left" vertical="center" indent="1"/>
    </xf>
    <xf numFmtId="0" fontId="45" fillId="41" borderId="86" applyNumberFormat="0" applyProtection="0">
      <alignment horizontal="left" vertical="center" indent="1"/>
    </xf>
    <xf numFmtId="0" fontId="45" fillId="41" borderId="86" applyNumberFormat="0" applyProtection="0">
      <alignment horizontal="left" vertical="center" indent="1"/>
    </xf>
    <xf numFmtId="0" fontId="45" fillId="41" borderId="86" applyNumberFormat="0" applyProtection="0">
      <alignment horizontal="left" vertical="center" indent="1"/>
    </xf>
    <xf numFmtId="0" fontId="16" fillId="107" borderId="83" applyNumberFormat="0" applyProtection="0">
      <alignment horizontal="left" vertical="center" indent="1"/>
    </xf>
    <xf numFmtId="0" fontId="45" fillId="41" borderId="84" applyNumberFormat="0" applyProtection="0">
      <alignment horizontal="left" vertical="top"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9" fillId="8" borderId="89" applyBorder="0"/>
    <xf numFmtId="4" fontId="18" fillId="123" borderId="83" applyNumberFormat="0" applyProtection="0">
      <alignment vertical="center"/>
    </xf>
    <xf numFmtId="4" fontId="120" fillId="4" borderId="84" applyNumberFormat="0" applyProtection="0">
      <alignment vertical="center"/>
    </xf>
    <xf numFmtId="4" fontId="40" fillId="123" borderId="83" applyNumberFormat="0" applyProtection="0">
      <alignment vertical="center"/>
    </xf>
    <xf numFmtId="4" fontId="18" fillId="123" borderId="83" applyNumberFormat="0" applyProtection="0">
      <alignment horizontal="left" vertical="center" indent="1"/>
    </xf>
    <xf numFmtId="4" fontId="120" fillId="10" borderId="84" applyNumberFormat="0" applyProtection="0">
      <alignment horizontal="left" vertical="center" indent="1"/>
    </xf>
    <xf numFmtId="4" fontId="18" fillId="123" borderId="83" applyNumberFormat="0" applyProtection="0">
      <alignment horizontal="left" vertical="center" indent="1"/>
    </xf>
    <xf numFmtId="0" fontId="120" fillId="4" borderId="84" applyNumberFormat="0" applyProtection="0">
      <alignment horizontal="left" vertical="top" indent="1"/>
    </xf>
    <xf numFmtId="4" fontId="18" fillId="119" borderId="83" applyNumberFormat="0" applyProtection="0">
      <alignment horizontal="right" vertical="center"/>
    </xf>
    <xf numFmtId="4" fontId="18" fillId="119" borderId="83" applyNumberFormat="0" applyProtection="0">
      <alignment horizontal="right" vertical="center"/>
    </xf>
    <xf numFmtId="4" fontId="45" fillId="0" borderId="86" applyNumberFormat="0" applyProtection="0">
      <alignment horizontal="right" vertical="center"/>
    </xf>
    <xf numFmtId="4" fontId="45" fillId="0" borderId="86" applyNumberFormat="0" applyProtection="0">
      <alignment horizontal="right" vertical="center"/>
    </xf>
    <xf numFmtId="4" fontId="45" fillId="0" borderId="86" applyNumberFormat="0" applyProtection="0">
      <alignment horizontal="right" vertical="center"/>
    </xf>
    <xf numFmtId="4" fontId="40" fillId="119" borderId="83" applyNumberFormat="0" applyProtection="0">
      <alignment horizontal="right" vertical="center"/>
    </xf>
    <xf numFmtId="4" fontId="117" fillId="43" borderId="86" applyNumberFormat="0" applyProtection="0">
      <alignment horizontal="right" vertical="center"/>
    </xf>
    <xf numFmtId="0" fontId="16" fillId="107" borderId="83" applyNumberFormat="0" applyProtection="0">
      <alignment horizontal="left" vertical="center" indent="1"/>
    </xf>
    <xf numFmtId="4" fontId="45" fillId="51" borderId="86" applyNumberFormat="0" applyProtection="0">
      <alignment horizontal="left" vertical="center" indent="1"/>
    </xf>
    <xf numFmtId="4" fontId="45" fillId="51" borderId="86" applyNumberFormat="0" applyProtection="0">
      <alignment horizontal="left" vertical="center" indent="1"/>
    </xf>
    <xf numFmtId="4" fontId="45" fillId="51" borderId="86" applyNumberFormat="0" applyProtection="0">
      <alignment horizontal="left" vertical="center" indent="1"/>
    </xf>
    <xf numFmtId="0" fontId="16" fillId="107" borderId="83" applyNumberFormat="0" applyProtection="0">
      <alignment horizontal="left" vertical="center" indent="1"/>
    </xf>
    <xf numFmtId="0" fontId="120" fillId="2" borderId="84" applyNumberFormat="0" applyProtection="0">
      <alignment horizontal="left" vertical="top" indent="1"/>
    </xf>
    <xf numFmtId="4" fontId="122" fillId="42" borderId="87" applyNumberFormat="0" applyProtection="0">
      <alignment horizontal="left" vertical="center" indent="1"/>
    </xf>
    <xf numFmtId="4" fontId="42" fillId="119" borderId="83" applyNumberFormat="0" applyProtection="0">
      <alignment horizontal="right" vertical="center"/>
    </xf>
    <xf numFmtId="4" fontId="123" fillId="5" borderId="86" applyNumberFormat="0" applyProtection="0">
      <alignment horizontal="right" vertical="center"/>
    </xf>
    <xf numFmtId="0" fontId="27" fillId="0" borderId="85" applyNumberFormat="0" applyFill="0" applyAlignment="0" applyProtection="0"/>
    <xf numFmtId="0" fontId="27" fillId="0" borderId="90" applyNumberFormat="0" applyFill="0" applyAlignment="0" applyProtection="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66"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66"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6"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59" borderId="66"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59" borderId="66"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59" borderId="6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6"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4" borderId="82" applyNumberFormat="0" applyFont="0" applyAlignment="0" applyProtection="0"/>
    <xf numFmtId="0" fontId="2" fillId="0" borderId="0"/>
    <xf numFmtId="44" fontId="2" fillId="0" borderId="0" applyFont="0" applyFill="0" applyBorder="0" applyAlignment="0" applyProtection="0"/>
    <xf numFmtId="0" fontId="2" fillId="0" borderId="0"/>
    <xf numFmtId="0" fontId="2" fillId="59" borderId="66" applyNumberFormat="0" applyFont="0" applyAlignment="0" applyProtection="0"/>
    <xf numFmtId="0" fontId="2" fillId="0" borderId="0"/>
    <xf numFmtId="0" fontId="2" fillId="0" borderId="0"/>
    <xf numFmtId="0" fontId="2" fillId="0" borderId="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6" applyNumberFormat="0" applyFont="0" applyAlignment="0" applyProtection="0"/>
    <xf numFmtId="0" fontId="2" fillId="59" borderId="6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66"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66"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6"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59" borderId="66" applyNumberFormat="0" applyFont="0" applyAlignment="0" applyProtection="0"/>
    <xf numFmtId="43" fontId="2" fillId="0" borderId="0" applyFont="0" applyFill="0" applyBorder="0" applyAlignment="0" applyProtection="0"/>
    <xf numFmtId="4" fontId="45" fillId="0" borderId="86" applyNumberFormat="0" applyProtection="0">
      <alignment horizontal="right" vertical="center"/>
    </xf>
    <xf numFmtId="4" fontId="18" fillId="123" borderId="83" applyNumberFormat="0" applyProtection="0">
      <alignment vertical="center"/>
    </xf>
    <xf numFmtId="4" fontId="45" fillId="34" borderId="87" applyNumberFormat="0" applyProtection="0">
      <alignment horizontal="right" vertical="center"/>
    </xf>
    <xf numFmtId="4" fontId="45" fillId="40" borderId="87" applyNumberFormat="0" applyProtection="0">
      <alignment horizontal="left" vertical="center" indent="1"/>
    </xf>
    <xf numFmtId="4" fontId="45" fillId="37" borderId="86" applyNumberFormat="0" applyProtection="0">
      <alignment horizontal="right" vertical="center"/>
    </xf>
    <xf numFmtId="4" fontId="40" fillId="106" borderId="83" applyNumberFormat="0" applyProtection="0">
      <alignment vertical="center"/>
    </xf>
    <xf numFmtId="0" fontId="16" fillId="107" borderId="83" applyNumberFormat="0" applyProtection="0">
      <alignment horizontal="left" vertical="center" indent="1"/>
    </xf>
    <xf numFmtId="4" fontId="45" fillId="37" borderId="86" applyNumberFormat="0" applyProtection="0">
      <alignment horizontal="right" vertical="center"/>
    </xf>
    <xf numFmtId="4" fontId="45" fillId="0" borderId="86" applyNumberFormat="0" applyProtection="0">
      <alignment horizontal="right" vertical="center"/>
    </xf>
    <xf numFmtId="0" fontId="45" fillId="41" borderId="86" applyNumberFormat="0" applyProtection="0">
      <alignment horizontal="left" vertical="center" indent="1"/>
    </xf>
    <xf numFmtId="0" fontId="16" fillId="46" borderId="83" applyNumberFormat="0" applyProtection="0">
      <alignment horizontal="left" vertical="center" indent="1"/>
    </xf>
    <xf numFmtId="4" fontId="18" fillId="106" borderId="83" applyNumberFormat="0" applyProtection="0">
      <alignment horizontal="left" vertical="center" indent="1"/>
    </xf>
    <xf numFmtId="4" fontId="18" fillId="119" borderId="88" applyNumberFormat="0" applyProtection="0">
      <alignment horizontal="left" vertical="center" indent="1"/>
    </xf>
    <xf numFmtId="0" fontId="45" fillId="10" borderId="86" applyNumberFormat="0" applyProtection="0">
      <alignment horizontal="left" vertical="center" indent="1"/>
    </xf>
    <xf numFmtId="4" fontId="45" fillId="35" borderId="86" applyNumberFormat="0" applyProtection="0">
      <alignment horizontal="right" vertical="center"/>
    </xf>
    <xf numFmtId="0" fontId="118" fillId="33" borderId="84" applyNumberFormat="0" applyProtection="0">
      <alignment horizontal="left" vertical="top" indent="1"/>
    </xf>
    <xf numFmtId="0" fontId="119" fillId="8" borderId="89" applyBorder="0"/>
    <xf numFmtId="0" fontId="45" fillId="121" borderId="86" applyNumberFormat="0" applyProtection="0">
      <alignment horizontal="left" vertical="center" indent="1"/>
    </xf>
    <xf numFmtId="0" fontId="45" fillId="41" borderId="84" applyNumberFormat="0" applyProtection="0">
      <alignment horizontal="left" vertical="top" indent="1"/>
    </xf>
    <xf numFmtId="4" fontId="45" fillId="39" borderId="86" applyNumberFormat="0" applyProtection="0">
      <alignment horizontal="right" vertical="center"/>
    </xf>
    <xf numFmtId="4" fontId="45" fillId="35" borderId="86" applyNumberFormat="0" applyProtection="0">
      <alignment horizontal="right" vertical="center"/>
    </xf>
    <xf numFmtId="0" fontId="45" fillId="10" borderId="86" applyNumberFormat="0" applyProtection="0">
      <alignment horizontal="left" vertical="center" indent="1"/>
    </xf>
    <xf numFmtId="4" fontId="18" fillId="113" borderId="83" applyNumberFormat="0" applyProtection="0">
      <alignment horizontal="right" vertical="center"/>
    </xf>
    <xf numFmtId="0" fontId="45" fillId="10" borderId="86" applyNumberFormat="0" applyProtection="0">
      <alignment horizontal="left" vertical="center" indent="1"/>
    </xf>
    <xf numFmtId="4" fontId="123" fillId="5" borderId="86" applyNumberFormat="0" applyProtection="0">
      <alignment horizontal="right" vertical="center"/>
    </xf>
    <xf numFmtId="4" fontId="18" fillId="117" borderId="83" applyNumberFormat="0" applyProtection="0">
      <alignment horizontal="right" vertical="center"/>
    </xf>
    <xf numFmtId="4" fontId="45" fillId="33" borderId="86" applyNumberFormat="0" applyProtection="0">
      <alignment vertical="center"/>
    </xf>
    <xf numFmtId="4" fontId="45" fillId="37" borderId="86" applyNumberFormat="0" applyProtection="0">
      <alignment horizontal="right" vertical="center"/>
    </xf>
    <xf numFmtId="0" fontId="45" fillId="121" borderId="86" applyNumberFormat="0" applyProtection="0">
      <alignment horizontal="left" vertical="center" indent="1"/>
    </xf>
    <xf numFmtId="4" fontId="18" fillId="46" borderId="83" applyNumberFormat="0" applyProtection="0">
      <alignment horizontal="left" vertical="center" indent="1"/>
    </xf>
    <xf numFmtId="4" fontId="45" fillId="37" borderId="86" applyNumberFormat="0" applyProtection="0">
      <alignment horizontal="right" vertical="center"/>
    </xf>
    <xf numFmtId="4" fontId="37" fillId="118" borderId="83" applyNumberFormat="0" applyProtection="0">
      <alignment horizontal="left" vertical="center" indent="1"/>
    </xf>
    <xf numFmtId="4" fontId="45" fillId="9" borderId="86" applyNumberFormat="0" applyProtection="0">
      <alignment horizontal="right" vertical="center"/>
    </xf>
    <xf numFmtId="0" fontId="45" fillId="6" borderId="86" applyNumberFormat="0" applyProtection="0">
      <alignment horizontal="left" vertical="center" indent="1"/>
    </xf>
    <xf numFmtId="0" fontId="120" fillId="4" borderId="84" applyNumberFormat="0" applyProtection="0">
      <alignment horizontal="left" vertical="top" indent="1"/>
    </xf>
    <xf numFmtId="4" fontId="45" fillId="41" borderId="87" applyNumberFormat="0" applyProtection="0">
      <alignment horizontal="left" vertical="center" indent="1"/>
    </xf>
    <xf numFmtId="0" fontId="45" fillId="124" borderId="91"/>
    <xf numFmtId="4" fontId="45" fillId="51" borderId="86" applyNumberFormat="0" applyProtection="0">
      <alignment horizontal="left" vertical="center" indent="1"/>
    </xf>
    <xf numFmtId="0" fontId="36" fillId="10" borderId="83" applyNumberFormat="0" applyAlignment="0" applyProtection="0"/>
    <xf numFmtId="0" fontId="18" fillId="4" borderId="82" applyNumberFormat="0" applyFont="0" applyAlignment="0" applyProtection="0"/>
    <xf numFmtId="4" fontId="18" fillId="112" borderId="83" applyNumberFormat="0" applyProtection="0">
      <alignment horizontal="right" vertical="center"/>
    </xf>
    <xf numFmtId="0" fontId="16" fillId="45" borderId="83" applyNumberFormat="0" applyProtection="0">
      <alignment horizontal="left" vertical="center" indent="1"/>
    </xf>
    <xf numFmtId="0" fontId="16" fillId="46" borderId="83" applyNumberFormat="0" applyProtection="0">
      <alignment horizontal="left" vertical="center" indent="1"/>
    </xf>
    <xf numFmtId="4" fontId="45" fillId="38" borderId="86" applyNumberFormat="0" applyProtection="0">
      <alignment horizontal="right" vertical="center"/>
    </xf>
    <xf numFmtId="4" fontId="18" fillId="108" borderId="83" applyNumberFormat="0" applyProtection="0">
      <alignment horizontal="right" vertical="center"/>
    </xf>
    <xf numFmtId="4" fontId="45" fillId="51" borderId="86" applyNumberFormat="0" applyProtection="0">
      <alignment horizontal="left" vertical="center" indent="1"/>
    </xf>
    <xf numFmtId="0" fontId="45" fillId="41" borderId="86" applyNumberFormat="0" applyProtection="0">
      <alignment horizontal="left" vertical="center" indent="1"/>
    </xf>
    <xf numFmtId="4" fontId="45" fillId="2" borderId="86" applyNumberFormat="0" applyProtection="0">
      <alignment horizontal="right" vertical="center"/>
    </xf>
    <xf numFmtId="0" fontId="16" fillId="107" borderId="83" applyNumberFormat="0" applyProtection="0">
      <alignment horizontal="left" vertical="center" indent="1"/>
    </xf>
    <xf numFmtId="4" fontId="18" fillId="109" borderId="83" applyNumberFormat="0" applyProtection="0">
      <alignment horizontal="right" vertical="center"/>
    </xf>
    <xf numFmtId="0" fontId="45" fillId="6" borderId="86" applyNumberFormat="0" applyProtection="0">
      <alignment horizontal="left" vertical="center" indent="1"/>
    </xf>
    <xf numFmtId="4" fontId="45" fillId="51" borderId="86" applyNumberFormat="0" applyProtection="0">
      <alignment horizontal="left" vertical="center" indent="1"/>
    </xf>
    <xf numFmtId="4" fontId="45" fillId="41" borderId="87" applyNumberFormat="0" applyProtection="0">
      <alignment horizontal="left" vertical="center" indent="1"/>
    </xf>
    <xf numFmtId="0" fontId="16" fillId="107" borderId="83" applyNumberFormat="0" applyProtection="0">
      <alignment horizontal="left" vertical="center" indent="1"/>
    </xf>
    <xf numFmtId="4" fontId="18" fillId="119" borderId="83" applyNumberFormat="0" applyProtection="0">
      <alignment horizontal="right" vertical="center"/>
    </xf>
    <xf numFmtId="4" fontId="40" fillId="106" borderId="83" applyNumberFormat="0" applyProtection="0">
      <alignment vertical="center"/>
    </xf>
    <xf numFmtId="4" fontId="18" fillId="119" borderId="83" applyNumberFormat="0" applyProtection="0">
      <alignment horizontal="right" vertical="center"/>
    </xf>
    <xf numFmtId="4" fontId="45" fillId="40" borderId="87" applyNumberFormat="0" applyProtection="0">
      <alignment horizontal="left" vertical="center" indent="1"/>
    </xf>
    <xf numFmtId="0" fontId="45" fillId="2" borderId="84" applyNumberFormat="0" applyProtection="0">
      <alignment horizontal="left" vertical="top" indent="1"/>
    </xf>
    <xf numFmtId="4" fontId="45" fillId="33" borderId="86" applyNumberFormat="0" applyProtection="0">
      <alignment vertical="center"/>
    </xf>
    <xf numFmtId="4" fontId="117" fillId="123" borderId="91" applyNumberFormat="0" applyProtection="0">
      <alignment vertical="center"/>
    </xf>
    <xf numFmtId="0" fontId="120" fillId="2" borderId="84" applyNumberFormat="0" applyProtection="0">
      <alignment horizontal="left" vertical="top" indent="1"/>
    </xf>
    <xf numFmtId="4" fontId="45" fillId="37" borderId="86" applyNumberFormat="0" applyProtection="0">
      <alignment horizontal="right" vertical="center"/>
    </xf>
    <xf numFmtId="0" fontId="108" fillId="101" borderId="86" applyNumberFormat="0" applyAlignment="0" applyProtection="0"/>
    <xf numFmtId="4" fontId="45" fillId="51" borderId="86" applyNumberFormat="0" applyProtection="0">
      <alignment horizontal="left" vertical="center" indent="1"/>
    </xf>
    <xf numFmtId="4" fontId="40" fillId="123" borderId="83" applyNumberFormat="0" applyProtection="0">
      <alignment vertical="center"/>
    </xf>
    <xf numFmtId="4" fontId="45" fillId="33" borderId="86" applyNumberFormat="0" applyProtection="0">
      <alignment vertical="center"/>
    </xf>
    <xf numFmtId="0" fontId="16" fillId="107" borderId="83" applyNumberFormat="0" applyProtection="0">
      <alignment horizontal="left" vertical="center" indent="1"/>
    </xf>
    <xf numFmtId="4" fontId="45" fillId="40" borderId="87" applyNumberFormat="0" applyProtection="0">
      <alignment horizontal="left" vertical="center" indent="1"/>
    </xf>
    <xf numFmtId="4" fontId="18" fillId="119" borderId="83" applyNumberFormat="0" applyProtection="0">
      <alignment horizontal="right" vertical="center"/>
    </xf>
    <xf numFmtId="0" fontId="16" fillId="107" borderId="83" applyNumberFormat="0" applyProtection="0">
      <alignment horizontal="left" vertical="center" indent="1"/>
    </xf>
    <xf numFmtId="4" fontId="45" fillId="39" borderId="86" applyNumberFormat="0" applyProtection="0">
      <alignment horizontal="right" vertical="center"/>
    </xf>
    <xf numFmtId="0" fontId="33" fillId="27" borderId="86" applyNumberFormat="0" applyAlignment="0" applyProtection="0"/>
    <xf numFmtId="4" fontId="18" fillId="112" borderId="83" applyNumberFormat="0" applyProtection="0">
      <alignment horizontal="right" vertical="center"/>
    </xf>
    <xf numFmtId="4" fontId="45" fillId="38" borderId="86" applyNumberFormat="0" applyProtection="0">
      <alignment horizontal="right" vertical="center"/>
    </xf>
    <xf numFmtId="4" fontId="45" fillId="106" borderId="86" applyNumberFormat="0" applyProtection="0">
      <alignment horizontal="left" vertical="center" indent="1"/>
    </xf>
    <xf numFmtId="4" fontId="45" fillId="36" borderId="86" applyNumberFormat="0" applyProtection="0">
      <alignment horizontal="right" vertical="center"/>
    </xf>
    <xf numFmtId="4" fontId="45" fillId="41" borderId="87" applyNumberFormat="0" applyProtection="0">
      <alignment horizontal="left" vertical="center" indent="1"/>
    </xf>
    <xf numFmtId="4" fontId="45" fillId="110" borderId="86" applyNumberFormat="0" applyProtection="0">
      <alignment horizontal="right" vertical="center"/>
    </xf>
    <xf numFmtId="4" fontId="45" fillId="2" borderId="87" applyNumberFormat="0" applyProtection="0">
      <alignment horizontal="left" vertical="center" indent="1"/>
    </xf>
    <xf numFmtId="4" fontId="45" fillId="39" borderId="86" applyNumberFormat="0" applyProtection="0">
      <alignment horizontal="right" vertical="center"/>
    </xf>
    <xf numFmtId="4" fontId="45" fillId="41" borderId="87" applyNumberFormat="0" applyProtection="0">
      <alignment horizontal="left" vertical="center" indent="1"/>
    </xf>
    <xf numFmtId="4" fontId="18" fillId="106" borderId="83" applyNumberFormat="0" applyProtection="0">
      <alignment horizontal="left" vertical="center" indent="1"/>
    </xf>
    <xf numFmtId="4" fontId="18" fillId="115" borderId="83" applyNumberFormat="0" applyProtection="0">
      <alignment horizontal="right" vertical="center"/>
    </xf>
    <xf numFmtId="4" fontId="18" fillId="106" borderId="83" applyNumberFormat="0" applyProtection="0">
      <alignment horizontal="left" vertical="center" indent="1"/>
    </xf>
    <xf numFmtId="4" fontId="45" fillId="38" borderId="86" applyNumberFormat="0" applyProtection="0">
      <alignment horizontal="right" vertical="center"/>
    </xf>
    <xf numFmtId="4" fontId="45" fillId="2" borderId="87" applyNumberFormat="0" applyProtection="0">
      <alignment horizontal="left" vertical="center" indent="1"/>
    </xf>
    <xf numFmtId="4" fontId="45" fillId="35" borderId="86" applyNumberFormat="0" applyProtection="0">
      <alignment horizontal="right" vertical="center"/>
    </xf>
    <xf numFmtId="0" fontId="45" fillId="2" borderId="84" applyNumberFormat="0" applyProtection="0">
      <alignment horizontal="left" vertical="top" indent="1"/>
    </xf>
    <xf numFmtId="4" fontId="45" fillId="7" borderId="86" applyNumberFormat="0" applyProtection="0">
      <alignment horizontal="right" vertical="center"/>
    </xf>
    <xf numFmtId="0" fontId="36" fillId="10" borderId="83" applyNumberFormat="0" applyAlignment="0" applyProtection="0"/>
    <xf numFmtId="4" fontId="45" fillId="51" borderId="86" applyNumberFormat="0" applyProtection="0">
      <alignment horizontal="left" vertical="center" indent="1"/>
    </xf>
    <xf numFmtId="4" fontId="45" fillId="40" borderId="87" applyNumberFormat="0" applyProtection="0">
      <alignment horizontal="left" vertical="center" indent="1"/>
    </xf>
    <xf numFmtId="0" fontId="45" fillId="41" borderId="84" applyNumberFormat="0" applyProtection="0">
      <alignment horizontal="left" vertical="top" indent="1"/>
    </xf>
    <xf numFmtId="4" fontId="45" fillId="37" borderId="86" applyNumberFormat="0" applyProtection="0">
      <alignment horizontal="right" vertical="center"/>
    </xf>
    <xf numFmtId="0" fontId="16" fillId="122" borderId="83" applyNumberFormat="0" applyProtection="0">
      <alignment horizontal="left" vertical="center" indent="1"/>
    </xf>
    <xf numFmtId="0" fontId="36" fillId="101" borderId="83" applyNumberFormat="0" applyAlignment="0" applyProtection="0"/>
    <xf numFmtId="0" fontId="109" fillId="10" borderId="81" applyNumberFormat="0" applyAlignment="0" applyProtection="0"/>
    <xf numFmtId="4" fontId="18" fillId="123" borderId="83" applyNumberFormat="0" applyProtection="0">
      <alignment horizontal="left" vertical="center" indent="1"/>
    </xf>
    <xf numFmtId="4" fontId="45" fillId="34" borderId="87" applyNumberFormat="0" applyProtection="0">
      <alignment horizontal="right" vertical="center"/>
    </xf>
    <xf numFmtId="4" fontId="18" fillId="46" borderId="83" applyNumberFormat="0" applyProtection="0">
      <alignment horizontal="left" vertical="center" indent="1"/>
    </xf>
    <xf numFmtId="4" fontId="120" fillId="10" borderId="84" applyNumberFormat="0" applyProtection="0">
      <alignment horizontal="left" vertical="center" indent="1"/>
    </xf>
    <xf numFmtId="4" fontId="45" fillId="41" borderId="87" applyNumberFormat="0" applyProtection="0">
      <alignment horizontal="left" vertical="center" indent="1"/>
    </xf>
    <xf numFmtId="0" fontId="45" fillId="41" borderId="86" applyNumberFormat="0" applyProtection="0">
      <alignment horizontal="left" vertical="center" indent="1"/>
    </xf>
    <xf numFmtId="4" fontId="122" fillId="42" borderId="87" applyNumberFormat="0" applyProtection="0">
      <alignment horizontal="left" vertical="center" indent="1"/>
    </xf>
    <xf numFmtId="4" fontId="45" fillId="51" borderId="86" applyNumberFormat="0" applyProtection="0">
      <alignment horizontal="left" vertical="center" indent="1"/>
    </xf>
    <xf numFmtId="0" fontId="16" fillId="107" borderId="83" applyNumberFormat="0" applyProtection="0">
      <alignment horizontal="left" vertical="center" indent="1"/>
    </xf>
    <xf numFmtId="0" fontId="45" fillId="124" borderId="91"/>
    <xf numFmtId="0" fontId="45" fillId="6" borderId="86" applyNumberFormat="0" applyProtection="0">
      <alignment horizontal="left" vertical="center" indent="1"/>
    </xf>
    <xf numFmtId="0" fontId="16" fillId="107" borderId="83" applyNumberFormat="0" applyProtection="0">
      <alignment horizontal="left" vertical="center" indent="1"/>
    </xf>
    <xf numFmtId="4" fontId="45" fillId="38" borderId="86" applyNumberFormat="0" applyProtection="0">
      <alignment horizontal="right" vertical="center"/>
    </xf>
    <xf numFmtId="4" fontId="45" fillId="2" borderId="86" applyNumberFormat="0" applyProtection="0">
      <alignment horizontal="right" vertical="center"/>
    </xf>
    <xf numFmtId="4" fontId="18" fillId="111" borderId="83" applyNumberFormat="0" applyProtection="0">
      <alignment horizontal="right" vertical="center"/>
    </xf>
    <xf numFmtId="4" fontId="45" fillId="35" borderId="86" applyNumberFormat="0" applyProtection="0">
      <alignment horizontal="right" vertical="center"/>
    </xf>
    <xf numFmtId="4" fontId="18" fillId="119" borderId="83" applyNumberFormat="0" applyProtection="0">
      <alignment horizontal="left" vertical="center" indent="1"/>
    </xf>
    <xf numFmtId="4" fontId="18" fillId="119" borderId="83" applyNumberFormat="0" applyProtection="0">
      <alignment horizontal="right" vertical="center"/>
    </xf>
    <xf numFmtId="0" fontId="18" fillId="4" borderId="82" applyNumberFormat="0" applyFont="0" applyAlignment="0" applyProtection="0"/>
    <xf numFmtId="0" fontId="45" fillId="6" borderId="84" applyNumberFormat="0" applyProtection="0">
      <alignment horizontal="left" vertical="top" indent="1"/>
    </xf>
    <xf numFmtId="0" fontId="27" fillId="0" borderId="90" applyNumberFormat="0" applyFill="0" applyAlignment="0" applyProtection="0"/>
    <xf numFmtId="0" fontId="45" fillId="10" borderId="86" applyNumberFormat="0" applyProtection="0">
      <alignment horizontal="left" vertical="center" indent="1"/>
    </xf>
    <xf numFmtId="4" fontId="18" fillId="117" borderId="83" applyNumberFormat="0" applyProtection="0">
      <alignment horizontal="right" vertical="center"/>
    </xf>
    <xf numFmtId="4" fontId="18" fillId="123" borderId="83" applyNumberFormat="0" applyProtection="0">
      <alignment vertical="center"/>
    </xf>
    <xf numFmtId="4" fontId="45" fillId="51" borderId="86" applyNumberFormat="0" applyProtection="0">
      <alignment horizontal="left" vertical="center" indent="1"/>
    </xf>
    <xf numFmtId="0" fontId="16" fillId="122" borderId="83" applyNumberFormat="0" applyProtection="0">
      <alignment horizontal="left" vertical="center" indent="1"/>
    </xf>
    <xf numFmtId="4" fontId="45" fillId="9" borderId="86" applyNumberFormat="0" applyProtection="0">
      <alignment horizontal="right" vertical="center"/>
    </xf>
    <xf numFmtId="4" fontId="18" fillId="114" borderId="83" applyNumberFormat="0" applyProtection="0">
      <alignment horizontal="right" vertical="center"/>
    </xf>
    <xf numFmtId="4" fontId="45" fillId="36" borderId="86" applyNumberFormat="0" applyProtection="0">
      <alignment horizontal="right" vertical="center"/>
    </xf>
    <xf numFmtId="4" fontId="45" fillId="34" borderId="87" applyNumberFormat="0" applyProtection="0">
      <alignment horizontal="right" vertical="center"/>
    </xf>
    <xf numFmtId="0" fontId="27" fillId="0" borderId="85" applyNumberFormat="0" applyFill="0" applyAlignment="0" applyProtection="0"/>
    <xf numFmtId="4" fontId="45" fillId="7" borderId="86" applyNumberFormat="0" applyProtection="0">
      <alignment horizontal="right" vertical="center"/>
    </xf>
    <xf numFmtId="4" fontId="45" fillId="40" borderId="87" applyNumberFormat="0" applyProtection="0">
      <alignment horizontal="left" vertical="center" indent="1"/>
    </xf>
    <xf numFmtId="4" fontId="45" fillId="110" borderId="86" applyNumberFormat="0" applyProtection="0">
      <alignment horizontal="right" vertical="center"/>
    </xf>
    <xf numFmtId="4" fontId="45" fillId="7" borderId="86" applyNumberFormat="0" applyProtection="0">
      <alignment horizontal="right" vertical="center"/>
    </xf>
    <xf numFmtId="4" fontId="45" fillId="51" borderId="86" applyNumberFormat="0" applyProtection="0">
      <alignment horizontal="left" vertical="center" indent="1"/>
    </xf>
    <xf numFmtId="4" fontId="45" fillId="110" borderId="86" applyNumberFormat="0" applyProtection="0">
      <alignment horizontal="right" vertical="center"/>
    </xf>
    <xf numFmtId="0" fontId="45" fillId="121" borderId="86" applyNumberFormat="0" applyProtection="0">
      <alignment horizontal="left" vertical="center" indent="1"/>
    </xf>
    <xf numFmtId="4" fontId="45" fillId="51" borderId="86" applyNumberFormat="0" applyProtection="0">
      <alignment horizontal="left" vertical="center" indent="1"/>
    </xf>
    <xf numFmtId="4" fontId="45" fillId="36" borderId="86" applyNumberFormat="0" applyProtection="0">
      <alignment horizontal="right" vertical="center"/>
    </xf>
    <xf numFmtId="4" fontId="45" fillId="2" borderId="86" applyNumberFormat="0" applyProtection="0">
      <alignment horizontal="right" vertical="center"/>
    </xf>
    <xf numFmtId="4" fontId="45" fillId="51" borderId="86" applyNumberFormat="0" applyProtection="0">
      <alignment horizontal="left" vertical="center" indent="1"/>
    </xf>
    <xf numFmtId="0" fontId="120" fillId="4" borderId="84" applyNumberFormat="0" applyProtection="0">
      <alignment horizontal="left" vertical="top" indent="1"/>
    </xf>
    <xf numFmtId="0" fontId="16" fillId="107" borderId="83" applyNumberFormat="0" applyProtection="0">
      <alignment horizontal="left" vertical="center" indent="1"/>
    </xf>
    <xf numFmtId="4" fontId="45" fillId="36" borderId="86" applyNumberFormat="0" applyProtection="0">
      <alignment horizontal="right" vertical="center"/>
    </xf>
    <xf numFmtId="4" fontId="45" fillId="35" borderId="86" applyNumberFormat="0" applyProtection="0">
      <alignment horizontal="right" vertical="center"/>
    </xf>
    <xf numFmtId="0" fontId="45" fillId="121" borderId="86" applyNumberFormat="0" applyProtection="0">
      <alignment horizontal="left" vertical="center" indent="1"/>
    </xf>
    <xf numFmtId="0" fontId="45" fillId="6" borderId="86" applyNumberFormat="0" applyProtection="0">
      <alignment horizontal="left" vertical="center" indent="1"/>
    </xf>
    <xf numFmtId="4" fontId="117" fillId="106" borderId="86" applyNumberFormat="0" applyProtection="0">
      <alignment vertical="center"/>
    </xf>
    <xf numFmtId="4" fontId="45" fillId="33" borderId="86" applyNumberFormat="0" applyProtection="0">
      <alignment vertical="center"/>
    </xf>
    <xf numFmtId="4" fontId="117" fillId="106" borderId="86" applyNumberFormat="0" applyProtection="0">
      <alignment vertical="center"/>
    </xf>
    <xf numFmtId="0" fontId="16" fillId="46" borderId="83" applyNumberFormat="0" applyProtection="0">
      <alignment horizontal="left" vertical="center" indent="1"/>
    </xf>
    <xf numFmtId="4" fontId="45" fillId="34" borderId="87" applyNumberFormat="0" applyProtection="0">
      <alignment horizontal="right" vertical="center"/>
    </xf>
    <xf numFmtId="4" fontId="45" fillId="106" borderId="86" applyNumberFormat="0" applyProtection="0">
      <alignment horizontal="left" vertical="center" indent="1"/>
    </xf>
    <xf numFmtId="4" fontId="16" fillId="8" borderId="87" applyNumberFormat="0" applyProtection="0">
      <alignment horizontal="left" vertical="center" indent="1"/>
    </xf>
    <xf numFmtId="0" fontId="45" fillId="6" borderId="86" applyNumberFormat="0" applyProtection="0">
      <alignment horizontal="left" vertical="center" indent="1"/>
    </xf>
    <xf numFmtId="4" fontId="16" fillId="8" borderId="87" applyNumberFormat="0" applyProtection="0">
      <alignment horizontal="left" vertical="center" indent="1"/>
    </xf>
    <xf numFmtId="0" fontId="16" fillId="46" borderId="83" applyNumberFormat="0" applyProtection="0">
      <alignment horizontal="left" vertical="center" indent="1"/>
    </xf>
    <xf numFmtId="0" fontId="16" fillId="107" borderId="83" applyNumberFormat="0" applyProtection="0">
      <alignment horizontal="left" vertical="center" indent="1"/>
    </xf>
    <xf numFmtId="4" fontId="18" fillId="106" borderId="83" applyNumberFormat="0" applyProtection="0">
      <alignment vertical="center"/>
    </xf>
    <xf numFmtId="4" fontId="45" fillId="36" borderId="86" applyNumberFormat="0" applyProtection="0">
      <alignment horizontal="right" vertical="center"/>
    </xf>
    <xf numFmtId="4" fontId="16" fillId="8" borderId="87" applyNumberFormat="0" applyProtection="0">
      <alignment horizontal="left" vertical="center" indent="1"/>
    </xf>
    <xf numFmtId="4" fontId="37" fillId="118" borderId="83" applyNumberFormat="0" applyProtection="0">
      <alignment horizontal="left" vertical="center" indent="1"/>
    </xf>
    <xf numFmtId="4" fontId="18" fillId="116" borderId="83" applyNumberFormat="0" applyProtection="0">
      <alignment horizontal="right" vertical="center"/>
    </xf>
    <xf numFmtId="4" fontId="18" fillId="106" borderId="83" applyNumberFormat="0" applyProtection="0">
      <alignment vertical="center"/>
    </xf>
    <xf numFmtId="4" fontId="40" fillId="123" borderId="83" applyNumberFormat="0" applyProtection="0">
      <alignment vertical="center"/>
    </xf>
    <xf numFmtId="4" fontId="40" fillId="119" borderId="83" applyNumberFormat="0" applyProtection="0">
      <alignment horizontal="right" vertical="center"/>
    </xf>
    <xf numFmtId="4" fontId="18" fillId="114" borderId="83" applyNumberFormat="0" applyProtection="0">
      <alignment horizontal="right" vertical="center"/>
    </xf>
    <xf numFmtId="0" fontId="18" fillId="4" borderId="82" applyNumberFormat="0" applyFont="0" applyAlignment="0" applyProtection="0"/>
    <xf numFmtId="4" fontId="18" fillId="108" borderId="83" applyNumberFormat="0" applyProtection="0">
      <alignment horizontal="right" vertical="center"/>
    </xf>
    <xf numFmtId="4" fontId="45" fillId="9" borderId="86" applyNumberFormat="0" applyProtection="0">
      <alignment horizontal="right" vertical="center"/>
    </xf>
    <xf numFmtId="4" fontId="123" fillId="5" borderId="86" applyNumberFormat="0" applyProtection="0">
      <alignment horizontal="right" vertical="center"/>
    </xf>
    <xf numFmtId="0" fontId="16" fillId="122" borderId="83" applyNumberFormat="0" applyProtection="0">
      <alignment horizontal="left" vertical="center" indent="1"/>
    </xf>
    <xf numFmtId="0" fontId="45" fillId="41" borderId="86" applyNumberFormat="0" applyProtection="0">
      <alignment horizontal="left" vertical="center" indent="1"/>
    </xf>
    <xf numFmtId="0" fontId="45" fillId="121" borderId="86" applyNumberFormat="0" applyProtection="0">
      <alignment horizontal="left" vertical="center" indent="1"/>
    </xf>
    <xf numFmtId="4" fontId="45" fillId="34" borderId="87" applyNumberFormat="0" applyProtection="0">
      <alignment horizontal="right" vertical="center"/>
    </xf>
    <xf numFmtId="4" fontId="45" fillId="106" borderId="86" applyNumberFormat="0" applyProtection="0">
      <alignment horizontal="left" vertical="center" indent="1"/>
    </xf>
    <xf numFmtId="0" fontId="45" fillId="8" borderId="84" applyNumberFormat="0" applyProtection="0">
      <alignment horizontal="left" vertical="top" indent="1"/>
    </xf>
    <xf numFmtId="4" fontId="45" fillId="34" borderId="87" applyNumberFormat="0" applyProtection="0">
      <alignment horizontal="right" vertical="center"/>
    </xf>
    <xf numFmtId="4" fontId="45" fillId="2" borderId="87" applyNumberFormat="0" applyProtection="0">
      <alignment horizontal="left" vertical="center" indent="1"/>
    </xf>
    <xf numFmtId="4" fontId="45" fillId="40" borderId="87" applyNumberFormat="0" applyProtection="0">
      <alignment horizontal="left" vertical="center" indent="1"/>
    </xf>
    <xf numFmtId="4" fontId="45" fillId="2" borderId="86" applyNumberFormat="0" applyProtection="0">
      <alignment horizontal="right" vertical="center"/>
    </xf>
    <xf numFmtId="0" fontId="45" fillId="8" borderId="84" applyNumberFormat="0" applyProtection="0">
      <alignment horizontal="left" vertical="top" indent="1"/>
    </xf>
    <xf numFmtId="4" fontId="45" fillId="38" borderId="86" applyNumberFormat="0" applyProtection="0">
      <alignment horizontal="right" vertical="center"/>
    </xf>
    <xf numFmtId="0" fontId="45" fillId="121" borderId="86" applyNumberFormat="0" applyProtection="0">
      <alignment horizontal="left" vertical="center" indent="1"/>
    </xf>
    <xf numFmtId="0" fontId="115" fillId="11" borderId="81" applyNumberFormat="0" applyAlignment="0" applyProtection="0"/>
    <xf numFmtId="4" fontId="18" fillId="123" borderId="83" applyNumberFormat="0" applyProtection="0">
      <alignment horizontal="left" vertical="center" indent="1"/>
    </xf>
    <xf numFmtId="4" fontId="120" fillId="4" borderId="84" applyNumberFormat="0" applyProtection="0">
      <alignment vertical="center"/>
    </xf>
    <xf numFmtId="4" fontId="120" fillId="4" borderId="84" applyNumberFormat="0" applyProtection="0">
      <alignment vertical="center"/>
    </xf>
    <xf numFmtId="0" fontId="45" fillId="6" borderId="84" applyNumberFormat="0" applyProtection="0">
      <alignment horizontal="left" vertical="top" indent="1"/>
    </xf>
    <xf numFmtId="4" fontId="45" fillId="110" borderId="86" applyNumberFormat="0" applyProtection="0">
      <alignment horizontal="right" vertical="center"/>
    </xf>
    <xf numFmtId="4" fontId="45" fillId="2" borderId="87" applyNumberFormat="0" applyProtection="0">
      <alignment horizontal="left" vertical="center" indent="1"/>
    </xf>
    <xf numFmtId="0" fontId="45" fillId="10" borderId="86" applyNumberFormat="0" applyProtection="0">
      <alignment horizontal="left" vertical="center" indent="1"/>
    </xf>
    <xf numFmtId="4" fontId="18" fillId="119" borderId="83" applyNumberFormat="0" applyProtection="0">
      <alignment horizontal="left" vertical="center" indent="1"/>
    </xf>
    <xf numFmtId="4" fontId="45" fillId="9" borderId="86" applyNumberFormat="0" applyProtection="0">
      <alignment horizontal="right" vertical="center"/>
    </xf>
    <xf numFmtId="4" fontId="45" fillId="2" borderId="86" applyNumberFormat="0" applyProtection="0">
      <alignment horizontal="right" vertical="center"/>
    </xf>
    <xf numFmtId="0" fontId="45" fillId="41" borderId="86" applyNumberFormat="0" applyProtection="0">
      <alignment horizontal="left" vertical="center" indent="1"/>
    </xf>
    <xf numFmtId="4" fontId="117" fillId="43" borderId="86" applyNumberFormat="0" applyProtection="0">
      <alignment horizontal="right" vertical="center"/>
    </xf>
    <xf numFmtId="4" fontId="45" fillId="2" borderId="86" applyNumberFormat="0" applyProtection="0">
      <alignment horizontal="right" vertical="center"/>
    </xf>
    <xf numFmtId="4" fontId="45" fillId="0" borderId="86" applyNumberFormat="0" applyProtection="0">
      <alignment horizontal="right" vertical="center"/>
    </xf>
    <xf numFmtId="0" fontId="16" fillId="45" borderId="83" applyNumberFormat="0" applyProtection="0">
      <alignment horizontal="left" vertical="center" indent="1"/>
    </xf>
    <xf numFmtId="4" fontId="18" fillId="111" borderId="83" applyNumberFormat="0" applyProtection="0">
      <alignment horizontal="right" vertical="center"/>
    </xf>
    <xf numFmtId="0" fontId="16" fillId="107" borderId="83" applyNumberFormat="0" applyProtection="0">
      <alignment horizontal="left" vertical="center" indent="1"/>
    </xf>
    <xf numFmtId="4" fontId="18" fillId="106" borderId="83" applyNumberFormat="0" applyProtection="0">
      <alignment vertical="center"/>
    </xf>
    <xf numFmtId="4" fontId="45" fillId="39" borderId="86" applyNumberFormat="0" applyProtection="0">
      <alignment horizontal="right" vertical="center"/>
    </xf>
    <xf numFmtId="0" fontId="33" fillId="27" borderId="86" applyNumberFormat="0" applyAlignment="0" applyProtection="0"/>
    <xf numFmtId="0" fontId="45" fillId="41" borderId="86" applyNumberFormat="0" applyProtection="0">
      <alignment horizontal="left" vertical="center" indent="1"/>
    </xf>
    <xf numFmtId="4" fontId="18" fillId="115" borderId="83" applyNumberFormat="0" applyProtection="0">
      <alignment horizontal="right" vertical="center"/>
    </xf>
    <xf numFmtId="4" fontId="45" fillId="9" borderId="86" applyNumberFormat="0" applyProtection="0">
      <alignment horizontal="right" vertical="center"/>
    </xf>
    <xf numFmtId="4" fontId="45" fillId="39" borderId="86" applyNumberFormat="0" applyProtection="0">
      <alignment horizontal="right" vertical="center"/>
    </xf>
    <xf numFmtId="0" fontId="16" fillId="107" borderId="83" applyNumberFormat="0" applyProtection="0">
      <alignment horizontal="left" vertical="center" indent="1"/>
    </xf>
    <xf numFmtId="4" fontId="18" fillId="109" borderId="83" applyNumberFormat="0" applyProtection="0">
      <alignment horizontal="right" vertical="center"/>
    </xf>
    <xf numFmtId="4" fontId="45" fillId="0" borderId="86" applyNumberFormat="0" applyProtection="0">
      <alignment horizontal="right" vertical="center"/>
    </xf>
    <xf numFmtId="4" fontId="45" fillId="110" borderId="86" applyNumberFormat="0" applyProtection="0">
      <alignment horizontal="right" vertical="center"/>
    </xf>
    <xf numFmtId="4" fontId="18" fillId="106" borderId="83" applyNumberFormat="0" applyProtection="0">
      <alignment horizontal="left" vertical="center" indent="1"/>
    </xf>
    <xf numFmtId="4" fontId="45" fillId="51" borderId="86" applyNumberFormat="0" applyProtection="0">
      <alignment horizontal="left" vertical="center" indent="1"/>
    </xf>
    <xf numFmtId="0" fontId="16" fillId="122" borderId="83" applyNumberFormat="0" applyProtection="0">
      <alignment horizontal="left" vertical="center" indent="1"/>
    </xf>
    <xf numFmtId="4" fontId="18" fillId="123" borderId="83" applyNumberFormat="0" applyProtection="0">
      <alignment horizontal="left" vertical="center" indent="1"/>
    </xf>
    <xf numFmtId="4" fontId="45" fillId="7" borderId="86" applyNumberFormat="0" applyProtection="0">
      <alignment horizontal="right" vertical="center"/>
    </xf>
    <xf numFmtId="0" fontId="115" fillId="11" borderId="81" applyNumberFormat="0" applyAlignment="0" applyProtection="0"/>
    <xf numFmtId="4" fontId="117" fillId="43" borderId="86" applyNumberFormat="0" applyProtection="0">
      <alignment horizontal="right" vertical="center"/>
    </xf>
    <xf numFmtId="4" fontId="45" fillId="110" borderId="86" applyNumberFormat="0" applyProtection="0">
      <alignment horizontal="right" vertical="center"/>
    </xf>
    <xf numFmtId="0" fontId="16" fillId="45" borderId="83" applyNumberFormat="0" applyProtection="0">
      <alignment horizontal="left" vertical="center" indent="1"/>
    </xf>
    <xf numFmtId="0" fontId="119" fillId="8" borderId="89" applyBorder="0"/>
    <xf numFmtId="0" fontId="45" fillId="6" borderId="86" applyNumberFormat="0" applyProtection="0">
      <alignment horizontal="left" vertical="center" indent="1"/>
    </xf>
    <xf numFmtId="4" fontId="18" fillId="116" borderId="83" applyNumberFormat="0" applyProtection="0">
      <alignment horizontal="right" vertical="center"/>
    </xf>
    <xf numFmtId="4" fontId="45" fillId="36" borderId="86" applyNumberFormat="0" applyProtection="0">
      <alignment horizontal="right" vertical="center"/>
    </xf>
    <xf numFmtId="4" fontId="45" fillId="9" borderId="86" applyNumberFormat="0" applyProtection="0">
      <alignment horizontal="right" vertical="center"/>
    </xf>
    <xf numFmtId="4" fontId="45" fillId="38" borderId="86" applyNumberFormat="0" applyProtection="0">
      <alignment horizontal="right" vertical="center"/>
    </xf>
    <xf numFmtId="4" fontId="120" fillId="10" borderId="84" applyNumberFormat="0" applyProtection="0">
      <alignment horizontal="left" vertical="center" indent="1"/>
    </xf>
    <xf numFmtId="4" fontId="45" fillId="7" borderId="86" applyNumberFormat="0" applyProtection="0">
      <alignment horizontal="right" vertical="center"/>
    </xf>
    <xf numFmtId="4" fontId="45" fillId="33" borderId="86" applyNumberFormat="0" applyProtection="0">
      <alignment vertical="center"/>
    </xf>
    <xf numFmtId="4" fontId="18" fillId="123" borderId="83" applyNumberFormat="0" applyProtection="0">
      <alignment horizontal="left" vertical="center" indent="1"/>
    </xf>
    <xf numFmtId="4" fontId="45" fillId="106" borderId="86" applyNumberFormat="0" applyProtection="0">
      <alignment horizontal="left" vertical="center" indent="1"/>
    </xf>
    <xf numFmtId="0" fontId="45" fillId="10" borderId="86" applyNumberFormat="0" applyProtection="0">
      <alignment horizontal="left" vertical="center" indent="1"/>
    </xf>
    <xf numFmtId="4" fontId="45" fillId="41" borderId="87" applyNumberFormat="0" applyProtection="0">
      <alignment horizontal="left" vertical="center" indent="1"/>
    </xf>
    <xf numFmtId="4" fontId="18" fillId="113" borderId="83" applyNumberFormat="0" applyProtection="0">
      <alignment horizontal="right" vertical="center"/>
    </xf>
    <xf numFmtId="4" fontId="45" fillId="35" borderId="86" applyNumberFormat="0" applyProtection="0">
      <alignment horizontal="right" vertical="center"/>
    </xf>
    <xf numFmtId="4" fontId="16" fillId="8" borderId="87" applyNumberFormat="0" applyProtection="0">
      <alignment horizontal="left" vertical="center" indent="1"/>
    </xf>
    <xf numFmtId="0" fontId="16" fillId="45" borderId="83" applyNumberFormat="0" applyProtection="0">
      <alignment horizontal="left" vertical="center" indent="1"/>
    </xf>
    <xf numFmtId="4" fontId="45" fillId="39" borderId="86" applyNumberFormat="0" applyProtection="0">
      <alignment horizontal="right" vertical="center"/>
    </xf>
    <xf numFmtId="4" fontId="45" fillId="2" borderId="87" applyNumberFormat="0" applyProtection="0">
      <alignment horizontal="left" vertical="center" indent="1"/>
    </xf>
    <xf numFmtId="4" fontId="42" fillId="119" borderId="83" applyNumberFormat="0" applyProtection="0">
      <alignment horizontal="right" vertical="center"/>
    </xf>
    <xf numFmtId="4" fontId="45" fillId="2" borderId="87" applyNumberFormat="0" applyProtection="0">
      <alignment horizontal="left" vertical="center" indent="1"/>
    </xf>
    <xf numFmtId="4" fontId="45" fillId="106" borderId="86" applyNumberFormat="0" applyProtection="0">
      <alignment horizontal="left" vertical="center" indent="1"/>
    </xf>
    <xf numFmtId="4" fontId="18" fillId="106" borderId="83" applyNumberFormat="0" applyProtection="0">
      <alignment vertical="center"/>
    </xf>
    <xf numFmtId="4" fontId="45" fillId="106" borderId="86" applyNumberFormat="0" applyProtection="0">
      <alignment horizontal="left" vertical="center" indent="1"/>
    </xf>
    <xf numFmtId="0" fontId="45" fillId="26" borderId="86" applyNumberFormat="0" applyFont="0" applyAlignment="0" applyProtection="0"/>
    <xf numFmtId="0" fontId="109" fillId="10" borderId="81" applyNumberFormat="0" applyAlignment="0" applyProtection="0"/>
    <xf numFmtId="4" fontId="45" fillId="7" borderId="86" applyNumberFormat="0" applyProtection="0">
      <alignment horizontal="right" vertical="center"/>
    </xf>
    <xf numFmtId="0" fontId="118" fillId="33" borderId="84" applyNumberFormat="0" applyProtection="0">
      <alignment horizontal="left" vertical="top" indent="1"/>
    </xf>
    <xf numFmtId="4" fontId="45" fillId="33" borderId="86" applyNumberFormat="0" applyProtection="0">
      <alignment vertical="center"/>
    </xf>
    <xf numFmtId="0" fontId="108" fillId="101" borderId="86" applyNumberFormat="0" applyAlignment="0" applyProtection="0"/>
    <xf numFmtId="4" fontId="122" fillId="42" borderId="87" applyNumberFormat="0" applyProtection="0">
      <alignment horizontal="left" vertical="center" indent="1"/>
    </xf>
    <xf numFmtId="0" fontId="45" fillId="124" borderId="91"/>
    <xf numFmtId="0" fontId="120" fillId="2" borderId="84" applyNumberFormat="0" applyProtection="0">
      <alignment horizontal="left" vertical="top" indent="1"/>
    </xf>
    <xf numFmtId="4" fontId="42" fillId="119" borderId="83" applyNumberFormat="0" applyProtection="0">
      <alignment horizontal="right" vertical="center"/>
    </xf>
    <xf numFmtId="4" fontId="45" fillId="0" borderId="86" applyNumberFormat="0" applyProtection="0">
      <alignment horizontal="right" vertical="center"/>
    </xf>
    <xf numFmtId="0" fontId="16" fillId="107" borderId="83" applyNumberFormat="0" applyProtection="0">
      <alignment horizontal="left" vertical="center" indent="1"/>
    </xf>
    <xf numFmtId="4" fontId="45" fillId="0" borderId="86" applyNumberFormat="0" applyProtection="0">
      <alignment horizontal="right" vertical="center"/>
    </xf>
    <xf numFmtId="4" fontId="45" fillId="51" borderId="86" applyNumberFormat="0" applyProtection="0">
      <alignment horizontal="left" vertical="center" indent="1"/>
    </xf>
    <xf numFmtId="4" fontId="40" fillId="119" borderId="83" applyNumberFormat="0" applyProtection="0">
      <alignment horizontal="right" vertical="center"/>
    </xf>
    <xf numFmtId="0" fontId="36" fillId="101" borderId="83" applyNumberFormat="0" applyAlignment="0" applyProtection="0"/>
    <xf numFmtId="0" fontId="45" fillId="26" borderId="86" applyNumberFormat="0" applyFont="0" applyAlignment="0" applyProtection="0"/>
    <xf numFmtId="0" fontId="18" fillId="4" borderId="8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34" fillId="0" borderId="0" applyFont="0" applyFill="0" applyBorder="0" applyAlignment="0" applyProtection="0"/>
    <xf numFmtId="0" fontId="1" fillId="0" borderId="0"/>
  </cellStyleXfs>
  <cellXfs count="722">
    <xf numFmtId="175" fontId="0" fillId="0" borderId="0" xfId="0"/>
    <xf numFmtId="3" fontId="16" fillId="0" borderId="19" xfId="0" applyNumberFormat="1" applyFont="1" applyBorder="1" applyAlignment="1">
      <alignment horizontal="center"/>
    </xf>
    <xf numFmtId="3" fontId="16" fillId="0" borderId="25" xfId="0" applyNumberFormat="1" applyFont="1" applyBorder="1" applyAlignment="1">
      <alignment horizontal="center"/>
    </xf>
    <xf numFmtId="3" fontId="16" fillId="0" borderId="27" xfId="0" applyNumberFormat="1" applyFont="1" applyBorder="1" applyAlignment="1">
      <alignment horizontal="center"/>
    </xf>
    <xf numFmtId="3" fontId="16" fillId="0" borderId="34" xfId="0" applyNumberFormat="1" applyFont="1" applyBorder="1" applyAlignment="1" applyProtection="1">
      <alignment wrapText="1"/>
      <protection locked="0"/>
    </xf>
    <xf numFmtId="165" fontId="16" fillId="0" borderId="20" xfId="0" applyNumberFormat="1" applyFont="1" applyBorder="1" applyAlignment="1" applyProtection="1">
      <alignment horizontal="center"/>
      <protection locked="0"/>
    </xf>
    <xf numFmtId="165" fontId="16" fillId="0" borderId="0" xfId="0" applyNumberFormat="1" applyFont="1" applyProtection="1">
      <protection locked="0"/>
    </xf>
    <xf numFmtId="165" fontId="16" fillId="0" borderId="26" xfId="0" applyNumberFormat="1" applyFont="1" applyBorder="1" applyAlignment="1" applyProtection="1">
      <alignment horizontal="center"/>
      <protection locked="0"/>
    </xf>
    <xf numFmtId="165" fontId="16" fillId="0" borderId="0" xfId="0" applyNumberFormat="1" applyFont="1" applyAlignment="1" applyProtection="1">
      <alignment horizontal="center"/>
      <protection locked="0"/>
    </xf>
    <xf numFmtId="175" fontId="16" fillId="0" borderId="0" xfId="0" applyFont="1" applyProtection="1">
      <protection locked="0"/>
    </xf>
    <xf numFmtId="175" fontId="17" fillId="0" borderId="0" xfId="0" applyFont="1" applyAlignment="1" applyProtection="1">
      <alignment horizontal="center" wrapText="1"/>
      <protection locked="0"/>
    </xf>
    <xf numFmtId="3" fontId="16" fillId="0" borderId="0" xfId="0" applyNumberFormat="1" applyFont="1" applyProtection="1">
      <protection locked="0"/>
    </xf>
    <xf numFmtId="175" fontId="17" fillId="0" borderId="0" xfId="0" applyFont="1" applyAlignment="1" applyProtection="1">
      <alignment wrapText="1"/>
      <protection locked="0"/>
    </xf>
    <xf numFmtId="3" fontId="48" fillId="0" borderId="16" xfId="0" applyNumberFormat="1" applyFont="1" applyBorder="1" applyAlignment="1">
      <alignment horizontal="center"/>
    </xf>
    <xf numFmtId="6" fontId="16" fillId="0" borderId="0" xfId="66" applyNumberFormat="1"/>
    <xf numFmtId="175" fontId="16" fillId="0" borderId="0" xfId="66"/>
    <xf numFmtId="175" fontId="18" fillId="0" borderId="0" xfId="67"/>
    <xf numFmtId="175" fontId="37" fillId="0" borderId="0" xfId="67" applyFont="1" applyAlignment="1">
      <alignment horizontal="center"/>
    </xf>
    <xf numFmtId="175" fontId="17" fillId="0" borderId="37" xfId="66" applyFont="1" applyBorder="1" applyAlignment="1">
      <alignment wrapText="1"/>
    </xf>
    <xf numFmtId="175" fontId="46" fillId="0" borderId="0" xfId="66" applyFont="1"/>
    <xf numFmtId="175" fontId="17" fillId="44" borderId="29" xfId="66" applyFont="1" applyFill="1" applyBorder="1" applyAlignment="1">
      <alignment horizontal="center"/>
    </xf>
    <xf numFmtId="175" fontId="17" fillId="0" borderId="30" xfId="66" applyFont="1" applyBorder="1" applyAlignment="1">
      <alignment horizontal="center"/>
    </xf>
    <xf numFmtId="175" fontId="47" fillId="0" borderId="36" xfId="66" applyFont="1" applyBorder="1" applyAlignment="1">
      <alignment horizontal="center"/>
    </xf>
    <xf numFmtId="175" fontId="17" fillId="0" borderId="36" xfId="66" applyFont="1" applyBorder="1" applyAlignment="1">
      <alignment horizontal="center"/>
    </xf>
    <xf numFmtId="175" fontId="16" fillId="0" borderId="36" xfId="66" applyBorder="1"/>
    <xf numFmtId="164" fontId="16" fillId="0" borderId="0" xfId="66" applyNumberFormat="1"/>
    <xf numFmtId="175" fontId="17" fillId="0" borderId="36" xfId="66" applyFont="1" applyBorder="1"/>
    <xf numFmtId="164" fontId="16" fillId="0" borderId="0" xfId="66" applyNumberFormat="1" applyAlignment="1">
      <alignment horizontal="right"/>
    </xf>
    <xf numFmtId="175" fontId="17" fillId="0" borderId="36" xfId="66" applyFont="1" applyBorder="1" applyAlignment="1">
      <alignment horizontal="left" indent="1"/>
    </xf>
    <xf numFmtId="175" fontId="17" fillId="0" borderId="36" xfId="66" applyFont="1" applyBorder="1" applyAlignment="1">
      <alignment horizontal="center" wrapText="1"/>
    </xf>
    <xf numFmtId="164" fontId="16" fillId="44" borderId="0" xfId="66" applyNumberFormat="1" applyFill="1"/>
    <xf numFmtId="175" fontId="17" fillId="0" borderId="31" xfId="66" applyFont="1" applyBorder="1" applyAlignment="1">
      <alignment wrapText="1"/>
    </xf>
    <xf numFmtId="164" fontId="17" fillId="0" borderId="31" xfId="66" applyNumberFormat="1" applyFont="1" applyBorder="1"/>
    <xf numFmtId="175" fontId="17" fillId="0" borderId="0" xfId="0" applyFont="1"/>
    <xf numFmtId="175" fontId="17" fillId="0" borderId="28" xfId="0" applyFont="1" applyBorder="1"/>
    <xf numFmtId="175" fontId="16" fillId="0" borderId="0" xfId="0" applyFont="1"/>
    <xf numFmtId="175" fontId="16" fillId="0" borderId="13" xfId="0" applyFont="1" applyBorder="1"/>
    <xf numFmtId="175" fontId="37" fillId="0" borderId="0" xfId="0" applyFont="1" applyProtection="1">
      <protection locked="0"/>
    </xf>
    <xf numFmtId="175" fontId="18" fillId="0" borderId="0" xfId="0" applyFont="1" applyProtection="1">
      <protection locked="0"/>
    </xf>
    <xf numFmtId="165" fontId="18" fillId="0" borderId="0" xfId="0" applyNumberFormat="1" applyFont="1" applyProtection="1">
      <protection locked="0"/>
    </xf>
    <xf numFmtId="175" fontId="49" fillId="0" borderId="0" xfId="0" applyFont="1" applyProtection="1">
      <protection locked="0"/>
    </xf>
    <xf numFmtId="172" fontId="37" fillId="0" borderId="0" xfId="0" applyNumberFormat="1" applyFont="1" applyAlignment="1" applyProtection="1">
      <alignment horizontal="right"/>
      <protection locked="0"/>
    </xf>
    <xf numFmtId="172" fontId="37" fillId="0" borderId="0" xfId="0" applyNumberFormat="1" applyFont="1" applyAlignment="1" applyProtection="1">
      <alignment horizontal="center"/>
      <protection locked="0"/>
    </xf>
    <xf numFmtId="38" fontId="50" fillId="0" borderId="0" xfId="0" applyNumberFormat="1" applyFont="1" applyProtection="1">
      <protection locked="0"/>
    </xf>
    <xf numFmtId="165" fontId="50" fillId="0" borderId="0" xfId="0" applyNumberFormat="1" applyFont="1" applyProtection="1">
      <protection locked="0"/>
    </xf>
    <xf numFmtId="175" fontId="50" fillId="0" borderId="0" xfId="0" applyFont="1" applyProtection="1">
      <protection locked="0"/>
    </xf>
    <xf numFmtId="175" fontId="18" fillId="0" borderId="0" xfId="0" applyFont="1" applyAlignment="1" applyProtection="1">
      <alignment horizontal="left" indent="1"/>
      <protection locked="0"/>
    </xf>
    <xf numFmtId="175" fontId="18" fillId="0" borderId="0" xfId="0" applyFont="1"/>
    <xf numFmtId="175" fontId="37" fillId="0" borderId="0" xfId="0" applyFont="1"/>
    <xf numFmtId="38" fontId="18" fillId="0" borderId="0" xfId="0" applyNumberFormat="1" applyFont="1"/>
    <xf numFmtId="165" fontId="18" fillId="0" borderId="0" xfId="0" applyNumberFormat="1" applyFont="1"/>
    <xf numFmtId="175" fontId="16" fillId="0" borderId="13" xfId="0" applyFont="1" applyBorder="1" applyProtection="1">
      <protection locked="0"/>
    </xf>
    <xf numFmtId="9" fontId="16" fillId="0" borderId="0" xfId="145" applyFont="1" applyProtection="1">
      <protection locked="0"/>
    </xf>
    <xf numFmtId="175" fontId="17" fillId="0" borderId="14" xfId="0" applyFont="1" applyBorder="1" applyAlignment="1" applyProtection="1">
      <alignment horizontal="center"/>
      <protection locked="0"/>
    </xf>
    <xf numFmtId="175" fontId="16" fillId="0" borderId="15" xfId="0" applyFont="1" applyBorder="1" applyProtection="1">
      <protection locked="0"/>
    </xf>
    <xf numFmtId="166" fontId="16" fillId="0" borderId="0" xfId="0" applyNumberFormat="1" applyFont="1" applyAlignment="1">
      <alignment horizontal="center"/>
    </xf>
    <xf numFmtId="173" fontId="16" fillId="0" borderId="0" xfId="0" applyNumberFormat="1" applyFont="1" applyAlignment="1">
      <alignment horizontal="center"/>
    </xf>
    <xf numFmtId="3" fontId="16" fillId="0" borderId="0" xfId="0" applyNumberFormat="1" applyFont="1" applyAlignment="1">
      <alignment horizontal="center"/>
    </xf>
    <xf numFmtId="165" fontId="16" fillId="0" borderId="0" xfId="0" applyNumberFormat="1" applyFont="1" applyAlignment="1">
      <alignment horizontal="center"/>
    </xf>
    <xf numFmtId="175" fontId="37" fillId="0" borderId="15" xfId="0" applyFont="1" applyBorder="1" applyAlignment="1" applyProtection="1">
      <alignment horizontal="center"/>
      <protection locked="0"/>
    </xf>
    <xf numFmtId="175" fontId="18" fillId="0" borderId="15" xfId="0" applyFont="1" applyBorder="1" applyProtection="1">
      <protection locked="0"/>
    </xf>
    <xf numFmtId="38" fontId="56" fillId="0" borderId="16" xfId="0" applyNumberFormat="1" applyFont="1" applyBorder="1" applyAlignment="1">
      <alignment horizontal="center"/>
    </xf>
    <xf numFmtId="175" fontId="62" fillId="0" borderId="0" xfId="0" applyFont="1"/>
    <xf numFmtId="3" fontId="48" fillId="0" borderId="16" xfId="0" applyNumberFormat="1" applyFont="1" applyBorder="1" applyAlignment="1" applyProtection="1">
      <alignment horizontal="center"/>
      <protection locked="0"/>
    </xf>
    <xf numFmtId="3" fontId="16" fillId="0" borderId="19" xfId="0" applyNumberFormat="1" applyFont="1" applyBorder="1" applyAlignment="1" applyProtection="1">
      <alignment horizontal="center"/>
      <protection locked="0"/>
    </xf>
    <xf numFmtId="175" fontId="17" fillId="0" borderId="0" xfId="66" applyFont="1" applyProtection="1">
      <protection locked="0"/>
    </xf>
    <xf numFmtId="175" fontId="16" fillId="0" borderId="0" xfId="66" applyProtection="1">
      <protection locked="0"/>
    </xf>
    <xf numFmtId="175" fontId="16" fillId="0" borderId="30" xfId="66" applyBorder="1" applyProtection="1">
      <protection locked="0"/>
    </xf>
    <xf numFmtId="175" fontId="16" fillId="0" borderId="31" xfId="66" applyBorder="1" applyProtection="1">
      <protection locked="0"/>
    </xf>
    <xf numFmtId="175" fontId="16" fillId="0" borderId="32" xfId="66" applyBorder="1" applyProtection="1">
      <protection locked="0"/>
    </xf>
    <xf numFmtId="175" fontId="16" fillId="0" borderId="14" xfId="66" applyBorder="1" applyProtection="1">
      <protection locked="0"/>
    </xf>
    <xf numFmtId="6" fontId="16" fillId="0" borderId="0" xfId="66" applyNumberFormat="1" applyProtection="1">
      <protection locked="0"/>
    </xf>
    <xf numFmtId="175" fontId="16" fillId="0" borderId="13" xfId="66" applyBorder="1" applyProtection="1">
      <protection locked="0"/>
    </xf>
    <xf numFmtId="164" fontId="16" fillId="0" borderId="35" xfId="66" applyNumberFormat="1" applyBorder="1" applyProtection="1">
      <protection locked="0"/>
    </xf>
    <xf numFmtId="175" fontId="16" fillId="0" borderId="35" xfId="66" applyBorder="1" applyProtection="1">
      <protection locked="0"/>
    </xf>
    <xf numFmtId="175" fontId="18" fillId="0" borderId="0" xfId="67" applyProtection="1">
      <protection locked="0"/>
    </xf>
    <xf numFmtId="175" fontId="55" fillId="0" borderId="0" xfId="0" applyFont="1" applyProtection="1">
      <protection locked="0"/>
    </xf>
    <xf numFmtId="175" fontId="17" fillId="0" borderId="0" xfId="0" applyFont="1" applyProtection="1">
      <protection locked="0"/>
    </xf>
    <xf numFmtId="175" fontId="66" fillId="0" borderId="0" xfId="0" applyFont="1" applyAlignment="1">
      <alignment horizontal="left" vertical="center" indent="4"/>
    </xf>
    <xf numFmtId="175" fontId="17" fillId="0" borderId="0" xfId="0" applyFont="1" applyAlignment="1" applyProtection="1">
      <alignment horizontal="center"/>
      <protection locked="0"/>
    </xf>
    <xf numFmtId="17" fontId="17" fillId="0" borderId="0" xfId="0" quotePrefix="1" applyNumberFormat="1" applyFont="1" applyAlignment="1" applyProtection="1">
      <alignment horizontal="center"/>
      <protection locked="0"/>
    </xf>
    <xf numFmtId="175" fontId="0" fillId="47" borderId="0" xfId="0" applyFill="1"/>
    <xf numFmtId="17" fontId="17" fillId="47" borderId="0" xfId="0" quotePrefix="1" applyNumberFormat="1" applyFont="1" applyFill="1" applyAlignment="1" applyProtection="1">
      <alignment horizontal="center"/>
      <protection locked="0"/>
    </xf>
    <xf numFmtId="175" fontId="16" fillId="47" borderId="0" xfId="0" applyFont="1" applyFill="1" applyProtection="1">
      <protection locked="0"/>
    </xf>
    <xf numFmtId="175" fontId="54" fillId="0" borderId="0" xfId="0" applyFont="1" applyAlignment="1">
      <alignment horizontal="center"/>
    </xf>
    <xf numFmtId="38" fontId="16" fillId="0" borderId="19" xfId="0" applyNumberFormat="1" applyFont="1" applyBorder="1" applyAlignment="1">
      <alignment horizontal="center"/>
    </xf>
    <xf numFmtId="38" fontId="16" fillId="0" borderId="19" xfId="0" applyNumberFormat="1" applyFont="1" applyBorder="1" applyAlignment="1" applyProtection="1">
      <alignment horizontal="center"/>
      <protection locked="0"/>
    </xf>
    <xf numFmtId="175" fontId="16" fillId="0" borderId="16" xfId="0" applyFont="1" applyBorder="1" applyProtection="1">
      <protection locked="0"/>
    </xf>
    <xf numFmtId="3" fontId="16" fillId="0" borderId="23" xfId="0" applyNumberFormat="1" applyFont="1" applyBorder="1" applyAlignment="1">
      <alignment horizontal="center"/>
    </xf>
    <xf numFmtId="3" fontId="56" fillId="0" borderId="16" xfId="0" applyNumberFormat="1" applyFont="1" applyBorder="1" applyAlignment="1">
      <alignment horizontal="center"/>
    </xf>
    <xf numFmtId="175" fontId="16" fillId="47" borderId="0" xfId="66" applyFill="1"/>
    <xf numFmtId="175" fontId="17" fillId="47" borderId="0" xfId="0" applyFont="1" applyFill="1" applyAlignment="1" applyProtection="1">
      <alignment horizontal="center"/>
      <protection locked="0"/>
    </xf>
    <xf numFmtId="17" fontId="18" fillId="0" borderId="0" xfId="0" applyNumberFormat="1" applyFont="1" applyAlignment="1" applyProtection="1">
      <alignment horizontal="center"/>
      <protection locked="0"/>
    </xf>
    <xf numFmtId="3" fontId="17" fillId="0" borderId="21" xfId="0" applyNumberFormat="1" applyFont="1" applyBorder="1" applyAlignment="1">
      <alignment horizontal="center" wrapText="1"/>
    </xf>
    <xf numFmtId="174" fontId="16" fillId="0" borderId="19" xfId="0" applyNumberFormat="1" applyFont="1" applyBorder="1"/>
    <xf numFmtId="175" fontId="17" fillId="0" borderId="40" xfId="0" applyFont="1" applyBorder="1" applyAlignment="1">
      <alignment horizontal="center"/>
    </xf>
    <xf numFmtId="4" fontId="16" fillId="0" borderId="26" xfId="0" applyNumberFormat="1" applyFont="1" applyBorder="1" applyAlignment="1">
      <alignment horizontal="right"/>
    </xf>
    <xf numFmtId="4" fontId="16" fillId="0" borderId="23" xfId="0" applyNumberFormat="1" applyFont="1" applyBorder="1" applyAlignment="1">
      <alignment horizontal="right"/>
    </xf>
    <xf numFmtId="175" fontId="17" fillId="0" borderId="16" xfId="0" applyFont="1" applyBorder="1" applyProtection="1">
      <protection locked="0"/>
    </xf>
    <xf numFmtId="175" fontId="17" fillId="0" borderId="18" xfId="0" applyFont="1" applyBorder="1" applyProtection="1">
      <protection locked="0"/>
    </xf>
    <xf numFmtId="175" fontId="17" fillId="0" borderId="21" xfId="0" applyFont="1" applyBorder="1" applyAlignment="1">
      <alignment horizontal="center"/>
    </xf>
    <xf numFmtId="175" fontId="17" fillId="0" borderId="39" xfId="0" applyFont="1" applyBorder="1" applyAlignment="1">
      <alignment horizontal="center"/>
    </xf>
    <xf numFmtId="175" fontId="17" fillId="0" borderId="22" xfId="0" applyFont="1" applyBorder="1" applyProtection="1">
      <protection locked="0"/>
    </xf>
    <xf numFmtId="175" fontId="42" fillId="0" borderId="0" xfId="0" applyFont="1" applyProtection="1">
      <protection locked="0"/>
    </xf>
    <xf numFmtId="3" fontId="42" fillId="0" borderId="0" xfId="0" applyNumberFormat="1" applyFont="1" applyProtection="1">
      <protection locked="0"/>
    </xf>
    <xf numFmtId="1" fontId="42" fillId="0" borderId="0" xfId="0" applyNumberFormat="1" applyFont="1" applyProtection="1">
      <protection locked="0"/>
    </xf>
    <xf numFmtId="175" fontId="16" fillId="47" borderId="0" xfId="66" applyFill="1" applyProtection="1">
      <protection locked="0"/>
    </xf>
    <xf numFmtId="17" fontId="17" fillId="47" borderId="0" xfId="0" applyNumberFormat="1" applyFont="1" applyFill="1" applyAlignment="1" applyProtection="1">
      <alignment horizontal="center"/>
      <protection locked="0"/>
    </xf>
    <xf numFmtId="175" fontId="18" fillId="47" borderId="0" xfId="0" applyFont="1" applyFill="1" applyProtection="1">
      <protection locked="0"/>
    </xf>
    <xf numFmtId="164" fontId="16" fillId="0" borderId="41" xfId="66" applyNumberFormat="1" applyBorder="1" applyProtection="1">
      <protection locked="0"/>
    </xf>
    <xf numFmtId="175" fontId="54" fillId="47" borderId="0" xfId="0" applyFont="1" applyFill="1" applyAlignment="1">
      <alignment horizontal="center"/>
    </xf>
    <xf numFmtId="175" fontId="17" fillId="0" borderId="41" xfId="66" applyFont="1" applyBorder="1" applyProtection="1">
      <protection locked="0"/>
    </xf>
    <xf numFmtId="175" fontId="17" fillId="47" borderId="0" xfId="0" applyFont="1" applyFill="1" applyProtection="1">
      <protection locked="0"/>
    </xf>
    <xf numFmtId="175" fontId="0" fillId="0" borderId="0" xfId="0" quotePrefix="1"/>
    <xf numFmtId="175" fontId="16" fillId="47" borderId="16" xfId="0" applyFont="1" applyFill="1" applyBorder="1"/>
    <xf numFmtId="3" fontId="56" fillId="47" borderId="16" xfId="0" applyNumberFormat="1" applyFont="1" applyFill="1" applyBorder="1" applyAlignment="1">
      <alignment horizontal="center"/>
    </xf>
    <xf numFmtId="175" fontId="18" fillId="0" borderId="0" xfId="0" quotePrefix="1" applyFont="1" applyProtection="1">
      <protection locked="0"/>
    </xf>
    <xf numFmtId="175" fontId="68" fillId="0" borderId="0" xfId="0" applyFont="1" applyAlignment="1" applyProtection="1">
      <alignment horizontal="center"/>
      <protection locked="0"/>
    </xf>
    <xf numFmtId="168" fontId="53" fillId="0" borderId="0" xfId="52" applyNumberFormat="1" applyFont="1"/>
    <xf numFmtId="175" fontId="69" fillId="43" borderId="0" xfId="66" applyFont="1" applyFill="1"/>
    <xf numFmtId="44" fontId="69" fillId="43" borderId="0" xfId="50" applyFont="1" applyFill="1"/>
    <xf numFmtId="175" fontId="69" fillId="47" borderId="0" xfId="66" applyFont="1" applyFill="1"/>
    <xf numFmtId="17" fontId="68" fillId="47" borderId="0" xfId="0" applyNumberFormat="1" applyFont="1" applyFill="1" applyAlignment="1" applyProtection="1">
      <alignment horizontal="center"/>
      <protection locked="0"/>
    </xf>
    <xf numFmtId="175" fontId="68" fillId="44" borderId="29" xfId="66" applyFont="1" applyFill="1" applyBorder="1"/>
    <xf numFmtId="175" fontId="69" fillId="43" borderId="31" xfId="66" applyFont="1" applyFill="1" applyBorder="1"/>
    <xf numFmtId="44" fontId="69" fillId="43" borderId="31" xfId="50" applyFont="1" applyFill="1" applyBorder="1"/>
    <xf numFmtId="175" fontId="68" fillId="44" borderId="36" xfId="66" applyFont="1" applyFill="1" applyBorder="1" applyAlignment="1">
      <alignment horizontal="center"/>
    </xf>
    <xf numFmtId="175" fontId="68" fillId="43" borderId="0" xfId="66" applyFont="1" applyFill="1" applyAlignment="1">
      <alignment horizontal="center"/>
    </xf>
    <xf numFmtId="175" fontId="68" fillId="0" borderId="36" xfId="66" applyFont="1" applyBorder="1" applyAlignment="1">
      <alignment horizontal="center"/>
    </xf>
    <xf numFmtId="164" fontId="69" fillId="0" borderId="0" xfId="66" applyNumberFormat="1" applyFont="1"/>
    <xf numFmtId="175" fontId="69" fillId="0" borderId="0" xfId="66" applyFont="1"/>
    <xf numFmtId="43" fontId="16" fillId="0" borderId="19" xfId="0" applyNumberFormat="1" applyFont="1" applyBorder="1" applyAlignment="1">
      <alignment horizontal="right"/>
    </xf>
    <xf numFmtId="175" fontId="16" fillId="47" borderId="13" xfId="0" applyFont="1" applyFill="1" applyBorder="1"/>
    <xf numFmtId="4" fontId="16" fillId="0" borderId="19" xfId="0" applyNumberFormat="1" applyFont="1" applyBorder="1" applyAlignment="1">
      <alignment horizontal="right"/>
    </xf>
    <xf numFmtId="4" fontId="16" fillId="0" borderId="20" xfId="0" applyNumberFormat="1" applyFont="1" applyBorder="1" applyAlignment="1">
      <alignment horizontal="right"/>
    </xf>
    <xf numFmtId="2" fontId="16" fillId="0" borderId="19" xfId="0" applyNumberFormat="1" applyFont="1" applyBorder="1" applyAlignment="1">
      <alignment horizontal="right"/>
    </xf>
    <xf numFmtId="2" fontId="16" fillId="0" borderId="23" xfId="0" applyNumberFormat="1" applyFont="1" applyBorder="1" applyAlignment="1">
      <alignment horizontal="right"/>
    </xf>
    <xf numFmtId="165" fontId="16" fillId="0" borderId="26" xfId="0" applyNumberFormat="1" applyFont="1" applyBorder="1" applyAlignment="1">
      <alignment horizontal="right"/>
    </xf>
    <xf numFmtId="165" fontId="16" fillId="0" borderId="20" xfId="0" applyNumberFormat="1" applyFont="1" applyBorder="1" applyAlignment="1">
      <alignment horizontal="right"/>
    </xf>
    <xf numFmtId="175" fontId="71" fillId="0" borderId="0" xfId="0" applyFont="1" applyAlignment="1">
      <alignment vertical="center"/>
    </xf>
    <xf numFmtId="164" fontId="17" fillId="0" borderId="31" xfId="66" applyNumberFormat="1" applyFont="1" applyBorder="1" applyAlignment="1">
      <alignment horizontal="center"/>
    </xf>
    <xf numFmtId="175" fontId="16" fillId="0" borderId="0" xfId="66" applyAlignment="1">
      <alignment horizontal="center"/>
    </xf>
    <xf numFmtId="2" fontId="16" fillId="0" borderId="19" xfId="0" applyNumberFormat="1" applyFont="1" applyBorder="1"/>
    <xf numFmtId="2" fontId="16" fillId="0" borderId="20" xfId="0" applyNumberFormat="1" applyFont="1" applyBorder="1" applyAlignment="1">
      <alignment horizontal="right"/>
    </xf>
    <xf numFmtId="2" fontId="16" fillId="0" borderId="26" xfId="0" applyNumberFormat="1" applyFont="1" applyBorder="1" applyAlignment="1">
      <alignment horizontal="right"/>
    </xf>
    <xf numFmtId="2" fontId="16" fillId="0" borderId="23" xfId="0" applyNumberFormat="1" applyFont="1" applyBorder="1"/>
    <xf numFmtId="175" fontId="17" fillId="47" borderId="0" xfId="66" applyFont="1" applyFill="1" applyAlignment="1" applyProtection="1">
      <alignment horizontal="center"/>
      <protection locked="0"/>
    </xf>
    <xf numFmtId="171" fontId="17" fillId="47" borderId="0" xfId="0" applyNumberFormat="1" applyFont="1" applyFill="1" applyAlignment="1" applyProtection="1">
      <alignment horizontal="center"/>
      <protection locked="0"/>
    </xf>
    <xf numFmtId="175" fontId="71" fillId="0" borderId="0" xfId="0" applyFont="1" applyProtection="1">
      <protection locked="0"/>
    </xf>
    <xf numFmtId="175" fontId="71" fillId="0" borderId="0" xfId="0" applyFont="1"/>
    <xf numFmtId="175" fontId="71" fillId="0" borderId="0" xfId="0" applyFont="1" applyAlignment="1">
      <alignment vertical="top"/>
    </xf>
    <xf numFmtId="175" fontId="73" fillId="0" borderId="0" xfId="0" applyFont="1" applyAlignment="1" applyProtection="1">
      <alignment horizontal="left"/>
      <protection locked="0"/>
    </xf>
    <xf numFmtId="175" fontId="73" fillId="0" borderId="0" xfId="0" applyFont="1" applyAlignment="1">
      <alignment horizontal="left" vertical="top"/>
    </xf>
    <xf numFmtId="4" fontId="16" fillId="0" borderId="0" xfId="66" applyNumberFormat="1" applyProtection="1">
      <protection locked="0"/>
    </xf>
    <xf numFmtId="175" fontId="68" fillId="0" borderId="0" xfId="66" applyFont="1" applyAlignment="1">
      <alignment wrapText="1"/>
    </xf>
    <xf numFmtId="164" fontId="68" fillId="43" borderId="0" xfId="66" applyNumberFormat="1" applyFont="1" applyFill="1"/>
    <xf numFmtId="164" fontId="68" fillId="0" borderId="0" xfId="66" applyNumberFormat="1" applyFont="1" applyAlignment="1">
      <alignment horizontal="right"/>
    </xf>
    <xf numFmtId="165" fontId="16" fillId="0" borderId="19" xfId="0" applyNumberFormat="1" applyFont="1" applyBorder="1" applyAlignment="1">
      <alignment horizontal="right"/>
    </xf>
    <xf numFmtId="165" fontId="16" fillId="0" borderId="24" xfId="0" applyNumberFormat="1" applyFont="1" applyBorder="1" applyAlignment="1">
      <alignment horizontal="right"/>
    </xf>
    <xf numFmtId="6" fontId="16" fillId="0" borderId="0" xfId="66" applyNumberFormat="1" applyAlignment="1" applyProtection="1">
      <alignment horizontal="center"/>
      <protection locked="0"/>
    </xf>
    <xf numFmtId="40" fontId="16" fillId="0" borderId="19" xfId="0" applyNumberFormat="1" applyFont="1" applyBorder="1" applyAlignment="1">
      <alignment horizontal="right"/>
    </xf>
    <xf numFmtId="40" fontId="16" fillId="0" borderId="20" xfId="0" applyNumberFormat="1" applyFont="1" applyBorder="1" applyAlignment="1">
      <alignment horizontal="right"/>
    </xf>
    <xf numFmtId="175" fontId="17" fillId="0" borderId="14" xfId="66" applyFont="1" applyBorder="1" applyAlignment="1" applyProtection="1">
      <alignment horizontal="right"/>
      <protection locked="0"/>
    </xf>
    <xf numFmtId="175" fontId="17" fillId="0" borderId="14" xfId="66" quotePrefix="1" applyFont="1" applyBorder="1" applyAlignment="1" applyProtection="1">
      <alignment horizontal="right"/>
      <protection locked="0"/>
    </xf>
    <xf numFmtId="6" fontId="53" fillId="0" borderId="0" xfId="520" applyNumberFormat="1" applyFont="1"/>
    <xf numFmtId="0" fontId="53" fillId="0" borderId="0" xfId="520" applyFont="1"/>
    <xf numFmtId="0" fontId="16" fillId="0" borderId="0" xfId="522"/>
    <xf numFmtId="168" fontId="53" fillId="0" borderId="0" xfId="520" applyNumberFormat="1" applyFont="1"/>
    <xf numFmtId="4" fontId="16" fillId="0" borderId="24" xfId="0" applyNumberFormat="1" applyFont="1" applyBorder="1" applyAlignment="1">
      <alignment horizontal="right"/>
    </xf>
    <xf numFmtId="175" fontId="37" fillId="0" borderId="0" xfId="67" applyFont="1"/>
    <xf numFmtId="3" fontId="56" fillId="47" borderId="17" xfId="0" applyNumberFormat="1" applyFont="1" applyFill="1" applyBorder="1" applyAlignment="1">
      <alignment horizontal="center"/>
    </xf>
    <xf numFmtId="175" fontId="16" fillId="47" borderId="16" xfId="0" applyFont="1" applyFill="1" applyBorder="1" applyProtection="1">
      <protection locked="0"/>
    </xf>
    <xf numFmtId="175" fontId="16" fillId="47" borderId="13" xfId="0" applyFont="1" applyFill="1" applyBorder="1" applyProtection="1">
      <protection locked="0"/>
    </xf>
    <xf numFmtId="175" fontId="17" fillId="0" borderId="28" xfId="0" applyFont="1" applyBorder="1" applyAlignment="1">
      <alignment horizontal="center"/>
    </xf>
    <xf numFmtId="44" fontId="69" fillId="0" borderId="0" xfId="50" applyFont="1"/>
    <xf numFmtId="0" fontId="75" fillId="0" borderId="0" xfId="520" applyFont="1"/>
    <xf numFmtId="0" fontId="76" fillId="0" borderId="14" xfId="520" applyFont="1" applyBorder="1" applyAlignment="1">
      <alignment horizontal="center" vertical="center" wrapText="1"/>
    </xf>
    <xf numFmtId="6" fontId="75" fillId="0" borderId="0" xfId="520" applyNumberFormat="1" applyFont="1"/>
    <xf numFmtId="6" fontId="75" fillId="0" borderId="14" xfId="520" applyNumberFormat="1" applyFont="1" applyBorder="1"/>
    <xf numFmtId="0" fontId="75" fillId="46" borderId="0" xfId="520" applyFont="1" applyFill="1"/>
    <xf numFmtId="0" fontId="78" fillId="0" borderId="0" xfId="520" applyFont="1"/>
    <xf numFmtId="6" fontId="76" fillId="0" borderId="0" xfId="520" applyNumberFormat="1" applyFont="1"/>
    <xf numFmtId="165" fontId="18" fillId="47" borderId="0" xfId="0" applyNumberFormat="1" applyFont="1" applyFill="1" applyProtection="1">
      <protection locked="0"/>
    </xf>
    <xf numFmtId="6" fontId="75" fillId="0" borderId="34" xfId="520" applyNumberFormat="1" applyFont="1" applyBorder="1"/>
    <xf numFmtId="6" fontId="75" fillId="0" borderId="15" xfId="520" applyNumberFormat="1" applyFont="1" applyBorder="1"/>
    <xf numFmtId="0" fontId="75" fillId="0" borderId="16" xfId="520" applyFont="1" applyBorder="1"/>
    <xf numFmtId="175" fontId="16" fillId="0" borderId="44" xfId="66" applyBorder="1" applyProtection="1">
      <protection locked="0"/>
    </xf>
    <xf numFmtId="175" fontId="16" fillId="0" borderId="45" xfId="66" applyBorder="1" applyProtection="1">
      <protection locked="0"/>
    </xf>
    <xf numFmtId="175" fontId="17" fillId="0" borderId="46" xfId="66" applyFont="1" applyBorder="1" applyProtection="1">
      <protection locked="0"/>
    </xf>
    <xf numFmtId="175" fontId="17" fillId="0" borderId="28" xfId="66" applyFont="1" applyBorder="1" applyProtection="1">
      <protection locked="0"/>
    </xf>
    <xf numFmtId="175" fontId="19" fillId="0" borderId="16" xfId="66" applyFont="1" applyBorder="1" applyAlignment="1">
      <alignment wrapText="1"/>
    </xf>
    <xf numFmtId="175" fontId="16" fillId="0" borderId="16" xfId="66" applyBorder="1" applyAlignment="1">
      <alignment horizontal="left" indent="1"/>
    </xf>
    <xf numFmtId="175" fontId="16" fillId="47" borderId="16" xfId="66" applyFill="1" applyBorder="1" applyAlignment="1">
      <alignment horizontal="left" indent="1"/>
    </xf>
    <xf numFmtId="175" fontId="17" fillId="0" borderId="16" xfId="66" applyFont="1" applyBorder="1"/>
    <xf numFmtId="175" fontId="16" fillId="0" borderId="16" xfId="66" quotePrefix="1" applyBorder="1" applyAlignment="1">
      <alignment horizontal="left" indent="1"/>
    </xf>
    <xf numFmtId="175" fontId="68" fillId="47" borderId="33" xfId="66" applyFont="1" applyFill="1" applyBorder="1" applyAlignment="1">
      <alignment horizontal="center"/>
    </xf>
    <xf numFmtId="175" fontId="69" fillId="0" borderId="33" xfId="66" applyFont="1" applyBorder="1"/>
    <xf numFmtId="175" fontId="69" fillId="47" borderId="33" xfId="66" applyFont="1" applyFill="1" applyBorder="1"/>
    <xf numFmtId="175" fontId="16" fillId="47" borderId="13" xfId="66" applyFill="1" applyBorder="1" applyProtection="1">
      <protection locked="0"/>
    </xf>
    <xf numFmtId="6" fontId="75" fillId="0" borderId="13" xfId="520" applyNumberFormat="1" applyFont="1" applyBorder="1"/>
    <xf numFmtId="175" fontId="64" fillId="0" borderId="0" xfId="66" applyFont="1" applyProtection="1">
      <protection locked="0"/>
    </xf>
    <xf numFmtId="175" fontId="16" fillId="0" borderId="16" xfId="66" applyBorder="1"/>
    <xf numFmtId="175" fontId="16" fillId="47" borderId="16" xfId="0" applyFont="1" applyFill="1" applyBorder="1" applyAlignment="1">
      <alignment horizontal="left"/>
    </xf>
    <xf numFmtId="175" fontId="17" fillId="0" borderId="43" xfId="66" applyFont="1" applyBorder="1" applyAlignment="1">
      <alignment horizontal="center"/>
    </xf>
    <xf numFmtId="175" fontId="17" fillId="0" borderId="43" xfId="66" applyFont="1" applyBorder="1" applyAlignment="1">
      <alignment horizontal="left"/>
    </xf>
    <xf numFmtId="175" fontId="16" fillId="0" borderId="43" xfId="66" applyBorder="1"/>
    <xf numFmtId="175" fontId="17" fillId="0" borderId="43" xfId="66" applyFont="1" applyBorder="1"/>
    <xf numFmtId="175" fontId="17" fillId="0" borderId="43" xfId="66" applyFont="1" applyBorder="1" applyAlignment="1">
      <alignment horizontal="left" indent="1"/>
    </xf>
    <xf numFmtId="175" fontId="17" fillId="0" borderId="43" xfId="66" applyFont="1" applyBorder="1" applyAlignment="1">
      <alignment horizontal="center" wrapText="1"/>
    </xf>
    <xf numFmtId="175" fontId="17" fillId="0" borderId="48" xfId="66" applyFont="1" applyBorder="1" applyAlignment="1">
      <alignment wrapText="1"/>
    </xf>
    <xf numFmtId="43" fontId="16" fillId="50" borderId="0" xfId="46" quotePrefix="1" applyFill="1" applyAlignment="1">
      <alignment horizontal="left"/>
    </xf>
    <xf numFmtId="43" fontId="16" fillId="50" borderId="34" xfId="46" quotePrefix="1" applyFill="1" applyBorder="1" applyAlignment="1">
      <alignment horizontal="left"/>
    </xf>
    <xf numFmtId="43" fontId="16" fillId="50" borderId="14" xfId="46" quotePrefix="1" applyFill="1" applyBorder="1" applyAlignment="1">
      <alignment horizontal="left"/>
    </xf>
    <xf numFmtId="43" fontId="16" fillId="50" borderId="15" xfId="46" quotePrefix="1" applyFill="1" applyBorder="1" applyAlignment="1">
      <alignment horizontal="left"/>
    </xf>
    <xf numFmtId="43" fontId="16" fillId="50" borderId="0" xfId="46" quotePrefix="1" applyFill="1" applyAlignment="1">
      <alignment horizontal="center"/>
    </xf>
    <xf numFmtId="175" fontId="17" fillId="47" borderId="21" xfId="0" applyFont="1" applyFill="1" applyBorder="1" applyAlignment="1">
      <alignment horizontal="center"/>
    </xf>
    <xf numFmtId="175" fontId="82" fillId="0" borderId="0" xfId="0" applyFont="1" applyAlignment="1" applyProtection="1">
      <alignment vertical="center"/>
      <protection locked="0"/>
    </xf>
    <xf numFmtId="175" fontId="83" fillId="0" borderId="0" xfId="0" applyFont="1" applyAlignment="1" applyProtection="1">
      <alignment vertical="center"/>
      <protection locked="0"/>
    </xf>
    <xf numFmtId="175" fontId="37" fillId="47" borderId="0" xfId="0" applyFont="1" applyFill="1" applyProtection="1">
      <protection locked="0"/>
    </xf>
    <xf numFmtId="43" fontId="16" fillId="0" borderId="0" xfId="46" applyProtection="1">
      <protection locked="0"/>
    </xf>
    <xf numFmtId="2" fontId="18" fillId="0" borderId="0" xfId="0" applyNumberFormat="1" applyFont="1" applyProtection="1">
      <protection locked="0"/>
    </xf>
    <xf numFmtId="175" fontId="37" fillId="0" borderId="0" xfId="67" applyFont="1" applyAlignment="1">
      <alignment horizontal="center" vertical="center"/>
    </xf>
    <xf numFmtId="175" fontId="18" fillId="0" borderId="0" xfId="67" applyAlignment="1" applyProtection="1">
      <alignment vertical="center"/>
      <protection locked="0"/>
    </xf>
    <xf numFmtId="175" fontId="18" fillId="0" borderId="0" xfId="0" applyFont="1" applyAlignment="1">
      <alignment horizontal="center"/>
    </xf>
    <xf numFmtId="172" fontId="16" fillId="0" borderId="0" xfId="0" applyNumberFormat="1" applyFont="1"/>
    <xf numFmtId="175" fontId="42" fillId="0" borderId="0" xfId="0" applyFont="1"/>
    <xf numFmtId="3" fontId="42" fillId="0" borderId="0" xfId="0" applyNumberFormat="1" applyFont="1"/>
    <xf numFmtId="175" fontId="18" fillId="47" borderId="0" xfId="0" applyFont="1" applyFill="1" applyAlignment="1">
      <alignment horizontal="center"/>
    </xf>
    <xf numFmtId="0" fontId="16" fillId="0" borderId="0" xfId="66" applyNumberFormat="1"/>
    <xf numFmtId="175" fontId="16" fillId="47" borderId="0" xfId="66" applyFill="1" applyAlignment="1" applyProtection="1">
      <alignment horizontal="center"/>
      <protection locked="0"/>
    </xf>
    <xf numFmtId="171" fontId="16" fillId="47" borderId="0" xfId="66" applyNumberFormat="1" applyFill="1" applyAlignment="1" applyProtection="1">
      <alignment horizontal="center"/>
      <protection locked="0"/>
    </xf>
    <xf numFmtId="175" fontId="17" fillId="44" borderId="42" xfId="66" applyFont="1" applyFill="1" applyBorder="1" applyAlignment="1">
      <alignment horizontal="center"/>
    </xf>
    <xf numFmtId="175" fontId="17" fillId="0" borderId="42" xfId="0" applyFont="1" applyBorder="1" applyAlignment="1">
      <alignment wrapText="1"/>
    </xf>
    <xf numFmtId="175" fontId="17" fillId="0" borderId="47" xfId="66" applyFont="1" applyBorder="1" applyAlignment="1">
      <alignment horizontal="left"/>
    </xf>
    <xf numFmtId="0" fontId="76" fillId="0" borderId="17" xfId="520" applyFont="1" applyBorder="1"/>
    <xf numFmtId="175" fontId="80" fillId="0" borderId="0" xfId="0" quotePrefix="1" applyFont="1" applyAlignment="1">
      <alignment vertical="center"/>
    </xf>
    <xf numFmtId="175" fontId="80" fillId="0" borderId="0" xfId="0" quotePrefix="1" applyFont="1" applyProtection="1">
      <protection locked="0"/>
    </xf>
    <xf numFmtId="175" fontId="84" fillId="47" borderId="0" xfId="0" quotePrefix="1" applyFont="1" applyFill="1" applyProtection="1">
      <protection locked="0"/>
    </xf>
    <xf numFmtId="0" fontId="17" fillId="0" borderId="14" xfId="520" applyFont="1" applyBorder="1" applyAlignment="1">
      <alignment horizontal="center"/>
    </xf>
    <xf numFmtId="0" fontId="17" fillId="0" borderId="17" xfId="520" applyFont="1" applyBorder="1" applyAlignment="1">
      <alignment wrapText="1"/>
    </xf>
    <xf numFmtId="0" fontId="16" fillId="0" borderId="16" xfId="520" applyBorder="1" applyAlignment="1">
      <alignment horizontal="left" indent="2"/>
    </xf>
    <xf numFmtId="0" fontId="16" fillId="0" borderId="16" xfId="520" applyBorder="1" applyAlignment="1">
      <alignment horizontal="left" wrapText="1" indent="2"/>
    </xf>
    <xf numFmtId="0" fontId="87" fillId="0" borderId="16" xfId="520" applyFont="1" applyBorder="1"/>
    <xf numFmtId="0" fontId="57" fillId="0" borderId="17" xfId="520" applyFont="1" applyBorder="1"/>
    <xf numFmtId="175" fontId="17" fillId="47" borderId="0" xfId="0" applyFont="1" applyFill="1" applyAlignment="1" applyProtection="1">
      <alignment wrapText="1"/>
      <protection locked="0"/>
    </xf>
    <xf numFmtId="2" fontId="42" fillId="0" borderId="0" xfId="0" applyNumberFormat="1" applyFont="1" applyProtection="1">
      <protection locked="0"/>
    </xf>
    <xf numFmtId="2" fontId="16" fillId="0" borderId="0" xfId="0" applyNumberFormat="1" applyFont="1" applyProtection="1">
      <protection locked="0"/>
    </xf>
    <xf numFmtId="1" fontId="16" fillId="0" borderId="0" xfId="0" applyNumberFormat="1" applyFont="1" applyProtection="1">
      <protection locked="0"/>
    </xf>
    <xf numFmtId="1" fontId="16" fillId="0" borderId="54" xfId="0" applyNumberFormat="1" applyFont="1" applyBorder="1" applyProtection="1">
      <protection locked="0"/>
    </xf>
    <xf numFmtId="175" fontId="16" fillId="0" borderId="0" xfId="0" applyFont="1" applyAlignment="1" applyProtection="1">
      <alignment vertical="top"/>
      <protection locked="0"/>
    </xf>
    <xf numFmtId="175" fontId="88" fillId="0" borderId="0" xfId="0" applyFont="1" applyAlignment="1">
      <alignment horizontal="center" vertical="top"/>
    </xf>
    <xf numFmtId="175" fontId="88" fillId="0" borderId="53" xfId="0" applyFont="1" applyBorder="1" applyAlignment="1">
      <alignment horizontal="center" vertical="top"/>
    </xf>
    <xf numFmtId="1" fontId="59" fillId="0" borderId="54" xfId="0" applyNumberFormat="1" applyFont="1" applyBorder="1"/>
    <xf numFmtId="175" fontId="59" fillId="0" borderId="55" xfId="0" applyFont="1" applyBorder="1"/>
    <xf numFmtId="175" fontId="59" fillId="0" borderId="55" xfId="0" applyFont="1" applyBorder="1" applyProtection="1">
      <protection locked="0"/>
    </xf>
    <xf numFmtId="176" fontId="16" fillId="0" borderId="0" xfId="0" applyNumberFormat="1" applyFont="1" applyProtection="1">
      <protection locked="0"/>
    </xf>
    <xf numFmtId="0" fontId="16" fillId="0" borderId="0" xfId="0" applyNumberFormat="1" applyFont="1" applyAlignment="1" applyProtection="1">
      <alignment vertical="top"/>
      <protection locked="0"/>
    </xf>
    <xf numFmtId="0" fontId="4" fillId="0" borderId="0" xfId="888"/>
    <xf numFmtId="0" fontId="17" fillId="0" borderId="14" xfId="520" quotePrefix="1" applyFont="1" applyBorder="1" applyAlignment="1">
      <alignment horizontal="center"/>
    </xf>
    <xf numFmtId="175" fontId="69" fillId="47" borderId="33" xfId="0" applyFont="1" applyFill="1" applyBorder="1"/>
    <xf numFmtId="175" fontId="69" fillId="0" borderId="0" xfId="0" applyFont="1" applyAlignment="1">
      <alignment horizontal="left"/>
    </xf>
    <xf numFmtId="175" fontId="68" fillId="0" borderId="57" xfId="66" applyFont="1" applyBorder="1" applyAlignment="1">
      <alignment horizontal="left" wrapText="1" indent="1"/>
    </xf>
    <xf numFmtId="3" fontId="16" fillId="47" borderId="34" xfId="0" applyNumberFormat="1" applyFont="1" applyFill="1" applyBorder="1" applyAlignment="1" applyProtection="1">
      <alignment wrapText="1"/>
      <protection locked="0"/>
    </xf>
    <xf numFmtId="165" fontId="16" fillId="47" borderId="0" xfId="0" applyNumberFormat="1" applyFont="1" applyFill="1" applyProtection="1">
      <protection locked="0"/>
    </xf>
    <xf numFmtId="164" fontId="17" fillId="0" borderId="0" xfId="66" applyNumberFormat="1" applyFont="1"/>
    <xf numFmtId="3" fontId="16" fillId="0" borderId="0" xfId="0" applyNumberFormat="1" applyFont="1" applyAlignment="1">
      <alignment horizontal="left" vertical="center" wrapText="1"/>
    </xf>
    <xf numFmtId="175" fontId="37" fillId="0" borderId="13" xfId="0" applyFont="1" applyBorder="1" applyAlignment="1">
      <alignment horizontal="center" wrapText="1"/>
    </xf>
    <xf numFmtId="175" fontId="16" fillId="0" borderId="28" xfId="0" applyFont="1" applyBorder="1" applyAlignment="1">
      <alignment vertical="center"/>
    </xf>
    <xf numFmtId="2" fontId="16" fillId="0" borderId="15" xfId="0" applyNumberFormat="1" applyFont="1" applyBorder="1" applyAlignment="1">
      <alignment vertical="center"/>
    </xf>
    <xf numFmtId="3" fontId="16" fillId="52" borderId="15" xfId="0" applyNumberFormat="1" applyFont="1" applyFill="1" applyBorder="1" applyAlignment="1">
      <alignment horizontal="center" vertical="center"/>
    </xf>
    <xf numFmtId="3" fontId="16" fillId="0" borderId="15" xfId="0" applyNumberFormat="1" applyFont="1" applyBorder="1" applyAlignment="1">
      <alignment horizontal="center" vertical="center"/>
    </xf>
    <xf numFmtId="2" fontId="16" fillId="52" borderId="15" xfId="0" applyNumberFormat="1" applyFont="1" applyFill="1" applyBorder="1" applyAlignment="1">
      <alignment vertical="center"/>
    </xf>
    <xf numFmtId="2" fontId="16" fillId="0" borderId="34" xfId="0" applyNumberFormat="1" applyFont="1" applyBorder="1" applyAlignment="1">
      <alignment vertical="center"/>
    </xf>
    <xf numFmtId="175" fontId="72" fillId="0" borderId="0" xfId="67" applyFont="1" applyProtection="1">
      <protection locked="0"/>
    </xf>
    <xf numFmtId="175" fontId="72" fillId="0" borderId="0" xfId="67" quotePrefix="1" applyFont="1" applyProtection="1">
      <protection locked="0"/>
    </xf>
    <xf numFmtId="175" fontId="73" fillId="0" borderId="0" xfId="0" applyFont="1" applyAlignment="1">
      <alignment vertical="center"/>
    </xf>
    <xf numFmtId="175" fontId="71" fillId="47" borderId="0" xfId="782" applyFont="1" applyFill="1" applyAlignment="1">
      <alignment vertical="center"/>
    </xf>
    <xf numFmtId="175" fontId="64" fillId="0" borderId="0" xfId="0" applyFont="1" applyAlignment="1">
      <alignment vertical="center"/>
    </xf>
    <xf numFmtId="175" fontId="16" fillId="0" borderId="0" xfId="0" applyFont="1" applyAlignment="1">
      <alignment vertical="center"/>
    </xf>
    <xf numFmtId="2" fontId="16" fillId="0" borderId="0" xfId="0" applyNumberFormat="1" applyFont="1" applyAlignment="1">
      <alignment vertical="center"/>
    </xf>
    <xf numFmtId="3" fontId="16" fillId="0" borderId="0" xfId="0" applyNumberFormat="1" applyFont="1" applyAlignment="1">
      <alignment horizontal="center" vertical="center"/>
    </xf>
    <xf numFmtId="3" fontId="16" fillId="52" borderId="0" xfId="0" applyNumberFormat="1" applyFont="1" applyFill="1" applyAlignment="1">
      <alignment horizontal="center" vertical="center"/>
    </xf>
    <xf numFmtId="175" fontId="17" fillId="0" borderId="58" xfId="66" applyFont="1" applyBorder="1" applyAlignment="1">
      <alignment horizontal="center" wrapText="1"/>
    </xf>
    <xf numFmtId="175" fontId="69" fillId="43" borderId="42" xfId="66" applyFont="1" applyFill="1" applyBorder="1"/>
    <xf numFmtId="42" fontId="16" fillId="0" borderId="0" xfId="520" applyNumberFormat="1"/>
    <xf numFmtId="42" fontId="16" fillId="0" borderId="34" xfId="520" applyNumberFormat="1" applyBorder="1"/>
    <xf numFmtId="42" fontId="75" fillId="0" borderId="16" xfId="520" applyNumberFormat="1" applyFont="1" applyBorder="1"/>
    <xf numFmtId="42" fontId="75" fillId="0" borderId="0" xfId="520" applyNumberFormat="1" applyFont="1"/>
    <xf numFmtId="42" fontId="75" fillId="0" borderId="34" xfId="520" applyNumberFormat="1" applyFont="1" applyBorder="1"/>
    <xf numFmtId="42" fontId="75" fillId="0" borderId="14" xfId="520" applyNumberFormat="1" applyFont="1" applyBorder="1"/>
    <xf numFmtId="42" fontId="75" fillId="0" borderId="15" xfId="520" applyNumberFormat="1" applyFont="1" applyBorder="1"/>
    <xf numFmtId="42" fontId="16" fillId="0" borderId="15" xfId="520" applyNumberFormat="1" applyBorder="1"/>
    <xf numFmtId="42" fontId="16" fillId="49" borderId="17" xfId="520" applyNumberFormat="1" applyFill="1" applyBorder="1"/>
    <xf numFmtId="42" fontId="16" fillId="49" borderId="14" xfId="520" applyNumberFormat="1" applyFill="1" applyBorder="1"/>
    <xf numFmtId="42" fontId="75" fillId="45" borderId="0" xfId="520" applyNumberFormat="1" applyFont="1" applyFill="1"/>
    <xf numFmtId="42" fontId="16" fillId="0" borderId="13" xfId="520" applyNumberFormat="1" applyBorder="1"/>
    <xf numFmtId="42" fontId="16" fillId="0" borderId="0" xfId="66" applyNumberFormat="1" applyProtection="1">
      <protection locked="0"/>
    </xf>
    <xf numFmtId="42" fontId="16" fillId="0" borderId="16" xfId="66" applyNumberFormat="1" applyBorder="1" applyAlignment="1" applyProtection="1">
      <alignment horizontal="center"/>
      <protection locked="0"/>
    </xf>
    <xf numFmtId="42" fontId="16" fillId="0" borderId="0" xfId="66" applyNumberFormat="1" applyAlignment="1" applyProtection="1">
      <alignment horizontal="right"/>
      <protection locked="0"/>
    </xf>
    <xf numFmtId="175" fontId="17" fillId="47" borderId="0" xfId="66" applyFont="1" applyFill="1" applyAlignment="1" applyProtection="1">
      <alignment horizontal="left"/>
      <protection locked="0"/>
    </xf>
    <xf numFmtId="0" fontId="6" fillId="0" borderId="0" xfId="597"/>
    <xf numFmtId="43" fontId="0" fillId="50" borderId="0" xfId="46" applyFont="1" applyFill="1" applyAlignment="1">
      <alignment horizontal="left"/>
    </xf>
    <xf numFmtId="175" fontId="127" fillId="0" borderId="0" xfId="66" applyFont="1" applyAlignment="1">
      <alignment wrapText="1"/>
    </xf>
    <xf numFmtId="175" fontId="72" fillId="47" borderId="0" xfId="0" quotePrefix="1" applyFont="1" applyFill="1" applyProtection="1">
      <protection locked="0"/>
    </xf>
    <xf numFmtId="175" fontId="128" fillId="52" borderId="0" xfId="0" applyFont="1" applyFill="1"/>
    <xf numFmtId="175" fontId="16" fillId="0" borderId="13" xfId="0" applyFont="1" applyBorder="1" applyAlignment="1">
      <alignment vertical="center"/>
    </xf>
    <xf numFmtId="3" fontId="16" fillId="52" borderId="34" xfId="0" applyNumberFormat="1" applyFont="1" applyFill="1" applyBorder="1" applyAlignment="1">
      <alignment horizontal="center" vertical="center"/>
    </xf>
    <xf numFmtId="3" fontId="16" fillId="0" borderId="34" xfId="0" applyNumberFormat="1" applyFont="1" applyBorder="1" applyAlignment="1">
      <alignment horizontal="center" vertical="center"/>
    </xf>
    <xf numFmtId="175" fontId="59" fillId="0" borderId="28" xfId="0" applyFont="1" applyBorder="1" applyAlignment="1">
      <alignment vertical="center"/>
    </xf>
    <xf numFmtId="2" fontId="59" fillId="0" borderId="15" xfId="0" applyNumberFormat="1" applyFont="1" applyBorder="1" applyAlignment="1">
      <alignment vertical="center"/>
    </xf>
    <xf numFmtId="0" fontId="130" fillId="0" borderId="0" xfId="520" applyFont="1"/>
    <xf numFmtId="6" fontId="130" fillId="0" borderId="0" xfId="520" applyNumberFormat="1" applyFont="1"/>
    <xf numFmtId="168" fontId="130" fillId="0" borderId="0" xfId="52" applyNumberFormat="1" applyFont="1"/>
    <xf numFmtId="0" fontId="64" fillId="0" borderId="0" xfId="66" applyNumberFormat="1" applyFont="1" applyAlignment="1">
      <alignment horizontal="left"/>
    </xf>
    <xf numFmtId="164" fontId="71" fillId="0" borderId="0" xfId="66" applyNumberFormat="1" applyFont="1"/>
    <xf numFmtId="175" fontId="64" fillId="47" borderId="0" xfId="66" applyFont="1" applyFill="1"/>
    <xf numFmtId="175" fontId="17" fillId="47" borderId="48" xfId="66" applyFont="1" applyFill="1" applyBorder="1" applyAlignment="1">
      <alignment wrapText="1"/>
    </xf>
    <xf numFmtId="164" fontId="16" fillId="47" borderId="0" xfId="66" applyNumberFormat="1" applyFill="1"/>
    <xf numFmtId="6" fontId="16" fillId="0" borderId="80" xfId="66" applyNumberFormat="1" applyBorder="1" applyProtection="1">
      <protection locked="0"/>
    </xf>
    <xf numFmtId="6" fontId="16" fillId="0" borderId="13" xfId="66" applyNumberFormat="1" applyBorder="1" applyAlignment="1">
      <alignment horizontal="right"/>
    </xf>
    <xf numFmtId="167" fontId="16" fillId="0" borderId="13" xfId="66" applyNumberFormat="1" applyBorder="1" applyAlignment="1">
      <alignment horizontal="right"/>
    </xf>
    <xf numFmtId="167" fontId="16" fillId="0" borderId="13" xfId="66" applyNumberFormat="1" applyBorder="1"/>
    <xf numFmtId="167" fontId="16" fillId="47" borderId="13" xfId="66" applyNumberFormat="1" applyFill="1" applyBorder="1" applyAlignment="1">
      <alignment horizontal="right"/>
    </xf>
    <xf numFmtId="42" fontId="76" fillId="0" borderId="0" xfId="520" applyNumberFormat="1" applyFont="1"/>
    <xf numFmtId="175" fontId="17" fillId="0" borderId="47" xfId="66" applyFont="1" applyBorder="1"/>
    <xf numFmtId="43" fontId="16" fillId="50" borderId="0" xfId="46" applyFill="1" applyAlignment="1">
      <alignment horizontal="left"/>
    </xf>
    <xf numFmtId="175" fontId="127" fillId="47" borderId="0" xfId="0" quotePrefix="1" applyFont="1" applyFill="1" applyAlignment="1">
      <alignment vertical="top" wrapText="1"/>
    </xf>
    <xf numFmtId="42" fontId="16" fillId="47" borderId="16" xfId="66" applyNumberFormat="1" applyFill="1" applyBorder="1" applyAlignment="1">
      <alignment horizontal="right"/>
    </xf>
    <xf numFmtId="41" fontId="16" fillId="0" borderId="0" xfId="66" applyNumberFormat="1" applyProtection="1">
      <protection locked="0"/>
    </xf>
    <xf numFmtId="177" fontId="16" fillId="0" borderId="0" xfId="66" applyNumberFormat="1" applyProtection="1">
      <protection locked="0"/>
    </xf>
    <xf numFmtId="178" fontId="69" fillId="0" borderId="16" xfId="66" applyNumberFormat="1" applyFont="1" applyBorder="1"/>
    <xf numFmtId="178" fontId="69" fillId="0" borderId="0" xfId="66" applyNumberFormat="1" applyFont="1"/>
    <xf numFmtId="178" fontId="68" fillId="43" borderId="14" xfId="66" applyNumberFormat="1" applyFont="1" applyFill="1" applyBorder="1"/>
    <xf numFmtId="178" fontId="68" fillId="43" borderId="35" xfId="66" applyNumberFormat="1" applyFont="1" applyFill="1" applyBorder="1"/>
    <xf numFmtId="178" fontId="69" fillId="0" borderId="43" xfId="66" applyNumberFormat="1" applyFont="1" applyBorder="1"/>
    <xf numFmtId="178" fontId="16" fillId="0" borderId="0" xfId="66" applyNumberFormat="1"/>
    <xf numFmtId="178" fontId="16" fillId="0" borderId="43" xfId="66" applyNumberFormat="1" applyBorder="1"/>
    <xf numFmtId="178" fontId="16" fillId="0" borderId="0" xfId="66" applyNumberFormat="1" applyProtection="1">
      <protection locked="0"/>
    </xf>
    <xf numFmtId="178" fontId="17" fillId="0" borderId="38" xfId="66" applyNumberFormat="1" applyFont="1" applyBorder="1"/>
    <xf numFmtId="178" fontId="17" fillId="0" borderId="48" xfId="66" applyNumberFormat="1" applyFont="1" applyBorder="1"/>
    <xf numFmtId="178" fontId="17" fillId="47" borderId="48" xfId="66" applyNumberFormat="1" applyFont="1" applyFill="1" applyBorder="1"/>
    <xf numFmtId="178" fontId="68" fillId="43" borderId="17" xfId="66" applyNumberFormat="1" applyFont="1" applyFill="1" applyBorder="1"/>
    <xf numFmtId="178" fontId="68" fillId="43" borderId="41" xfId="66" applyNumberFormat="1" applyFont="1" applyFill="1" applyBorder="1"/>
    <xf numFmtId="42" fontId="16" fillId="0" borderId="16" xfId="66" applyNumberFormat="1" applyBorder="1"/>
    <xf numFmtId="42" fontId="16" fillId="0" borderId="13" xfId="66" applyNumberFormat="1" applyBorder="1"/>
    <xf numFmtId="42" fontId="16" fillId="0" borderId="0" xfId="66" applyNumberFormat="1"/>
    <xf numFmtId="42" fontId="16" fillId="47" borderId="13" xfId="66" applyNumberFormat="1" applyFill="1" applyBorder="1"/>
    <xf numFmtId="42" fontId="16" fillId="0" borderId="17" xfId="66" applyNumberFormat="1" applyBorder="1"/>
    <xf numFmtId="42" fontId="16" fillId="0" borderId="14" xfId="66" applyNumberFormat="1" applyBorder="1"/>
    <xf numFmtId="42" fontId="16" fillId="0" borderId="14" xfId="66" applyNumberFormat="1" applyBorder="1" applyProtection="1">
      <protection locked="0"/>
    </xf>
    <xf numFmtId="42" fontId="16" fillId="47" borderId="13" xfId="66" applyNumberFormat="1" applyFill="1" applyBorder="1" applyProtection="1">
      <protection locked="0"/>
    </xf>
    <xf numFmtId="42" fontId="16" fillId="0" borderId="13" xfId="66" applyNumberFormat="1" applyBorder="1" applyProtection="1">
      <protection locked="0"/>
    </xf>
    <xf numFmtId="42" fontId="16" fillId="0" borderId="28" xfId="66" applyNumberFormat="1" applyBorder="1" applyProtection="1">
      <protection locked="0"/>
    </xf>
    <xf numFmtId="3" fontId="48" fillId="47" borderId="16" xfId="0" applyNumberFormat="1" applyFont="1" applyFill="1" applyBorder="1" applyAlignment="1" applyProtection="1">
      <alignment horizontal="center"/>
      <protection locked="0"/>
    </xf>
    <xf numFmtId="43" fontId="16" fillId="50" borderId="0" xfId="46" quotePrefix="1" applyFill="1" applyAlignment="1">
      <alignment horizontal="right"/>
    </xf>
    <xf numFmtId="175" fontId="132" fillId="0" borderId="0" xfId="0" quotePrefix="1" applyFont="1" applyAlignment="1">
      <alignment vertical="center"/>
    </xf>
    <xf numFmtId="175" fontId="64" fillId="47" borderId="0" xfId="0" quotePrefix="1" applyFont="1" applyFill="1" applyAlignment="1">
      <alignment horizontal="left" vertical="top" wrapText="1"/>
    </xf>
    <xf numFmtId="175" fontId="64" fillId="0" borderId="0" xfId="0" quotePrefix="1" applyFont="1" applyProtection="1">
      <protection locked="0"/>
    </xf>
    <xf numFmtId="175" fontId="133" fillId="47" borderId="0" xfId="0" applyFont="1" applyFill="1" applyProtection="1">
      <protection locked="0"/>
    </xf>
    <xf numFmtId="175" fontId="127" fillId="47" borderId="0" xfId="0" applyFont="1" applyFill="1" applyAlignment="1">
      <alignment vertical="top" wrapText="1"/>
    </xf>
    <xf numFmtId="168" fontId="16" fillId="0" borderId="0" xfId="66" applyNumberFormat="1" applyProtection="1">
      <protection locked="0"/>
    </xf>
    <xf numFmtId="44" fontId="69" fillId="43" borderId="0" xfId="5685" applyFont="1" applyFill="1"/>
    <xf numFmtId="175" fontId="68" fillId="0" borderId="0" xfId="66" applyFont="1" applyAlignment="1">
      <alignment horizontal="center"/>
    </xf>
    <xf numFmtId="175" fontId="68" fillId="0" borderId="0" xfId="66" applyFont="1"/>
    <xf numFmtId="44" fontId="68" fillId="0" borderId="0" xfId="50" applyFont="1" applyFill="1" applyAlignment="1">
      <alignment horizontal="center"/>
    </xf>
    <xf numFmtId="175" fontId="68" fillId="0" borderId="43" xfId="66" applyFont="1" applyBorder="1" applyAlignment="1">
      <alignment horizontal="center" wrapText="1"/>
    </xf>
    <xf numFmtId="178" fontId="68" fillId="0" borderId="14" xfId="66" applyNumberFormat="1" applyFont="1" applyBorder="1"/>
    <xf numFmtId="178" fontId="68" fillId="0" borderId="35" xfId="66" applyNumberFormat="1" applyFont="1" applyBorder="1"/>
    <xf numFmtId="178" fontId="68" fillId="0" borderId="48" xfId="66" applyNumberFormat="1" applyFont="1" applyBorder="1"/>
    <xf numFmtId="175" fontId="0" fillId="0" borderId="0" xfId="66" applyFont="1"/>
    <xf numFmtId="175" fontId="0" fillId="47" borderId="0" xfId="66" applyFont="1" applyFill="1"/>
    <xf numFmtId="175" fontId="0" fillId="0" borderId="0" xfId="66" applyFont="1" applyAlignment="1">
      <alignment horizontal="center"/>
    </xf>
    <xf numFmtId="175" fontId="0" fillId="0" borderId="92" xfId="66" applyFont="1" applyBorder="1"/>
    <xf numFmtId="175" fontId="0" fillId="0" borderId="43" xfId="66" applyFont="1" applyBorder="1"/>
    <xf numFmtId="178" fontId="0" fillId="0" borderId="0" xfId="66" applyNumberFormat="1" applyFont="1"/>
    <xf numFmtId="178" fontId="0" fillId="0" borderId="43" xfId="66" applyNumberFormat="1" applyFont="1" applyBorder="1"/>
    <xf numFmtId="164" fontId="0" fillId="0" borderId="0" xfId="66" applyNumberFormat="1" applyFont="1"/>
    <xf numFmtId="178" fontId="0" fillId="0" borderId="93" xfId="66" applyNumberFormat="1" applyFont="1" applyBorder="1"/>
    <xf numFmtId="0" fontId="0" fillId="0" borderId="0" xfId="66" applyNumberFormat="1" applyFont="1"/>
    <xf numFmtId="178" fontId="0" fillId="0" borderId="0" xfId="66" applyNumberFormat="1" applyFont="1" applyProtection="1">
      <protection locked="0"/>
    </xf>
    <xf numFmtId="178" fontId="0" fillId="0" borderId="94" xfId="66" applyNumberFormat="1" applyFont="1" applyBorder="1"/>
    <xf numFmtId="175" fontId="17" fillId="0" borderId="92" xfId="66" applyFont="1" applyBorder="1" applyAlignment="1">
      <alignment horizontal="left" indent="1"/>
    </xf>
    <xf numFmtId="178" fontId="0" fillId="0" borderId="92" xfId="66" applyNumberFormat="1" applyFont="1" applyBorder="1"/>
    <xf numFmtId="164" fontId="0" fillId="0" borderId="0" xfId="66" applyNumberFormat="1" applyFont="1" applyAlignment="1">
      <alignment horizontal="right"/>
    </xf>
    <xf numFmtId="164" fontId="0" fillId="44" borderId="0" xfId="66" applyNumberFormat="1" applyFont="1" applyFill="1"/>
    <xf numFmtId="164" fontId="0" fillId="47" borderId="0" xfId="66" applyNumberFormat="1" applyFont="1" applyFill="1"/>
    <xf numFmtId="175" fontId="71" fillId="47" borderId="0" xfId="66" quotePrefix="1" applyFont="1" applyFill="1" applyAlignment="1" applyProtection="1">
      <alignment horizontal="left"/>
      <protection locked="0"/>
    </xf>
    <xf numFmtId="175" fontId="0" fillId="0" borderId="0" xfId="0" applyProtection="1">
      <protection locked="0"/>
    </xf>
    <xf numFmtId="175" fontId="64" fillId="47" borderId="0" xfId="0" quotePrefix="1" applyFont="1" applyFill="1" applyProtection="1">
      <protection locked="0"/>
    </xf>
    <xf numFmtId="1" fontId="16" fillId="47" borderId="0" xfId="66" quotePrefix="1" applyNumberFormat="1" applyFill="1" applyAlignment="1" applyProtection="1">
      <alignment horizontal="center"/>
      <protection locked="0"/>
    </xf>
    <xf numFmtId="14" fontId="16" fillId="0" borderId="0" xfId="0" applyNumberFormat="1" applyFont="1"/>
    <xf numFmtId="16" fontId="16" fillId="0" borderId="0" xfId="0" applyNumberFormat="1" applyFont="1" applyAlignment="1">
      <alignment horizontal="right"/>
    </xf>
    <xf numFmtId="1" fontId="16" fillId="47" borderId="0" xfId="66" applyNumberFormat="1" applyFill="1" applyAlignment="1" applyProtection="1">
      <alignment horizontal="center"/>
      <protection locked="0"/>
    </xf>
    <xf numFmtId="43" fontId="88" fillId="0" borderId="93" xfId="0" applyNumberFormat="1" applyFont="1" applyBorder="1" applyAlignment="1" applyProtection="1">
      <alignment horizontal="center" vertical="top" wrapText="1"/>
      <protection locked="0"/>
    </xf>
    <xf numFmtId="43" fontId="88" fillId="0" borderId="91" xfId="0" applyNumberFormat="1" applyFont="1" applyBorder="1" applyAlignment="1" applyProtection="1">
      <alignment horizontal="center" vertical="top" wrapText="1"/>
      <protection locked="0"/>
    </xf>
    <xf numFmtId="175" fontId="17" fillId="0" borderId="91" xfId="0" applyFont="1" applyBorder="1" applyAlignment="1" applyProtection="1">
      <alignment horizontal="center"/>
      <protection locked="0"/>
    </xf>
    <xf numFmtId="175" fontId="17" fillId="0" borderId="91" xfId="0" quotePrefix="1" applyFont="1" applyBorder="1" applyAlignment="1">
      <alignment horizontal="center"/>
    </xf>
    <xf numFmtId="175" fontId="17" fillId="0" borderId="91" xfId="0" applyFont="1" applyBorder="1" applyProtection="1">
      <protection locked="0"/>
    </xf>
    <xf numFmtId="175" fontId="17" fillId="47" borderId="93" xfId="0" applyFont="1" applyFill="1" applyBorder="1" applyAlignment="1" applyProtection="1">
      <alignment horizontal="center" wrapText="1"/>
      <protection locked="0"/>
    </xf>
    <xf numFmtId="175" fontId="17" fillId="0" borderId="91" xfId="0" applyFont="1" applyBorder="1" applyAlignment="1" applyProtection="1">
      <alignment horizontal="center" wrapText="1"/>
      <protection locked="0"/>
    </xf>
    <xf numFmtId="175" fontId="17" fillId="0" borderId="95" xfId="0" applyFont="1" applyBorder="1" applyAlignment="1" applyProtection="1">
      <alignment horizontal="center" wrapText="1"/>
      <protection locked="0"/>
    </xf>
    <xf numFmtId="175" fontId="17" fillId="0" borderId="93" xfId="0" applyFont="1" applyBorder="1" applyAlignment="1" applyProtection="1">
      <alignment horizontal="center" wrapText="1"/>
      <protection locked="0"/>
    </xf>
    <xf numFmtId="175" fontId="17" fillId="0" borderId="91" xfId="0" applyFont="1" applyBorder="1" applyAlignment="1" applyProtection="1">
      <alignment horizontal="left"/>
      <protection locked="0"/>
    </xf>
    <xf numFmtId="175" fontId="17" fillId="0" borderId="93" xfId="0" applyFont="1" applyBorder="1" applyAlignment="1">
      <alignment horizontal="center" wrapText="1"/>
    </xf>
    <xf numFmtId="175" fontId="17" fillId="0" borderId="93" xfId="0" applyFont="1" applyBorder="1" applyAlignment="1">
      <alignment horizontal="center"/>
    </xf>
    <xf numFmtId="175" fontId="17" fillId="0" borderId="96" xfId="0" applyFont="1" applyBorder="1" applyAlignment="1">
      <alignment horizontal="center" wrapText="1"/>
    </xf>
    <xf numFmtId="175" fontId="17" fillId="0" borderId="95" xfId="0" applyFont="1" applyBorder="1" applyAlignment="1">
      <alignment horizontal="center"/>
    </xf>
    <xf numFmtId="175" fontId="17" fillId="0" borderId="95" xfId="0" applyFont="1" applyBorder="1" applyAlignment="1" applyProtection="1">
      <alignment horizontal="center"/>
      <protection locked="0"/>
    </xf>
    <xf numFmtId="3" fontId="17" fillId="0" borderId="94" xfId="0" applyNumberFormat="1" applyFont="1" applyBorder="1" applyAlignment="1">
      <alignment horizontal="center" wrapText="1"/>
    </xf>
    <xf numFmtId="3" fontId="17" fillId="0" borderId="96" xfId="0" applyNumberFormat="1" applyFont="1" applyBorder="1" applyAlignment="1">
      <alignment horizontal="center" wrapText="1"/>
    </xf>
    <xf numFmtId="2" fontId="17" fillId="0" borderId="93" xfId="0" applyNumberFormat="1" applyFont="1" applyBorder="1" applyAlignment="1">
      <alignment horizontal="center" wrapText="1"/>
    </xf>
    <xf numFmtId="3" fontId="17" fillId="0" borderId="93" xfId="0" applyNumberFormat="1" applyFont="1" applyBorder="1" applyAlignment="1">
      <alignment horizontal="center" wrapText="1"/>
    </xf>
    <xf numFmtId="3" fontId="17" fillId="47" borderId="93" xfId="0" applyNumberFormat="1" applyFont="1" applyFill="1" applyBorder="1" applyAlignment="1">
      <alignment horizontal="center" wrapText="1"/>
    </xf>
    <xf numFmtId="3" fontId="17" fillId="0" borderId="96" xfId="0" applyNumberFormat="1" applyFont="1" applyBorder="1" applyAlignment="1" applyProtection="1">
      <alignment horizontal="center" wrapText="1"/>
      <protection locked="0"/>
    </xf>
    <xf numFmtId="3" fontId="56" fillId="0" borderId="97" xfId="0" applyNumberFormat="1" applyFont="1" applyBorder="1" applyAlignment="1">
      <alignment horizontal="center"/>
    </xf>
    <xf numFmtId="43" fontId="16" fillId="50" borderId="98" xfId="46" quotePrefix="1" applyFill="1" applyBorder="1" applyAlignment="1">
      <alignment horizontal="left"/>
    </xf>
    <xf numFmtId="43" fontId="16" fillId="50" borderId="94" xfId="46" quotePrefix="1" applyFill="1" applyBorder="1" applyAlignment="1">
      <alignment horizontal="left"/>
    </xf>
    <xf numFmtId="3" fontId="16" fillId="0" borderId="98" xfId="0" applyNumberFormat="1" applyFont="1" applyBorder="1" applyAlignment="1" applyProtection="1">
      <alignment wrapText="1"/>
      <protection locked="0"/>
    </xf>
    <xf numFmtId="3" fontId="48" fillId="0" borderId="96" xfId="0" applyNumberFormat="1" applyFont="1" applyBorder="1" applyAlignment="1" applyProtection="1">
      <alignment horizontal="center"/>
      <protection locked="0"/>
    </xf>
    <xf numFmtId="175" fontId="0" fillId="0" borderId="98" xfId="0" applyBorder="1"/>
    <xf numFmtId="2" fontId="16" fillId="0" borderId="95" xfId="0" applyNumberFormat="1" applyFont="1" applyBorder="1" applyAlignment="1">
      <alignment vertical="center"/>
    </xf>
    <xf numFmtId="3" fontId="16" fillId="52" borderId="95" xfId="0" applyNumberFormat="1" applyFont="1" applyFill="1" applyBorder="1" applyAlignment="1">
      <alignment horizontal="center" vertical="center"/>
    </xf>
    <xf numFmtId="2" fontId="16" fillId="0" borderId="98" xfId="0" applyNumberFormat="1" applyFont="1" applyBorder="1" applyAlignment="1">
      <alignment vertical="center"/>
    </xf>
    <xf numFmtId="175" fontId="0" fillId="0" borderId="99" xfId="0" applyBorder="1"/>
    <xf numFmtId="175" fontId="37" fillId="0" borderId="99" xfId="0" applyFont="1" applyBorder="1" applyAlignment="1">
      <alignment horizontal="center" wrapText="1"/>
    </xf>
    <xf numFmtId="3" fontId="16" fillId="0" borderId="95" xfId="0" applyNumberFormat="1" applyFont="1" applyBorder="1" applyAlignment="1">
      <alignment horizontal="center" vertical="center"/>
    </xf>
    <xf numFmtId="2" fontId="59" fillId="0" borderId="95" xfId="0" applyNumberFormat="1" applyFont="1" applyBorder="1" applyAlignment="1">
      <alignment vertical="center"/>
    </xf>
    <xf numFmtId="3" fontId="16" fillId="0" borderId="99" xfId="0" applyNumberFormat="1" applyFont="1" applyBorder="1" applyAlignment="1">
      <alignment horizontal="left" vertical="center" wrapText="1"/>
    </xf>
    <xf numFmtId="175" fontId="37" fillId="0" borderId="96" xfId="0" applyFont="1" applyBorder="1" applyProtection="1">
      <protection locked="0"/>
    </xf>
    <xf numFmtId="172" fontId="37" fillId="0" borderId="96" xfId="0" quotePrefix="1" applyNumberFormat="1" applyFont="1" applyBorder="1" applyAlignment="1">
      <alignment horizontal="center"/>
    </xf>
    <xf numFmtId="172" fontId="37" fillId="0" borderId="96" xfId="0" applyNumberFormat="1" applyFont="1" applyBorder="1"/>
    <xf numFmtId="175" fontId="37" fillId="0" borderId="96" xfId="0" applyFont="1" applyBorder="1"/>
    <xf numFmtId="166" fontId="37" fillId="0" borderId="96" xfId="0" applyNumberFormat="1" applyFont="1" applyBorder="1"/>
    <xf numFmtId="175" fontId="37" fillId="0" borderId="96" xfId="0" applyFont="1" applyBorder="1" applyAlignment="1" applyProtection="1">
      <alignment horizontal="center"/>
      <protection locked="0"/>
    </xf>
    <xf numFmtId="175" fontId="37" fillId="0" borderId="96" xfId="0" applyFont="1" applyBorder="1" applyAlignment="1">
      <alignment horizontal="center"/>
    </xf>
    <xf numFmtId="166" fontId="37" fillId="0" borderId="96" xfId="0" applyNumberFormat="1" applyFont="1" applyBorder="1" applyAlignment="1">
      <alignment horizontal="center"/>
    </xf>
    <xf numFmtId="175" fontId="37" fillId="0" borderId="97" xfId="0" applyFont="1" applyBorder="1" applyProtection="1">
      <protection locked="0"/>
    </xf>
    <xf numFmtId="175" fontId="37" fillId="0" borderId="94" xfId="0" applyFont="1" applyBorder="1"/>
    <xf numFmtId="38" fontId="18" fillId="0" borderId="94" xfId="0" applyNumberFormat="1" applyFont="1" applyBorder="1"/>
    <xf numFmtId="165" fontId="37" fillId="0" borderId="94" xfId="0" applyNumberFormat="1" applyFont="1" applyBorder="1"/>
    <xf numFmtId="166" fontId="18" fillId="0" borderId="94" xfId="0" applyNumberFormat="1" applyFont="1" applyBorder="1"/>
    <xf numFmtId="166" fontId="37" fillId="0" borderId="94" xfId="0" applyNumberFormat="1" applyFont="1" applyBorder="1"/>
    <xf numFmtId="175" fontId="18" fillId="0" borderId="96" xfId="0" applyFont="1" applyBorder="1"/>
    <xf numFmtId="170" fontId="18" fillId="0" borderId="93" xfId="46" applyNumberFormat="1" applyFont="1" applyBorder="1" applyAlignment="1">
      <alignment horizontal="right"/>
    </xf>
    <xf numFmtId="169" fontId="37" fillId="0" borderId="93" xfId="46" applyNumberFormat="1" applyFont="1" applyBorder="1" applyAlignment="1">
      <alignment horizontal="right"/>
    </xf>
    <xf numFmtId="175" fontId="18" fillId="0" borderId="93" xfId="0" applyFont="1" applyBorder="1"/>
    <xf numFmtId="166" fontId="18" fillId="0" borderId="93" xfId="46" applyNumberFormat="1" applyFont="1" applyBorder="1" applyAlignment="1">
      <alignment horizontal="right"/>
    </xf>
    <xf numFmtId="166" fontId="18" fillId="0" borderId="93" xfId="0" applyNumberFormat="1" applyFont="1" applyBorder="1"/>
    <xf numFmtId="166" fontId="18" fillId="0" borderId="95" xfId="0" applyNumberFormat="1" applyFont="1" applyBorder="1"/>
    <xf numFmtId="172" fontId="37" fillId="0" borderId="96" xfId="0" applyNumberFormat="1" applyFont="1" applyBorder="1" applyAlignment="1">
      <alignment horizontal="right"/>
    </xf>
    <xf numFmtId="172" fontId="37" fillId="0" borderId="96" xfId="0" applyNumberFormat="1" applyFont="1" applyBorder="1" applyAlignment="1">
      <alignment horizontal="center"/>
    </xf>
    <xf numFmtId="166" fontId="37" fillId="0" borderId="96" xfId="0" quotePrefix="1" applyNumberFormat="1" applyFont="1" applyBorder="1" applyAlignment="1">
      <alignment horizontal="center"/>
    </xf>
    <xf numFmtId="166" fontId="18" fillId="0" borderId="96" xfId="0" applyNumberFormat="1" applyFont="1" applyBorder="1"/>
    <xf numFmtId="166" fontId="37" fillId="0" borderId="93" xfId="46" applyNumberFormat="1" applyFont="1" applyBorder="1" applyAlignment="1">
      <alignment horizontal="right"/>
    </xf>
    <xf numFmtId="166" fontId="37" fillId="0" borderId="96" xfId="0" applyNumberFormat="1" applyFont="1" applyBorder="1" applyAlignment="1">
      <alignment horizontal="right"/>
    </xf>
    <xf numFmtId="175" fontId="37" fillId="48" borderId="96" xfId="0" applyFont="1" applyFill="1" applyBorder="1" applyAlignment="1" applyProtection="1">
      <alignment horizontal="center" vertical="center"/>
      <protection locked="0"/>
    </xf>
    <xf numFmtId="175" fontId="37" fillId="0" borderId="99" xfId="0" applyFont="1" applyBorder="1" applyAlignment="1" applyProtection="1">
      <alignment horizontal="center" wrapText="1"/>
      <protection locked="0"/>
    </xf>
    <xf numFmtId="175" fontId="18" fillId="0" borderId="96" xfId="0" applyFont="1" applyBorder="1" applyAlignment="1" applyProtection="1">
      <alignment horizontal="left"/>
      <protection locked="0"/>
    </xf>
    <xf numFmtId="175" fontId="37" fillId="0" borderId="96" xfId="0" applyFont="1" applyBorder="1" applyAlignment="1" applyProtection="1">
      <alignment horizontal="right"/>
      <protection locked="0"/>
    </xf>
    <xf numFmtId="0" fontId="77" fillId="49" borderId="93" xfId="520" applyFont="1" applyFill="1" applyBorder="1"/>
    <xf numFmtId="0" fontId="57" fillId="49" borderId="93" xfId="520" applyFont="1" applyFill="1" applyBorder="1"/>
    <xf numFmtId="0" fontId="75" fillId="0" borderId="94" xfId="520" applyFont="1" applyBorder="1" applyAlignment="1">
      <alignment horizontal="center" vertical="center"/>
    </xf>
    <xf numFmtId="0" fontId="17" fillId="0" borderId="93" xfId="520" applyFont="1" applyBorder="1" applyAlignment="1">
      <alignment horizontal="center"/>
    </xf>
    <xf numFmtId="42" fontId="16" fillId="0" borderId="99" xfId="520" applyNumberFormat="1" applyBorder="1"/>
    <xf numFmtId="42" fontId="16" fillId="0" borderId="98" xfId="520" applyNumberFormat="1" applyBorder="1"/>
    <xf numFmtId="0" fontId="57" fillId="49" borderId="96" xfId="520" applyFont="1" applyFill="1" applyBorder="1"/>
    <xf numFmtId="42" fontId="16" fillId="49" borderId="93" xfId="520" applyNumberFormat="1" applyFill="1" applyBorder="1"/>
    <xf numFmtId="42" fontId="16" fillId="49" borderId="95" xfId="520" applyNumberFormat="1" applyFill="1" applyBorder="1"/>
    <xf numFmtId="42" fontId="75" fillId="49" borderId="93" xfId="520" applyNumberFormat="1" applyFont="1" applyFill="1" applyBorder="1"/>
    <xf numFmtId="42" fontId="75" fillId="49" borderId="95" xfId="520" applyNumberFormat="1" applyFont="1" applyFill="1" applyBorder="1"/>
    <xf numFmtId="0" fontId="76" fillId="0" borderId="97" xfId="520" applyFont="1" applyBorder="1"/>
    <xf numFmtId="42" fontId="75" fillId="0" borderId="97" xfId="520" applyNumberFormat="1" applyFont="1" applyBorder="1"/>
    <xf numFmtId="42" fontId="75" fillId="0" borderId="94" xfId="520" applyNumberFormat="1" applyFont="1" applyBorder="1"/>
    <xf numFmtId="42" fontId="75" fillId="0" borderId="98" xfId="520" applyNumberFormat="1" applyFont="1" applyBorder="1"/>
    <xf numFmtId="175" fontId="16" fillId="0" borderId="93" xfId="66" applyBorder="1" applyProtection="1">
      <protection locked="0"/>
    </xf>
    <xf numFmtId="175" fontId="16" fillId="0" borderId="95" xfId="66" applyBorder="1" applyProtection="1">
      <protection locked="0"/>
    </xf>
    <xf numFmtId="175" fontId="16" fillId="0" borderId="100" xfId="66" applyBorder="1" applyProtection="1">
      <protection locked="0"/>
    </xf>
    <xf numFmtId="175" fontId="17" fillId="0" borderId="96" xfId="66" applyFont="1" applyBorder="1" applyAlignment="1" applyProtection="1">
      <alignment horizontal="center"/>
      <protection locked="0"/>
    </xf>
    <xf numFmtId="175" fontId="17" fillId="0" borderId="96" xfId="66" applyFont="1" applyBorder="1" applyAlignment="1" applyProtection="1">
      <alignment horizontal="right"/>
      <protection locked="0"/>
    </xf>
    <xf numFmtId="6" fontId="16" fillId="0" borderId="97" xfId="66" applyNumberFormat="1" applyBorder="1" applyAlignment="1">
      <alignment horizontal="right"/>
    </xf>
    <xf numFmtId="6" fontId="16" fillId="0" borderId="94" xfId="66" applyNumberFormat="1" applyBorder="1" applyProtection="1">
      <protection locked="0"/>
    </xf>
    <xf numFmtId="175" fontId="17" fillId="0" borderId="96" xfId="66" applyFont="1" applyBorder="1"/>
    <xf numFmtId="42" fontId="16" fillId="0" borderId="96" xfId="66" applyNumberFormat="1" applyBorder="1"/>
    <xf numFmtId="42" fontId="16" fillId="0" borderId="93" xfId="66" applyNumberFormat="1" applyBorder="1"/>
    <xf numFmtId="42" fontId="16" fillId="47" borderId="99" xfId="66" applyNumberFormat="1" applyFill="1" applyBorder="1"/>
    <xf numFmtId="175" fontId="68" fillId="43" borderId="93" xfId="66" applyFont="1" applyFill="1" applyBorder="1" applyAlignment="1">
      <alignment horizontal="right"/>
    </xf>
    <xf numFmtId="44" fontId="68" fillId="43" borderId="93" xfId="50" applyFont="1" applyFill="1" applyBorder="1" applyAlignment="1">
      <alignment horizontal="right"/>
    </xf>
    <xf numFmtId="164" fontId="69" fillId="0" borderId="94" xfId="66" applyNumberFormat="1" applyFont="1" applyBorder="1"/>
    <xf numFmtId="178" fontId="16" fillId="0" borderId="93" xfId="66" applyNumberFormat="1" applyBorder="1"/>
    <xf numFmtId="178" fontId="16" fillId="0" borderId="94" xfId="66" applyNumberFormat="1" applyBorder="1"/>
    <xf numFmtId="175" fontId="17" fillId="0" borderId="101" xfId="66" applyFont="1" applyBorder="1" applyAlignment="1">
      <alignment horizontal="left" indent="1"/>
    </xf>
    <xf numFmtId="178" fontId="16" fillId="0" borderId="92" xfId="66" applyNumberFormat="1" applyBorder="1"/>
    <xf numFmtId="175" fontId="16" fillId="0" borderId="92" xfId="66" applyBorder="1"/>
    <xf numFmtId="0" fontId="1" fillId="0" borderId="0" xfId="597" applyFont="1"/>
    <xf numFmtId="171" fontId="17" fillId="47" borderId="0" xfId="0" quotePrefix="1" applyNumberFormat="1" applyFont="1" applyFill="1" applyAlignment="1" applyProtection="1">
      <alignment horizontal="center"/>
      <protection locked="0"/>
    </xf>
    <xf numFmtId="175" fontId="17" fillId="47" borderId="91" xfId="66" applyFont="1" applyFill="1" applyBorder="1" applyAlignment="1">
      <alignment horizontal="center"/>
    </xf>
    <xf numFmtId="171" fontId="17" fillId="47" borderId="91" xfId="66" applyNumberFormat="1" applyFont="1" applyFill="1" applyBorder="1" applyAlignment="1">
      <alignment horizontal="center"/>
    </xf>
    <xf numFmtId="175" fontId="17" fillId="47" borderId="91" xfId="66" applyFont="1" applyFill="1" applyBorder="1" applyAlignment="1">
      <alignment horizontal="center" wrapText="1"/>
    </xf>
    <xf numFmtId="1" fontId="16" fillId="47" borderId="91" xfId="66" applyNumberFormat="1" applyFill="1" applyBorder="1" applyAlignment="1" applyProtection="1">
      <alignment horizontal="center"/>
      <protection locked="0"/>
    </xf>
    <xf numFmtId="2" fontId="16" fillId="47" borderId="0" xfId="66" applyNumberFormat="1" applyFill="1" applyProtection="1">
      <protection locked="0"/>
    </xf>
    <xf numFmtId="175" fontId="17" fillId="47" borderId="0" xfId="782" applyFont="1" applyFill="1" applyAlignment="1">
      <alignment vertical="center"/>
    </xf>
    <xf numFmtId="178" fontId="17" fillId="47" borderId="102" xfId="66" applyNumberFormat="1" applyFont="1" applyFill="1" applyBorder="1"/>
    <xf numFmtId="178" fontId="17" fillId="47" borderId="103" xfId="66" applyNumberFormat="1" applyFont="1" applyFill="1" applyBorder="1"/>
    <xf numFmtId="175" fontId="17" fillId="47" borderId="49" xfId="66" applyFont="1" applyFill="1" applyBorder="1" applyAlignment="1">
      <alignment wrapText="1"/>
    </xf>
    <xf numFmtId="178" fontId="17" fillId="47" borderId="104" xfId="66" applyNumberFormat="1" applyFont="1" applyFill="1" applyBorder="1"/>
    <xf numFmtId="178" fontId="17" fillId="0" borderId="94" xfId="66" applyNumberFormat="1" applyFont="1" applyBorder="1"/>
    <xf numFmtId="175" fontId="68" fillId="47" borderId="105" xfId="66" applyFont="1" applyFill="1" applyBorder="1" applyAlignment="1">
      <alignment wrapText="1"/>
    </xf>
    <xf numFmtId="178" fontId="68" fillId="43" borderId="0" xfId="66" applyNumberFormat="1" applyFont="1" applyFill="1"/>
    <xf numFmtId="178" fontId="68" fillId="0" borderId="0" xfId="66" applyNumberFormat="1" applyFont="1"/>
    <xf numFmtId="178" fontId="68" fillId="0" borderId="0" xfId="50" applyNumberFormat="1" applyFont="1" applyFill="1" applyBorder="1" applyAlignment="1"/>
    <xf numFmtId="175" fontId="137" fillId="43" borderId="0" xfId="66" applyFont="1" applyFill="1"/>
    <xf numFmtId="175" fontId="17" fillId="0" borderId="16" xfId="0" applyFont="1" applyBorder="1" applyAlignment="1">
      <alignment horizontal="center"/>
    </xf>
    <xf numFmtId="178" fontId="68" fillId="125" borderId="106" xfId="66" applyNumberFormat="1" applyFont="1" applyFill="1" applyBorder="1"/>
    <xf numFmtId="2" fontId="16" fillId="0" borderId="16" xfId="0" applyNumberFormat="1" applyFont="1" applyBorder="1" applyAlignment="1">
      <alignment vertical="center"/>
    </xf>
    <xf numFmtId="2" fontId="16" fillId="0" borderId="95" xfId="0" applyNumberFormat="1" applyFont="1" applyBorder="1" applyAlignment="1">
      <alignment vertical="center" wrapText="1"/>
    </xf>
    <xf numFmtId="42" fontId="16" fillId="49" borderId="96" xfId="520" applyNumberFormat="1" applyFill="1" applyBorder="1"/>
    <xf numFmtId="42" fontId="16" fillId="0" borderId="34" xfId="66" applyNumberFormat="1" applyBorder="1"/>
    <xf numFmtId="0" fontId="69" fillId="43" borderId="0" xfId="66" applyNumberFormat="1" applyFont="1" applyFill="1"/>
    <xf numFmtId="43" fontId="69" fillId="43" borderId="0" xfId="46" applyFont="1" applyFill="1"/>
    <xf numFmtId="179" fontId="17" fillId="0" borderId="91" xfId="0" applyNumberFormat="1" applyFont="1" applyBorder="1" applyAlignment="1" applyProtection="1">
      <alignment horizontal="center"/>
      <protection locked="0"/>
    </xf>
    <xf numFmtId="42" fontId="138" fillId="0" borderId="0" xfId="520" applyNumberFormat="1" applyFont="1"/>
    <xf numFmtId="42" fontId="138" fillId="0" borderId="94" xfId="520" applyNumberFormat="1" applyFont="1" applyBorder="1"/>
    <xf numFmtId="42" fontId="138" fillId="0" borderId="98" xfId="520" applyNumberFormat="1" applyFont="1" applyBorder="1"/>
    <xf numFmtId="42" fontId="138" fillId="0" borderId="34" xfId="520" applyNumberFormat="1" applyFont="1" applyBorder="1"/>
    <xf numFmtId="42" fontId="138" fillId="0" borderId="15" xfId="520" applyNumberFormat="1" applyFont="1" applyBorder="1"/>
    <xf numFmtId="42" fontId="138" fillId="0" borderId="97" xfId="520" applyNumberFormat="1" applyFont="1" applyBorder="1"/>
    <xf numFmtId="42" fontId="138" fillId="0" borderId="16" xfId="520" applyNumberFormat="1" applyFont="1" applyBorder="1"/>
    <xf numFmtId="42" fontId="138" fillId="0" borderId="17" xfId="520" applyNumberFormat="1" applyFont="1" applyBorder="1"/>
    <xf numFmtId="42" fontId="138" fillId="0" borderId="14" xfId="520" applyNumberFormat="1" applyFont="1" applyBorder="1"/>
    <xf numFmtId="42" fontId="138" fillId="0" borderId="97" xfId="66" applyNumberFormat="1" applyFont="1" applyBorder="1"/>
    <xf numFmtId="42" fontId="138" fillId="0" borderId="94" xfId="66" applyNumberFormat="1" applyFont="1" applyBorder="1"/>
    <xf numFmtId="42" fontId="138" fillId="0" borderId="98" xfId="66" applyNumberFormat="1" applyFont="1" applyBorder="1"/>
    <xf numFmtId="42" fontId="138" fillId="0" borderId="16" xfId="66" applyNumberFormat="1" applyFont="1" applyBorder="1"/>
    <xf numFmtId="42" fontId="138" fillId="0" borderId="0" xfId="66" applyNumberFormat="1" applyFont="1"/>
    <xf numFmtId="42" fontId="138" fillId="0" borderId="34" xfId="66" applyNumberFormat="1" applyFont="1" applyBorder="1"/>
    <xf numFmtId="42" fontId="138" fillId="0" borderId="17" xfId="66" applyNumberFormat="1" applyFont="1" applyBorder="1"/>
    <xf numFmtId="42" fontId="138" fillId="0" borderId="14" xfId="66" applyNumberFormat="1" applyFont="1" applyBorder="1"/>
    <xf numFmtId="42" fontId="138" fillId="0" borderId="15" xfId="66" applyNumberFormat="1" applyFont="1" applyBorder="1"/>
    <xf numFmtId="42" fontId="138" fillId="0" borderId="96" xfId="66" applyNumberFormat="1" applyFont="1" applyBorder="1"/>
    <xf numFmtId="42" fontId="138" fillId="0" borderId="93" xfId="66" applyNumberFormat="1" applyFont="1" applyBorder="1"/>
    <xf numFmtId="42" fontId="138" fillId="0" borderId="95" xfId="66" applyNumberFormat="1" applyFont="1" applyBorder="1"/>
    <xf numFmtId="178" fontId="139" fillId="0" borderId="97" xfId="66" applyNumberFormat="1" applyFont="1" applyBorder="1"/>
    <xf numFmtId="178" fontId="139" fillId="0" borderId="94" xfId="66" applyNumberFormat="1" applyFont="1" applyBorder="1"/>
    <xf numFmtId="178" fontId="139" fillId="0" borderId="16" xfId="66" applyNumberFormat="1" applyFont="1" applyBorder="1"/>
    <xf numFmtId="178" fontId="139" fillId="0" borderId="0" xfId="66" applyNumberFormat="1" applyFont="1"/>
    <xf numFmtId="178" fontId="139" fillId="0" borderId="17" xfId="66" applyNumberFormat="1" applyFont="1" applyBorder="1"/>
    <xf numFmtId="178" fontId="139" fillId="0" borderId="14" xfId="66" applyNumberFormat="1" applyFont="1" applyBorder="1"/>
    <xf numFmtId="178" fontId="138" fillId="0" borderId="0" xfId="66" applyNumberFormat="1" applyFont="1"/>
    <xf numFmtId="178" fontId="138" fillId="0" borderId="0" xfId="66" applyNumberFormat="1" applyFont="1" applyProtection="1">
      <protection locked="0"/>
    </xf>
    <xf numFmtId="178" fontId="138" fillId="0" borderId="14" xfId="66" applyNumberFormat="1" applyFont="1" applyBorder="1" applyProtection="1">
      <protection locked="0"/>
    </xf>
    <xf numFmtId="178" fontId="138" fillId="44" borderId="93" xfId="66" applyNumberFormat="1" applyFont="1" applyFill="1" applyBorder="1"/>
    <xf numFmtId="178" fontId="138" fillId="0" borderId="93" xfId="66" applyNumberFormat="1" applyFont="1" applyBorder="1"/>
    <xf numFmtId="175" fontId="17" fillId="0" borderId="91" xfId="0" applyFont="1" applyBorder="1" applyAlignment="1">
      <alignment horizontal="center"/>
    </xf>
    <xf numFmtId="38" fontId="56" fillId="0" borderId="91" xfId="146" applyNumberFormat="1" applyFont="1" applyBorder="1" applyAlignment="1" applyProtection="1">
      <alignment horizontal="center"/>
      <protection locked="0"/>
    </xf>
    <xf numFmtId="175" fontId="16" fillId="0" borderId="91" xfId="0" applyFont="1" applyBorder="1" applyAlignment="1">
      <alignment vertical="center"/>
    </xf>
    <xf numFmtId="2" fontId="16" fillId="0" borderId="91" xfId="0" applyNumberFormat="1" applyFont="1" applyBorder="1" applyAlignment="1">
      <alignment vertical="center"/>
    </xf>
    <xf numFmtId="3" fontId="16" fillId="52" borderId="91" xfId="0" applyNumberFormat="1" applyFont="1" applyFill="1" applyBorder="1" applyAlignment="1">
      <alignment horizontal="center" vertical="center"/>
    </xf>
    <xf numFmtId="3" fontId="16" fillId="0" borderId="91" xfId="0" applyNumberFormat="1" applyFont="1" applyBorder="1" applyAlignment="1">
      <alignment horizontal="left" vertical="center" wrapText="1"/>
    </xf>
    <xf numFmtId="3" fontId="16" fillId="0" borderId="91" xfId="0" applyNumberFormat="1" applyFont="1" applyBorder="1" applyAlignment="1">
      <alignment horizontal="center" vertical="center"/>
    </xf>
    <xf numFmtId="175" fontId="37" fillId="0" borderId="91" xfId="0" applyFont="1" applyBorder="1" applyAlignment="1" applyProtection="1">
      <alignment horizontal="center"/>
      <protection locked="0"/>
    </xf>
    <xf numFmtId="175" fontId="37" fillId="0" borderId="91" xfId="0" applyFont="1" applyBorder="1" applyAlignment="1">
      <alignment horizontal="center" wrapText="1"/>
    </xf>
    <xf numFmtId="175" fontId="18" fillId="0" borderId="91" xfId="0" applyFont="1" applyBorder="1" applyProtection="1">
      <protection locked="0"/>
    </xf>
    <xf numFmtId="172" fontId="18" fillId="0" borderId="91" xfId="0" applyNumberFormat="1" applyFont="1" applyBorder="1"/>
    <xf numFmtId="172" fontId="18" fillId="0" borderId="91" xfId="46" applyNumberFormat="1" applyFont="1" applyBorder="1" applyAlignment="1">
      <alignment horizontal="right"/>
    </xf>
    <xf numFmtId="166" fontId="18" fillId="0" borderId="91" xfId="46" applyNumberFormat="1" applyFont="1" applyBorder="1" applyAlignment="1">
      <alignment horizontal="right"/>
    </xf>
    <xf numFmtId="172" fontId="37" fillId="0" borderId="91" xfId="46" applyNumberFormat="1" applyFont="1" applyBorder="1" applyAlignment="1">
      <alignment horizontal="right" wrapText="1"/>
    </xf>
    <xf numFmtId="175" fontId="18" fillId="0" borderId="91" xfId="0" applyFont="1" applyBorder="1"/>
    <xf numFmtId="166" fontId="37" fillId="0" borderId="91" xfId="0" applyNumberFormat="1" applyFont="1" applyBorder="1"/>
    <xf numFmtId="172" fontId="18" fillId="0" borderId="91" xfId="0" quotePrefix="1" applyNumberFormat="1" applyFont="1" applyBorder="1" applyAlignment="1">
      <alignment horizontal="center"/>
    </xf>
    <xf numFmtId="172" fontId="18" fillId="0" borderId="91" xfId="0" quotePrefix="1" applyNumberFormat="1" applyFont="1" applyBorder="1" applyAlignment="1">
      <alignment horizontal="right"/>
    </xf>
    <xf numFmtId="166" fontId="18" fillId="0" borderId="91" xfId="46" applyNumberFormat="1" applyFont="1" applyBorder="1" applyAlignment="1">
      <alignment horizontal="right" wrapText="1"/>
    </xf>
    <xf numFmtId="166" fontId="18" fillId="0" borderId="91" xfId="0" applyNumberFormat="1" applyFont="1" applyBorder="1"/>
    <xf numFmtId="38" fontId="18" fillId="0" borderId="91" xfId="0" applyNumberFormat="1" applyFont="1" applyBorder="1"/>
    <xf numFmtId="165" fontId="37" fillId="0" borderId="91" xfId="0" applyNumberFormat="1" applyFont="1" applyBorder="1"/>
    <xf numFmtId="175" fontId="37" fillId="0" borderId="91" xfId="0" applyFont="1" applyBorder="1" applyAlignment="1">
      <alignment horizontal="center"/>
    </xf>
    <xf numFmtId="166" fontId="37" fillId="0" borderId="91" xfId="0" applyNumberFormat="1" applyFont="1" applyBorder="1" applyAlignment="1">
      <alignment horizontal="center" wrapText="1"/>
    </xf>
    <xf numFmtId="166" fontId="37" fillId="0" borderId="91" xfId="0" applyNumberFormat="1" applyFont="1" applyBorder="1" applyAlignment="1">
      <alignment horizontal="center"/>
    </xf>
    <xf numFmtId="172" fontId="37" fillId="0" borderId="91" xfId="46" applyNumberFormat="1" applyFont="1" applyBorder="1" applyAlignment="1">
      <alignment horizontal="right"/>
    </xf>
    <xf numFmtId="175" fontId="18" fillId="0" borderId="91" xfId="0" applyFont="1" applyBorder="1" applyAlignment="1" applyProtection="1">
      <alignment wrapText="1" shrinkToFit="1"/>
      <protection locked="0"/>
    </xf>
    <xf numFmtId="170" fontId="18" fillId="0" borderId="91" xfId="46" applyNumberFormat="1" applyFont="1" applyBorder="1" applyAlignment="1">
      <alignment horizontal="right"/>
    </xf>
    <xf numFmtId="169" fontId="37" fillId="0" borderId="91" xfId="46" applyNumberFormat="1" applyFont="1" applyBorder="1" applyAlignment="1">
      <alignment horizontal="right"/>
    </xf>
    <xf numFmtId="175" fontId="37" fillId="0" borderId="91" xfId="0" applyFont="1" applyBorder="1" applyProtection="1">
      <protection locked="0"/>
    </xf>
    <xf numFmtId="172" fontId="37" fillId="0" borderId="91" xfId="0" applyNumberFormat="1" applyFont="1" applyBorder="1"/>
    <xf numFmtId="166" fontId="37" fillId="0" borderId="91" xfId="46" applyNumberFormat="1" applyFont="1" applyBorder="1" applyAlignment="1">
      <alignment horizontal="right"/>
    </xf>
    <xf numFmtId="166" fontId="18" fillId="0" borderId="91" xfId="0" quotePrefix="1" applyNumberFormat="1" applyFont="1" applyBorder="1" applyAlignment="1">
      <alignment horizontal="center"/>
    </xf>
    <xf numFmtId="166" fontId="37" fillId="0" borderId="91" xfId="46" applyNumberFormat="1" applyFont="1" applyBorder="1" applyAlignment="1">
      <alignment horizontal="right" wrapText="1"/>
    </xf>
    <xf numFmtId="166" fontId="18" fillId="0" borderId="91" xfId="0" quotePrefix="1" applyNumberFormat="1" applyFont="1" applyBorder="1" applyAlignment="1">
      <alignment horizontal="right"/>
    </xf>
    <xf numFmtId="166" fontId="18" fillId="0" borderId="91" xfId="46" applyNumberFormat="1" applyFont="1" applyBorder="1" applyAlignment="1">
      <alignment horizontal="center"/>
    </xf>
    <xf numFmtId="175" fontId="37" fillId="48" borderId="91" xfId="0" applyFont="1" applyFill="1" applyBorder="1" applyAlignment="1" applyProtection="1">
      <alignment horizontal="center" vertical="center"/>
      <protection locked="0"/>
    </xf>
    <xf numFmtId="175" fontId="37" fillId="47" borderId="91" xfId="0" applyFont="1" applyFill="1" applyBorder="1" applyAlignment="1" applyProtection="1">
      <alignment horizontal="left"/>
      <protection locked="0"/>
    </xf>
    <xf numFmtId="175" fontId="37" fillId="0" borderId="91" xfId="0" applyFont="1" applyBorder="1" applyAlignment="1" applyProtection="1">
      <alignment horizontal="center" wrapText="1"/>
      <protection locked="0"/>
    </xf>
    <xf numFmtId="166" fontId="138" fillId="0" borderId="91" xfId="46" applyNumberFormat="1" applyFont="1" applyBorder="1" applyAlignment="1" applyProtection="1">
      <alignment horizontal="right"/>
      <protection locked="0"/>
    </xf>
    <xf numFmtId="175" fontId="18" fillId="0" borderId="91" xfId="0" applyFont="1" applyBorder="1" applyAlignment="1" applyProtection="1">
      <alignment horizontal="left"/>
      <protection locked="0"/>
    </xf>
    <xf numFmtId="175" fontId="37" fillId="0" borderId="91" xfId="0" applyFont="1" applyBorder="1" applyAlignment="1" applyProtection="1">
      <alignment horizontal="left"/>
      <protection locked="0"/>
    </xf>
    <xf numFmtId="175" fontId="18" fillId="47" borderId="91" xfId="0" applyFont="1" applyFill="1" applyBorder="1" applyAlignment="1" applyProtection="1">
      <alignment horizontal="left"/>
      <protection locked="0"/>
    </xf>
    <xf numFmtId="42" fontId="16" fillId="49" borderId="91" xfId="520" applyNumberFormat="1" applyFill="1" applyBorder="1"/>
    <xf numFmtId="175" fontId="17" fillId="0" borderId="91" xfId="66" applyFont="1" applyBorder="1" applyAlignment="1" applyProtection="1">
      <alignment horizontal="center" wrapText="1"/>
      <protection locked="0"/>
    </xf>
    <xf numFmtId="42" fontId="16" fillId="47" borderId="91" xfId="66" applyNumberFormat="1" applyFill="1" applyBorder="1"/>
    <xf numFmtId="42" fontId="16" fillId="0" borderId="91" xfId="66" applyNumberFormat="1" applyBorder="1"/>
    <xf numFmtId="167" fontId="16" fillId="0" borderId="91" xfId="66" applyNumberFormat="1" applyBorder="1" applyAlignment="1">
      <alignment horizontal="right"/>
    </xf>
    <xf numFmtId="167" fontId="16" fillId="0" borderId="91" xfId="66" applyNumberFormat="1" applyBorder="1"/>
    <xf numFmtId="175" fontId="37" fillId="0" borderId="91" xfId="67" applyFont="1" applyBorder="1" applyAlignment="1">
      <alignment horizontal="center"/>
    </xf>
    <xf numFmtId="0" fontId="18" fillId="0" borderId="91" xfId="67" applyNumberFormat="1" applyBorder="1" applyAlignment="1">
      <alignment horizontal="center" vertical="center" wrapText="1"/>
    </xf>
    <xf numFmtId="6" fontId="18" fillId="0" borderId="91" xfId="67" applyNumberFormat="1" applyBorder="1" applyAlignment="1">
      <alignment horizontal="center" vertical="center" wrapText="1"/>
    </xf>
    <xf numFmtId="175" fontId="18" fillId="0" borderId="91" xfId="67" applyBorder="1" applyAlignment="1">
      <alignment horizontal="center" vertical="center" wrapText="1"/>
    </xf>
    <xf numFmtId="14" fontId="18" fillId="0" borderId="91" xfId="67" applyNumberFormat="1" applyBorder="1" applyAlignment="1">
      <alignment horizontal="center" vertical="center" wrapText="1"/>
    </xf>
    <xf numFmtId="175" fontId="18" fillId="0" borderId="91" xfId="67" applyBorder="1" applyAlignment="1">
      <alignment horizontal="left" vertical="center" wrapText="1"/>
    </xf>
    <xf numFmtId="6" fontId="18" fillId="0" borderId="91" xfId="67" applyNumberFormat="1" applyBorder="1" applyAlignment="1" applyProtection="1">
      <alignment horizontal="center" vertical="center"/>
      <protection locked="0"/>
    </xf>
    <xf numFmtId="175" fontId="18" fillId="0" borderId="91" xfId="67" applyBorder="1" applyAlignment="1" applyProtection="1">
      <alignment horizontal="center" vertical="center" wrapText="1"/>
      <protection locked="0"/>
    </xf>
    <xf numFmtId="0" fontId="18" fillId="0" borderId="91" xfId="67" applyNumberFormat="1" applyBorder="1" applyAlignment="1" applyProtection="1">
      <alignment horizontal="center" vertical="center"/>
      <protection locked="0"/>
    </xf>
    <xf numFmtId="175" fontId="37" fillId="0" borderId="91" xfId="67" applyFont="1" applyBorder="1" applyProtection="1">
      <protection locked="0"/>
    </xf>
    <xf numFmtId="6" fontId="37" fillId="0" borderId="91" xfId="67" applyNumberFormat="1" applyFont="1" applyBorder="1" applyAlignment="1" applyProtection="1">
      <alignment horizontal="center"/>
      <protection locked="0"/>
    </xf>
    <xf numFmtId="175" fontId="18" fillId="0" borderId="91" xfId="67" applyBorder="1" applyProtection="1">
      <protection locked="0"/>
    </xf>
    <xf numFmtId="172" fontId="18" fillId="0" borderId="91" xfId="46" applyNumberFormat="1" applyFont="1" applyFill="1" applyBorder="1" applyAlignment="1">
      <alignment horizontal="right"/>
    </xf>
    <xf numFmtId="172" fontId="18" fillId="125" borderId="91" xfId="46" applyNumberFormat="1" applyFont="1" applyFill="1" applyBorder="1" applyAlignment="1">
      <alignment horizontal="right"/>
    </xf>
    <xf numFmtId="175" fontId="64" fillId="0" borderId="0" xfId="0" quotePrefix="1" applyFont="1"/>
    <xf numFmtId="175" fontId="64" fillId="0" borderId="0" xfId="0" applyFont="1"/>
    <xf numFmtId="175" fontId="64" fillId="0" borderId="0" xfId="0" applyFont="1" applyAlignment="1">
      <alignment vertical="justify"/>
    </xf>
    <xf numFmtId="175" fontId="64" fillId="52" borderId="0" xfId="0" quotePrefix="1" applyFont="1" applyFill="1"/>
    <xf numFmtId="175" fontId="64" fillId="52" borderId="0" xfId="0" applyFont="1" applyFill="1"/>
    <xf numFmtId="175" fontId="0" fillId="47" borderId="0" xfId="0" applyFill="1" applyProtection="1">
      <protection locked="0"/>
    </xf>
    <xf numFmtId="166" fontId="56" fillId="0" borderId="16" xfId="0" applyNumberFormat="1" applyFont="1" applyBorder="1" applyAlignment="1">
      <alignment horizontal="center"/>
    </xf>
    <xf numFmtId="43" fontId="16" fillId="50" borderId="0" xfId="46" applyFill="1" applyAlignment="1">
      <alignment horizontal="right"/>
    </xf>
    <xf numFmtId="43" fontId="16" fillId="50" borderId="34" xfId="46" applyFill="1" applyBorder="1" applyAlignment="1">
      <alignment horizontal="left"/>
    </xf>
    <xf numFmtId="172" fontId="16" fillId="0" borderId="91" xfId="46" applyNumberFormat="1" applyFont="1" applyFill="1" applyBorder="1" applyAlignment="1">
      <alignment horizontal="right"/>
    </xf>
    <xf numFmtId="172" fontId="0" fillId="0" borderId="91" xfId="46" applyNumberFormat="1" applyFont="1" applyBorder="1" applyAlignment="1">
      <alignment horizontal="right"/>
    </xf>
    <xf numFmtId="17" fontId="17" fillId="0" borderId="0" xfId="0" applyNumberFormat="1" applyFont="1" applyAlignment="1" applyProtection="1">
      <alignment horizontal="center"/>
      <protection locked="0"/>
    </xf>
    <xf numFmtId="178" fontId="17" fillId="47" borderId="105" xfId="66" applyNumberFormat="1" applyFont="1" applyFill="1" applyBorder="1"/>
    <xf numFmtId="178" fontId="17" fillId="47" borderId="45" xfId="66" applyNumberFormat="1" applyFont="1" applyFill="1" applyBorder="1"/>
    <xf numFmtId="175" fontId="17" fillId="0" borderId="49" xfId="66" applyFont="1" applyBorder="1" applyAlignment="1">
      <alignment wrapText="1"/>
    </xf>
    <xf numFmtId="178" fontId="17" fillId="0" borderId="49" xfId="66" applyNumberFormat="1" applyFont="1" applyBorder="1"/>
    <xf numFmtId="178" fontId="17" fillId="47" borderId="35" xfId="66" applyNumberFormat="1" applyFont="1" applyFill="1" applyBorder="1"/>
    <xf numFmtId="178" fontId="17" fillId="47" borderId="107" xfId="66" applyNumberFormat="1" applyFont="1" applyFill="1" applyBorder="1"/>
    <xf numFmtId="175" fontId="68" fillId="43" borderId="108" xfId="66" applyFont="1" applyFill="1" applyBorder="1" applyAlignment="1">
      <alignment horizontal="center" wrapText="1"/>
    </xf>
    <xf numFmtId="178" fontId="68" fillId="0" borderId="108" xfId="66" applyNumberFormat="1" applyFont="1" applyBorder="1"/>
    <xf numFmtId="178" fontId="16" fillId="0" borderId="108" xfId="66" applyNumberFormat="1" applyBorder="1"/>
    <xf numFmtId="178" fontId="16" fillId="44" borderId="108" xfId="66" applyNumberFormat="1" applyFill="1" applyBorder="1"/>
    <xf numFmtId="175" fontId="17" fillId="0" borderId="108" xfId="66" applyFont="1" applyBorder="1"/>
    <xf numFmtId="175" fontId="17" fillId="0" borderId="108" xfId="66" applyFont="1" applyBorder="1" applyAlignment="1">
      <alignment horizontal="left" wrapText="1" indent="1"/>
    </xf>
    <xf numFmtId="175" fontId="17" fillId="0" borderId="108" xfId="66" applyFont="1" applyBorder="1" applyAlignment="1">
      <alignment horizontal="left" indent="1"/>
    </xf>
    <xf numFmtId="178" fontId="0" fillId="0" borderId="108" xfId="66" applyNumberFormat="1" applyFont="1" applyBorder="1"/>
    <xf numFmtId="178" fontId="0" fillId="44" borderId="108" xfId="66" applyNumberFormat="1" applyFont="1" applyFill="1" applyBorder="1"/>
    <xf numFmtId="175" fontId="68" fillId="44" borderId="109" xfId="66" applyFont="1" applyFill="1" applyBorder="1" applyAlignment="1">
      <alignment horizontal="center"/>
    </xf>
    <xf numFmtId="175" fontId="17" fillId="0" borderId="109" xfId="66" applyFont="1" applyBorder="1"/>
    <xf numFmtId="175" fontId="17" fillId="0" borderId="109" xfId="66" quotePrefix="1" applyFont="1" applyBorder="1" applyAlignment="1">
      <alignment horizontal="left" wrapText="1" indent="1"/>
    </xf>
    <xf numFmtId="175" fontId="17" fillId="0" borderId="109" xfId="66" applyFont="1" applyBorder="1" applyAlignment="1">
      <alignment horizontal="left" indent="1"/>
    </xf>
    <xf numFmtId="49" fontId="72" fillId="47" borderId="0" xfId="0" applyNumberFormat="1" applyFont="1" applyFill="1" applyProtection="1">
      <protection locked="0"/>
    </xf>
    <xf numFmtId="49" fontId="72" fillId="47" borderId="0" xfId="0" quotePrefix="1" applyNumberFormat="1" applyFont="1" applyFill="1" applyProtection="1">
      <protection locked="0"/>
    </xf>
    <xf numFmtId="175" fontId="19" fillId="0" borderId="0" xfId="66" applyFont="1" applyProtection="1">
      <protection locked="0"/>
    </xf>
    <xf numFmtId="178" fontId="68" fillId="0" borderId="58" xfId="66" applyNumberFormat="1" applyFont="1" applyBorder="1"/>
    <xf numFmtId="178" fontId="68" fillId="125" borderId="110" xfId="66" applyNumberFormat="1" applyFont="1" applyFill="1" applyBorder="1"/>
    <xf numFmtId="178" fontId="69" fillId="0" borderId="92" xfId="66" applyNumberFormat="1" applyFont="1" applyBorder="1"/>
    <xf numFmtId="0" fontId="37" fillId="0" borderId="0" xfId="520" applyFont="1"/>
    <xf numFmtId="175" fontId="17" fillId="0" borderId="0" xfId="0" applyFont="1" applyAlignment="1">
      <alignment vertical="center"/>
    </xf>
    <xf numFmtId="175" fontId="17" fillId="0" borderId="95" xfId="66" applyFont="1" applyBorder="1" applyAlignment="1" applyProtection="1">
      <alignment horizontal="center" wrapText="1"/>
      <protection locked="0"/>
    </xf>
    <xf numFmtId="175" fontId="17" fillId="0" borderId="34" xfId="66" applyFont="1" applyBorder="1" applyAlignment="1" applyProtection="1">
      <alignment horizontal="center" wrapText="1"/>
      <protection locked="0"/>
    </xf>
    <xf numFmtId="42" fontId="16" fillId="0" borderId="95" xfId="66" applyNumberFormat="1" applyBorder="1"/>
    <xf numFmtId="175" fontId="17" fillId="47" borderId="0" xfId="66" applyFont="1" applyFill="1" applyProtection="1">
      <protection locked="0"/>
    </xf>
    <xf numFmtId="2" fontId="69" fillId="43" borderId="0" xfId="66" applyNumberFormat="1" applyFont="1" applyFill="1"/>
    <xf numFmtId="175" fontId="17" fillId="0" borderId="0" xfId="66" applyFont="1" applyAlignment="1">
      <alignment wrapText="1"/>
    </xf>
    <xf numFmtId="0" fontId="16" fillId="0" borderId="0" xfId="66" applyNumberFormat="1" applyAlignment="1">
      <alignment horizontal="left"/>
    </xf>
    <xf numFmtId="175" fontId="16" fillId="47" borderId="0" xfId="66" applyFill="1" applyAlignment="1">
      <alignment wrapText="1"/>
    </xf>
    <xf numFmtId="175" fontId="16" fillId="0" borderId="0" xfId="66" applyAlignment="1">
      <alignment wrapText="1"/>
    </xf>
    <xf numFmtId="175" fontId="128" fillId="0" borderId="0" xfId="66" applyFont="1" applyAlignment="1">
      <alignment wrapText="1"/>
    </xf>
    <xf numFmtId="175" fontId="17" fillId="0" borderId="16" xfId="66" applyFont="1" applyBorder="1" applyAlignment="1" applyProtection="1">
      <alignment wrapText="1"/>
      <protection locked="0"/>
    </xf>
    <xf numFmtId="175" fontId="17" fillId="0" borderId="106" xfId="66" applyFont="1" applyBorder="1" applyAlignment="1">
      <alignment wrapText="1"/>
    </xf>
    <xf numFmtId="42" fontId="16" fillId="0" borderId="106" xfId="66" applyNumberFormat="1" applyBorder="1"/>
    <xf numFmtId="42" fontId="16" fillId="0" borderId="38" xfId="66" applyNumberFormat="1" applyBorder="1"/>
    <xf numFmtId="42" fontId="16" fillId="0" borderId="111" xfId="66" applyNumberFormat="1" applyBorder="1"/>
    <xf numFmtId="42" fontId="16" fillId="0" borderId="112" xfId="66" applyNumberFormat="1" applyBorder="1"/>
    <xf numFmtId="42" fontId="16" fillId="47" borderId="106" xfId="66" applyNumberFormat="1" applyFill="1" applyBorder="1"/>
    <xf numFmtId="167" fontId="16" fillId="0" borderId="111" xfId="66" applyNumberFormat="1" applyBorder="1"/>
    <xf numFmtId="175" fontId="17" fillId="0" borderId="92" xfId="66" applyFont="1" applyBorder="1" applyAlignment="1">
      <alignment wrapText="1"/>
    </xf>
    <xf numFmtId="178" fontId="17" fillId="0" borderId="92" xfId="66" applyNumberFormat="1" applyFont="1" applyBorder="1"/>
    <xf numFmtId="178" fontId="17" fillId="47" borderId="49" xfId="66" applyNumberFormat="1" applyFont="1" applyFill="1" applyBorder="1"/>
    <xf numFmtId="178" fontId="17" fillId="47" borderId="106" xfId="66" applyNumberFormat="1" applyFont="1" applyFill="1" applyBorder="1"/>
    <xf numFmtId="178" fontId="17" fillId="47" borderId="38" xfId="66" applyNumberFormat="1" applyFont="1" applyFill="1" applyBorder="1"/>
    <xf numFmtId="178" fontId="17" fillId="47" borderId="112" xfId="66" applyNumberFormat="1" applyFont="1" applyFill="1" applyBorder="1"/>
    <xf numFmtId="175" fontId="68" fillId="0" borderId="113" xfId="66" applyFont="1" applyBorder="1"/>
    <xf numFmtId="175" fontId="68" fillId="0" borderId="17" xfId="66" applyFont="1" applyBorder="1"/>
    <xf numFmtId="175" fontId="68" fillId="0" borderId="37" xfId="66" applyFont="1" applyBorder="1" applyAlignment="1">
      <alignment wrapText="1"/>
    </xf>
    <xf numFmtId="42" fontId="0" fillId="0" borderId="0" xfId="520" applyNumberFormat="1" applyFont="1"/>
    <xf numFmtId="0" fontId="17" fillId="0" borderId="0" xfId="522" applyFont="1" applyAlignment="1" applyProtection="1">
      <alignment horizontal="center"/>
      <protection locked="0"/>
    </xf>
    <xf numFmtId="17" fontId="17" fillId="0" borderId="0" xfId="522" quotePrefix="1" applyNumberFormat="1" applyFont="1" applyAlignment="1" applyProtection="1">
      <alignment horizontal="center"/>
      <protection locked="0"/>
    </xf>
    <xf numFmtId="175" fontId="0" fillId="0" borderId="0" xfId="66" applyFont="1" applyProtection="1">
      <protection locked="0"/>
    </xf>
    <xf numFmtId="175" fontId="16" fillId="0" borderId="0" xfId="66" applyAlignment="1" applyProtection="1">
      <alignment horizontal="left" vertical="center" wrapText="1"/>
      <protection locked="0"/>
    </xf>
    <xf numFmtId="180" fontId="139" fillId="0" borderId="94" xfId="66" applyNumberFormat="1" applyFont="1" applyBorder="1"/>
    <xf numFmtId="175" fontId="16" fillId="0" borderId="0" xfId="66" applyAlignment="1" applyProtection="1">
      <alignment horizontal="left" vertical="center"/>
      <protection locked="0"/>
    </xf>
    <xf numFmtId="175" fontId="16" fillId="0" borderId="91" xfId="0" applyFont="1" applyBorder="1"/>
    <xf numFmtId="1" fontId="16" fillId="47" borderId="91" xfId="66" quotePrefix="1" applyNumberFormat="1" applyFill="1" applyBorder="1" applyAlignment="1" applyProtection="1">
      <alignment horizontal="center"/>
      <protection locked="0"/>
    </xf>
    <xf numFmtId="14" fontId="16" fillId="0" borderId="91" xfId="0" applyNumberFormat="1" applyFont="1" applyBorder="1"/>
    <xf numFmtId="175" fontId="16" fillId="47" borderId="91" xfId="66" applyFill="1" applyBorder="1" applyAlignment="1" applyProtection="1">
      <alignment horizontal="center"/>
      <protection locked="0"/>
    </xf>
    <xf numFmtId="2" fontId="16" fillId="47" borderId="91" xfId="66" applyNumberFormat="1" applyFill="1" applyBorder="1" applyProtection="1">
      <protection locked="0"/>
    </xf>
    <xf numFmtId="16" fontId="16" fillId="0" borderId="91" xfId="0" applyNumberFormat="1" applyFont="1" applyBorder="1" applyAlignment="1">
      <alignment horizontal="right"/>
    </xf>
    <xf numFmtId="43" fontId="0" fillId="0" borderId="0" xfId="46" applyFont="1"/>
    <xf numFmtId="175" fontId="0" fillId="0" borderId="0" xfId="66" applyFont="1" applyAlignment="1" applyProtection="1">
      <alignment horizontal="left" vertical="center"/>
      <protection locked="0"/>
    </xf>
    <xf numFmtId="175" fontId="64" fillId="47" borderId="0" xfId="0" quotePrefix="1" applyFont="1" applyFill="1" applyAlignment="1">
      <alignment horizontal="left" vertical="top" wrapText="1"/>
    </xf>
    <xf numFmtId="175" fontId="64" fillId="0" borderId="0" xfId="0" quotePrefix="1" applyFont="1" applyAlignment="1">
      <alignment horizontal="left" vertical="justify"/>
    </xf>
    <xf numFmtId="175" fontId="17" fillId="0" borderId="50" xfId="0" applyFont="1" applyBorder="1" applyAlignment="1">
      <alignment horizontal="center"/>
    </xf>
    <xf numFmtId="175" fontId="17" fillId="0" borderId="51" xfId="0" applyFont="1" applyBorder="1" applyAlignment="1">
      <alignment horizontal="center"/>
    </xf>
    <xf numFmtId="175" fontId="17" fillId="0" borderId="52" xfId="0" applyFont="1" applyBorder="1" applyAlignment="1">
      <alignment horizontal="center"/>
    </xf>
    <xf numFmtId="175" fontId="17" fillId="0" borderId="16" xfId="0" applyFont="1" applyBorder="1" applyAlignment="1">
      <alignment horizontal="center"/>
    </xf>
    <xf numFmtId="175" fontId="17" fillId="0" borderId="0" xfId="0" applyFont="1" applyAlignment="1">
      <alignment horizontal="center"/>
    </xf>
    <xf numFmtId="175" fontId="17" fillId="0" borderId="34" xfId="0" applyFont="1" applyBorder="1" applyAlignment="1">
      <alignment horizontal="center"/>
    </xf>
    <xf numFmtId="175" fontId="71" fillId="0" borderId="0" xfId="0" applyFont="1" applyAlignment="1">
      <alignment vertical="top" wrapText="1"/>
    </xf>
    <xf numFmtId="175" fontId="37" fillId="0" borderId="91" xfId="0" applyFont="1" applyBorder="1" applyAlignment="1" applyProtection="1">
      <alignment horizontal="center"/>
      <protection locked="0"/>
    </xf>
    <xf numFmtId="175" fontId="37" fillId="0" borderId="91" xfId="0" applyFont="1" applyBorder="1" applyAlignment="1">
      <alignment horizontal="center"/>
    </xf>
    <xf numFmtId="175" fontId="57" fillId="47" borderId="96" xfId="66" applyFont="1" applyFill="1" applyBorder="1" applyAlignment="1">
      <alignment horizontal="center" wrapText="1"/>
    </xf>
    <xf numFmtId="175" fontId="57" fillId="47" borderId="93" xfId="66" applyFont="1" applyFill="1" applyBorder="1" applyAlignment="1">
      <alignment horizontal="center" wrapText="1"/>
    </xf>
    <xf numFmtId="175" fontId="57" fillId="47" borderId="95" xfId="66" applyFont="1" applyFill="1" applyBorder="1" applyAlignment="1">
      <alignment horizontal="center" wrapText="1"/>
    </xf>
    <xf numFmtId="175" fontId="16" fillId="0" borderId="0" xfId="66" applyAlignment="1" applyProtection="1">
      <alignment horizontal="left" vertical="center" wrapText="1"/>
      <protection locked="0"/>
    </xf>
    <xf numFmtId="175" fontId="82" fillId="0" borderId="0" xfId="0" applyFont="1" applyAlignment="1" applyProtection="1">
      <alignment horizontal="center"/>
      <protection locked="0"/>
    </xf>
    <xf numFmtId="17" fontId="82" fillId="47" borderId="0" xfId="0" quotePrefix="1" applyNumberFormat="1" applyFont="1" applyFill="1" applyAlignment="1" applyProtection="1">
      <alignment horizontal="left"/>
      <protection locked="0"/>
    </xf>
    <xf numFmtId="0" fontId="76" fillId="0" borderId="97" xfId="520" applyFont="1" applyBorder="1" applyAlignment="1">
      <alignment horizontal="center" vertical="center" wrapText="1"/>
    </xf>
    <xf numFmtId="0" fontId="76" fillId="0" borderId="17" xfId="520" applyFont="1" applyBorder="1" applyAlignment="1">
      <alignment horizontal="center" vertical="center" wrapText="1"/>
    </xf>
    <xf numFmtId="0" fontId="76" fillId="0" borderId="99" xfId="520" applyFont="1" applyBorder="1" applyAlignment="1">
      <alignment horizontal="center" vertical="center" wrapText="1"/>
    </xf>
    <xf numFmtId="0" fontId="76" fillId="0" borderId="28" xfId="520" applyFont="1" applyBorder="1" applyAlignment="1">
      <alignment horizontal="center" vertical="center" wrapText="1"/>
    </xf>
    <xf numFmtId="175" fontId="16" fillId="0" borderId="0" xfId="66" applyAlignment="1">
      <alignment wrapText="1"/>
    </xf>
    <xf numFmtId="175" fontId="64" fillId="52" borderId="0" xfId="0" quotePrefix="1" applyFont="1" applyFill="1" applyAlignment="1"/>
    <xf numFmtId="175" fontId="64" fillId="52" borderId="0" xfId="0" applyFont="1" applyFill="1" applyAlignment="1"/>
    <xf numFmtId="175" fontId="64" fillId="0" borderId="0" xfId="0" quotePrefix="1" applyFont="1" applyAlignment="1"/>
    <xf numFmtId="175" fontId="64" fillId="0" borderId="0" xfId="0" applyFont="1" applyAlignment="1"/>
  </cellXfs>
  <cellStyles count="5687">
    <cellStyle name="20% - Accent1" xfId="1" builtinId="30" customBuiltin="1"/>
    <cellStyle name="20% - Accent1 10" xfId="2615" xr:uid="{0530D38E-A898-4260-B744-EE0FD3F51670}"/>
    <cellStyle name="20% - Accent1 10 2" xfId="5050" xr:uid="{1B5BB733-B31C-45E1-89E8-6B9AE1C1AF2C}"/>
    <cellStyle name="20% - Accent1 11" xfId="946" xr:uid="{BDB4F86E-C395-4B17-B047-8C5095DD363A}"/>
    <cellStyle name="20% - Accent1 11 2" xfId="3842" xr:uid="{59F8B971-E92A-42A0-8C1D-D80B3EE5256F}"/>
    <cellStyle name="20% - Accent1 2" xfId="115" xr:uid="{00000000-0005-0000-0000-000001000000}"/>
    <cellStyle name="20% - Accent1 2 2" xfId="986" xr:uid="{B0F92561-DC52-438D-93BD-56FEC2F54158}"/>
    <cellStyle name="20% - Accent1 2 3" xfId="959" xr:uid="{D5F55993-EF67-4A2B-8AC5-82F99174DB9C}"/>
    <cellStyle name="20% - Accent1 2 3 2" xfId="932" xr:uid="{5756FCE1-F2E9-44A9-9BCD-DF13817ED7DF}"/>
    <cellStyle name="20% - Accent1 2 3 2 2" xfId="1978" xr:uid="{1AF804C7-B6CF-4E3F-8E9D-C44839DA52B8}"/>
    <cellStyle name="20% - Accent1 2 3 2 2 2" xfId="2816" xr:uid="{9F97E78A-BF2C-4A13-9A8A-4E9A2D7BA1C6}"/>
    <cellStyle name="20% - Accent1 2 3 2 2 2 2" xfId="5251" xr:uid="{8A7202C0-E3B0-4168-9036-A882F1397B6F}"/>
    <cellStyle name="20% - Accent1 2 3 2 2 3" xfId="4495" xr:uid="{3A6E4DDB-B1C6-4029-96D1-A8894BE732C2}"/>
    <cellStyle name="20% - Accent1 2 3 2 3" xfId="2288" xr:uid="{F2E1F472-CE35-4D10-8FEB-758E8C07E3DD}"/>
    <cellStyle name="20% - Accent1 2 3 2 3 2" xfId="4723" xr:uid="{85DE5FD8-F8C6-488F-A0CD-5787746E43DD}"/>
    <cellStyle name="20% - Accent1 2 3 2 4" xfId="3830" xr:uid="{B5345671-8464-40DF-9015-96E55105459F}"/>
    <cellStyle name="20% - Accent1 2 3 3" xfId="1808" xr:uid="{D3C92B8B-90D6-43B2-8227-DEE1BA0F0E5B}"/>
    <cellStyle name="20% - Accent1 2 3 3 2" xfId="2646" xr:uid="{70FB1B76-3321-46D4-9106-9DA2EEA22BFB}"/>
    <cellStyle name="20% - Accent1 2 3 3 2 2" xfId="5081" xr:uid="{68A9E1F3-9482-4321-80E0-5A1B248D6A70}"/>
    <cellStyle name="20% - Accent1 2 3 3 3" xfId="4325" xr:uid="{7FC01D06-39D6-40B2-B4C0-912C676C72BD}"/>
    <cellStyle name="20% - Accent1 2 3 4" xfId="2287" xr:uid="{D4B2E421-0561-416A-A741-CB28425CB29D}"/>
    <cellStyle name="20% - Accent1 2 3 4 2" xfId="4722" xr:uid="{7D5C51E6-A3EB-441F-AB85-537C9E848BA3}"/>
    <cellStyle name="20% - Accent1 2 3 5" xfId="3849" xr:uid="{A124BC04-1B1D-4243-87C3-AD3A11303B8D}"/>
    <cellStyle name="20% - Accent1 2 4" xfId="2216" xr:uid="{7EC04D94-F33F-43EE-B7B5-A74ED299E86E}"/>
    <cellStyle name="20% - Accent1 2 5" xfId="985" xr:uid="{496C287B-294B-4B32-85CE-D61DE6A8B3A9}"/>
    <cellStyle name="20% - Accent1 3" xfId="149" xr:uid="{00000000-0005-0000-0000-000002000000}"/>
    <cellStyle name="20% - Accent1 3 2" xfId="979" xr:uid="{205AB90E-089F-45A7-B4E0-E446BED22D60}"/>
    <cellStyle name="20% - Accent1 3 2 2" xfId="1979" xr:uid="{0B6C83EE-8580-457F-8023-6265CAC5FA47}"/>
    <cellStyle name="20% - Accent1 3 2 2 2" xfId="2817" xr:uid="{F988BB2A-E137-44C7-BFDC-91D1A7A233A5}"/>
    <cellStyle name="20% - Accent1 3 2 2 2 2" xfId="5252" xr:uid="{C6373E45-2710-4BC1-ADC3-D8A277A0C71F}"/>
    <cellStyle name="20% - Accent1 3 2 2 3" xfId="4496" xr:uid="{B56AD8FA-1601-449C-8498-F10B4C6DBCC3}"/>
    <cellStyle name="20% - Accent1 3 2 3" xfId="2290" xr:uid="{6F895BEF-BCED-40AC-96A0-82BD08C4B72E}"/>
    <cellStyle name="20% - Accent1 3 2 3 2" xfId="4725" xr:uid="{7ACFB64C-5FE6-4C31-A6D4-8F5C7187E785}"/>
    <cellStyle name="20% - Accent1 3 2 4" xfId="3866" xr:uid="{4D321D5C-EEB2-4EEB-BF26-5841FD046339}"/>
    <cellStyle name="20% - Accent1 3 3" xfId="1809" xr:uid="{931AC7EF-5BF8-4AFB-B058-9DF3DAB1E317}"/>
    <cellStyle name="20% - Accent1 3 3 2" xfId="2647" xr:uid="{78A469D2-3877-443D-9D6E-B6F0FBCDFBDA}"/>
    <cellStyle name="20% - Accent1 3 3 2 2" xfId="5082" xr:uid="{570EAE52-C520-41A5-88B8-D075AE9D40F5}"/>
    <cellStyle name="20% - Accent1 3 3 3" xfId="4326" xr:uid="{6A3D9817-490E-4DE7-9F98-83EEE3DFD902}"/>
    <cellStyle name="20% - Accent1 3 4" xfId="2289" xr:uid="{4303F234-775D-4272-856E-58CA7093D8D3}"/>
    <cellStyle name="20% - Accent1 3 4 2" xfId="4724" xr:uid="{874124A8-AE30-4EC2-B474-5EB1E6EB5848}"/>
    <cellStyle name="20% - Accent1 3 5" xfId="942" xr:uid="{E7080B5B-02A6-4315-B7D0-BA9EBFCC9C42}"/>
    <cellStyle name="20% - Accent1 3 5 2" xfId="3839" xr:uid="{5120F858-5000-4C64-8B26-33EAFA38F1EC}"/>
    <cellStyle name="20% - Accent1 4" xfId="195" xr:uid="{00000000-0005-0000-0000-000003000000}"/>
    <cellStyle name="20% - Accent1 4 2" xfId="961" xr:uid="{2AA9F089-2F1E-4A3A-B562-720CB4572103}"/>
    <cellStyle name="20% - Accent1 4 2 2" xfId="1977" xr:uid="{5F33A3F2-094E-4F21-9F9B-B8ECE9C453BE}"/>
    <cellStyle name="20% - Accent1 4 2 2 2" xfId="2815" xr:uid="{8030E80E-7422-4935-A2B7-2249CDE04564}"/>
    <cellStyle name="20% - Accent1 4 2 2 2 2" xfId="5250" xr:uid="{89249FE4-4DCD-4F4B-8280-D3D43FD3C821}"/>
    <cellStyle name="20% - Accent1 4 2 2 3" xfId="4494" xr:uid="{527CE932-A8CB-472C-9D91-27A874C3AB23}"/>
    <cellStyle name="20% - Accent1 4 2 3" xfId="2292" xr:uid="{904A13CC-9511-44BD-A155-55A1461B31BA}"/>
    <cellStyle name="20% - Accent1 4 2 3 2" xfId="4727" xr:uid="{0599947B-65CD-4DCE-96BA-0F04B036D9B3}"/>
    <cellStyle name="20% - Accent1 4 2 4" xfId="3851" xr:uid="{48BBF66C-EB65-4543-AA92-20F75DB96482}"/>
    <cellStyle name="20% - Accent1 4 3" xfId="1807" xr:uid="{AC47F1B8-BBE0-4DD0-97EF-DB99F3D3AE25}"/>
    <cellStyle name="20% - Accent1 4 3 2" xfId="2645" xr:uid="{B162F789-3EB4-478C-B48C-A5391DEB21B6}"/>
    <cellStyle name="20% - Accent1 4 3 2 2" xfId="5080" xr:uid="{6AC5B924-1C95-4C9C-8A22-53743593635A}"/>
    <cellStyle name="20% - Accent1 4 3 3" xfId="4324" xr:uid="{BD7295CC-9AF2-41A4-B850-986D32FA4747}"/>
    <cellStyle name="20% - Accent1 4 4" xfId="2291" xr:uid="{82B67865-F285-40AF-9237-AC60663EB795}"/>
    <cellStyle name="20% - Accent1 4 4 2" xfId="4726" xr:uid="{928E40C2-C6C4-437E-A342-82D10FC0809C}"/>
    <cellStyle name="20% - Accent1 4 5" xfId="960" xr:uid="{02CF68AE-40E1-4C03-A7E5-9AFC9172E6DB}"/>
    <cellStyle name="20% - Accent1 4 5 2" xfId="3850" xr:uid="{F176C64F-8748-4F5D-A3C8-036EEAFFDFF3}"/>
    <cellStyle name="20% - Accent1 5" xfId="241" xr:uid="{00000000-0005-0000-0000-000004000000}"/>
    <cellStyle name="20% - Accent1 5 2" xfId="1959" xr:uid="{6442A17C-839A-46CD-B1B9-93CBF511BD65}"/>
    <cellStyle name="20% - Accent1 5 2 2" xfId="2797" xr:uid="{80DEC1DD-596A-4720-A340-92C2CEE2C833}"/>
    <cellStyle name="20% - Accent1 5 2 2 2" xfId="5232" xr:uid="{50BD9A80-4680-4BEE-A932-11D90BA31DC3}"/>
    <cellStyle name="20% - Accent1 5 2 3" xfId="4476" xr:uid="{E29F50A5-4399-4677-B321-1023D8123BDC}"/>
    <cellStyle name="20% - Accent1 5 3" xfId="2293" xr:uid="{7411B0E5-644C-40F4-B004-9B1A2ECC1281}"/>
    <cellStyle name="20% - Accent1 5 3 2" xfId="4728" xr:uid="{1BB16F0A-E185-4F63-B8EC-3A30F27EE565}"/>
    <cellStyle name="20% - Accent1 5 4" xfId="947" xr:uid="{CFF7AC42-0470-4B78-BB57-0CCC00B31340}"/>
    <cellStyle name="20% - Accent1 5 4 2" xfId="3843" xr:uid="{94828FA6-D2E7-4B86-A83C-26DAD790C392}"/>
    <cellStyle name="20% - Accent1 6" xfId="290" xr:uid="{00000000-0005-0000-0000-000005000000}"/>
    <cellStyle name="20% - Accent1 6 2" xfId="2627" xr:uid="{59F633C1-AD72-4529-B123-A543BBBE47A7}"/>
    <cellStyle name="20% - Accent1 6 2 2" xfId="5062" xr:uid="{21C444C7-2B61-43BE-96D3-4022FE7FC0D1}"/>
    <cellStyle name="20% - Accent1 6 3" xfId="1789" xr:uid="{6F1A6773-3269-469E-80C2-09CF3E968FCC}"/>
    <cellStyle name="20% - Accent1 6 3 2" xfId="4306" xr:uid="{6B3019A5-4A94-4912-A6EB-603B6692FD22}"/>
    <cellStyle name="20% - Accent1 7" xfId="354" xr:uid="{00000000-0005-0000-0000-000006000000}"/>
    <cellStyle name="20% - Accent1 7 2" xfId="2969" xr:uid="{89D922CA-8333-4F9E-AB5D-C60140539537}"/>
    <cellStyle name="20% - Accent1 7 2 2" xfId="5404" xr:uid="{E594EDC5-AFDF-4F36-A47A-A880A2D697D6}"/>
    <cellStyle name="20% - Accent1 7 3" xfId="2131" xr:uid="{D72A6829-37BD-4F41-9960-E092A72BDF3B}"/>
    <cellStyle name="20% - Accent1 7 3 2" xfId="4648" xr:uid="{6F50E705-2DEC-4958-8E3C-017A8D21BB1C}"/>
    <cellStyle name="20% - Accent1 8" xfId="425" xr:uid="{00000000-0005-0000-0000-000007000000}"/>
    <cellStyle name="20% - Accent1 8 2" xfId="2160" xr:uid="{68F8AC44-09E9-4ECD-93A0-EC765A37E977}"/>
    <cellStyle name="20% - Accent1 8 2 2" xfId="4661" xr:uid="{D937CB3D-DBEA-4AEE-AAB8-2AA2F53820D1}"/>
    <cellStyle name="20% - Accent1 9" xfId="529" xr:uid="{00000000-0005-0000-0000-000008000000}"/>
    <cellStyle name="20% - Accent1 9 2" xfId="2174" xr:uid="{CBCBBE3E-F28D-4BF9-A80D-AFD5EEA10506}"/>
    <cellStyle name="20% - Accent1 9 2 2" xfId="4675" xr:uid="{8E376766-AE7D-4F37-BA57-C0B5F657E449}"/>
    <cellStyle name="20% - Accent2" xfId="2" builtinId="34" customBuiltin="1"/>
    <cellStyle name="20% - Accent2 10" xfId="2617" xr:uid="{D45E1C98-4E1F-4737-8142-6EA2ECD1C7F5}"/>
    <cellStyle name="20% - Accent2 10 2" xfId="5052" xr:uid="{1D1423E6-E4C2-4804-AC1D-26DF8BD5BABB}"/>
    <cellStyle name="20% - Accent2 11" xfId="920" xr:uid="{2F2F1766-9CCF-4EBF-B47F-27C648F64C4A}"/>
    <cellStyle name="20% - Accent2 11 2" xfId="3828" xr:uid="{CE558020-E147-4540-B4B0-2561EFA5C892}"/>
    <cellStyle name="20% - Accent2 2" xfId="116" xr:uid="{00000000-0005-0000-0000-00000A000000}"/>
    <cellStyle name="20% - Accent2 2 2" xfId="984" xr:uid="{411AB685-9CB9-4196-9358-F02608C6E97F}"/>
    <cellStyle name="20% - Accent2 2 3" xfId="962" xr:uid="{A6190496-D203-42E4-857D-DADEE9C883FE}"/>
    <cellStyle name="20% - Accent2 2 3 2" xfId="963" xr:uid="{6895F896-1357-4DDC-B042-E58DA8F2C864}"/>
    <cellStyle name="20% - Accent2 2 3 2 2" xfId="1981" xr:uid="{16FE7A79-5167-4C4B-92E6-4CBB33F1566E}"/>
    <cellStyle name="20% - Accent2 2 3 2 2 2" xfId="2819" xr:uid="{6FD42592-7A67-4D5C-8E59-4284A20DDD45}"/>
    <cellStyle name="20% - Accent2 2 3 2 2 2 2" xfId="5254" xr:uid="{C7B9348D-A92D-464B-9B0D-4BBD3DDC1F69}"/>
    <cellStyle name="20% - Accent2 2 3 2 2 3" xfId="4498" xr:uid="{C464D627-22BA-43D2-8F3B-61A6B07B122D}"/>
    <cellStyle name="20% - Accent2 2 3 2 3" xfId="2295" xr:uid="{2A4ECBE2-27F8-4DBD-BC85-DAC1F0AA44CF}"/>
    <cellStyle name="20% - Accent2 2 3 2 3 2" xfId="4730" xr:uid="{2DF45CDA-E91B-4C87-AB07-44A7448F353D}"/>
    <cellStyle name="20% - Accent2 2 3 2 4" xfId="3853" xr:uid="{53A497BF-CFB6-487F-A75E-ED98B3551F34}"/>
    <cellStyle name="20% - Accent2 2 3 3" xfId="1811" xr:uid="{21A02DD9-FFA4-402E-AD4B-44701A16DAC2}"/>
    <cellStyle name="20% - Accent2 2 3 3 2" xfId="2649" xr:uid="{792D5E3A-8196-4FB9-95E5-759F715902F2}"/>
    <cellStyle name="20% - Accent2 2 3 3 2 2" xfId="5084" xr:uid="{50E9B9D5-05AE-4916-8504-8FCB7739359F}"/>
    <cellStyle name="20% - Accent2 2 3 3 3" xfId="4328" xr:uid="{8121EB68-F8EC-4957-853D-F4C5A702F958}"/>
    <cellStyle name="20% - Accent2 2 3 4" xfId="2294" xr:uid="{3B21621E-C054-4AE6-8A37-DCB9000D8E03}"/>
    <cellStyle name="20% - Accent2 2 3 4 2" xfId="4729" xr:uid="{9E1BD3FD-E7E4-4EB9-A598-830DC34F4EC4}"/>
    <cellStyle name="20% - Accent2 2 3 5" xfId="3852" xr:uid="{489AB53F-F519-4C63-BC37-485ECD57381C}"/>
    <cellStyle name="20% - Accent2 2 4" xfId="2217" xr:uid="{8F05B092-4DCE-49FC-8339-6A9F810DA9DC}"/>
    <cellStyle name="20% - Accent2 2 5" xfId="989" xr:uid="{F6B2A9EB-0809-4EC2-B20C-AB5E9E7BE794}"/>
    <cellStyle name="20% - Accent2 3" xfId="150" xr:uid="{00000000-0005-0000-0000-00000B000000}"/>
    <cellStyle name="20% - Accent2 3 2" xfId="965" xr:uid="{B6C4C275-46FD-4A52-AFFE-FDD50B16206D}"/>
    <cellStyle name="20% - Accent2 3 2 2" xfId="1982" xr:uid="{35C6017E-1663-4FCF-87BB-6D94940C829F}"/>
    <cellStyle name="20% - Accent2 3 2 2 2" xfId="2820" xr:uid="{924999EB-B6B3-46E5-8475-1793C9FB504D}"/>
    <cellStyle name="20% - Accent2 3 2 2 2 2" xfId="5255" xr:uid="{B674335A-2E33-4E5F-807E-72A653C88827}"/>
    <cellStyle name="20% - Accent2 3 2 2 3" xfId="4499" xr:uid="{8DCF0E05-B4A7-4D5C-8959-4C7EA153B954}"/>
    <cellStyle name="20% - Accent2 3 2 3" xfId="2297" xr:uid="{5C6C3C63-DB64-4647-A265-5AD6BE0A1443}"/>
    <cellStyle name="20% - Accent2 3 2 3 2" xfId="4732" xr:uid="{FD33FF82-8916-472D-90D2-1CDB4C14FD41}"/>
    <cellStyle name="20% - Accent2 3 2 4" xfId="3855" xr:uid="{EF19E616-40E0-4380-83FD-3B24606618C0}"/>
    <cellStyle name="20% - Accent2 3 3" xfId="1812" xr:uid="{75D0AB1F-B9FC-4034-BB14-1369BFBCB17E}"/>
    <cellStyle name="20% - Accent2 3 3 2" xfId="2650" xr:uid="{F2E1BF83-BC92-41D2-9709-E7B16480C76E}"/>
    <cellStyle name="20% - Accent2 3 3 2 2" xfId="5085" xr:uid="{050B23A7-E227-4B39-BEC7-00CCBFD8861C}"/>
    <cellStyle name="20% - Accent2 3 3 3" xfId="4329" xr:uid="{507C7139-C3AD-4EF5-96A8-51545372AC95}"/>
    <cellStyle name="20% - Accent2 3 4" xfId="2296" xr:uid="{C7C4C218-3E26-423B-9E12-AB31850DA3BB}"/>
    <cellStyle name="20% - Accent2 3 4 2" xfId="4731" xr:uid="{3DA9D788-B9F1-4E6F-8BCC-67806C5DF0DD}"/>
    <cellStyle name="20% - Accent2 3 5" xfId="964" xr:uid="{747F896C-B310-485C-BD92-091169BFE826}"/>
    <cellStyle name="20% - Accent2 3 5 2" xfId="3854" xr:uid="{60E0A3AB-4751-4BD5-9576-0D196A874AC1}"/>
    <cellStyle name="20% - Accent2 4" xfId="196" xr:uid="{00000000-0005-0000-0000-00000C000000}"/>
    <cellStyle name="20% - Accent2 4 2" xfId="967" xr:uid="{49BD0448-028E-4D2D-924B-D68392E81FBC}"/>
    <cellStyle name="20% - Accent2 4 2 2" xfId="1980" xr:uid="{06A723C7-7256-4880-926D-73AA2CD6A6B5}"/>
    <cellStyle name="20% - Accent2 4 2 2 2" xfId="2818" xr:uid="{F7CCA871-54B0-49B0-856E-66B2421EF67A}"/>
    <cellStyle name="20% - Accent2 4 2 2 2 2" xfId="5253" xr:uid="{EE9109F6-A791-4E92-9C33-2B09B6E0305C}"/>
    <cellStyle name="20% - Accent2 4 2 2 3" xfId="4497" xr:uid="{3EB8827E-4C7A-4309-B34C-2A4F60779463}"/>
    <cellStyle name="20% - Accent2 4 2 3" xfId="2299" xr:uid="{1747903F-0B48-4C12-9BAD-90FE64F55E93}"/>
    <cellStyle name="20% - Accent2 4 2 3 2" xfId="4734" xr:uid="{64F285B3-1124-44A4-BDC2-FDC12290E518}"/>
    <cellStyle name="20% - Accent2 4 2 4" xfId="3857" xr:uid="{9F530370-3F75-4E09-A17A-739A00F5D3B1}"/>
    <cellStyle name="20% - Accent2 4 3" xfId="1810" xr:uid="{0D55ACEC-1AEA-4006-B035-2A1814D9ADA4}"/>
    <cellStyle name="20% - Accent2 4 3 2" xfId="2648" xr:uid="{2DB052C7-9684-45DB-A591-59F29978BF64}"/>
    <cellStyle name="20% - Accent2 4 3 2 2" xfId="5083" xr:uid="{49233B01-B753-4E61-A925-A90F024887B0}"/>
    <cellStyle name="20% - Accent2 4 3 3" xfId="4327" xr:uid="{1A3E8E34-1AA8-476A-A624-632E5EB6111B}"/>
    <cellStyle name="20% - Accent2 4 4" xfId="2298" xr:uid="{08219391-EDCF-4578-B04B-4E4572C6F6C3}"/>
    <cellStyle name="20% - Accent2 4 4 2" xfId="4733" xr:uid="{52C7C624-3795-4329-9082-86A76CAAAB6B}"/>
    <cellStyle name="20% - Accent2 4 5" xfId="966" xr:uid="{3E164E5F-D548-463E-8B9F-25F30C671444}"/>
    <cellStyle name="20% - Accent2 4 5 2" xfId="3856" xr:uid="{CC85D09E-564E-4B68-BCB7-BDD8E67E4E77}"/>
    <cellStyle name="20% - Accent2 5" xfId="242" xr:uid="{00000000-0005-0000-0000-00000D000000}"/>
    <cellStyle name="20% - Accent2 5 2" xfId="1960" xr:uid="{6268BA2A-8D35-4295-9938-7664CA5A71D8}"/>
    <cellStyle name="20% - Accent2 5 2 2" xfId="2798" xr:uid="{948ACF38-882A-48B8-AD57-0F2CF7A5AF5C}"/>
    <cellStyle name="20% - Accent2 5 2 2 2" xfId="5233" xr:uid="{DD7080F0-F129-4079-81E6-63ABC82C6A87}"/>
    <cellStyle name="20% - Accent2 5 2 3" xfId="4477" xr:uid="{EEE9C04C-53F6-4AC2-A066-F79374C56815}"/>
    <cellStyle name="20% - Accent2 5 3" xfId="2300" xr:uid="{8D329776-F97E-4510-8EDA-62F7699BCC57}"/>
    <cellStyle name="20% - Accent2 5 3 2" xfId="4735" xr:uid="{B3F0C368-3083-4EE2-856A-3C307C7A6DC3}"/>
    <cellStyle name="20% - Accent2 5 4" xfId="968" xr:uid="{1D41414A-D504-41CB-BB73-B4F86C41A2B1}"/>
    <cellStyle name="20% - Accent2 5 4 2" xfId="3858" xr:uid="{601D161D-CCF0-40F9-85E0-211EE08FDE7B}"/>
    <cellStyle name="20% - Accent2 6" xfId="291" xr:uid="{00000000-0005-0000-0000-00000E000000}"/>
    <cellStyle name="20% - Accent2 6 2" xfId="2628" xr:uid="{B5F1A896-7B3A-4D37-B3F1-8BF87E2C41B2}"/>
    <cellStyle name="20% - Accent2 6 2 2" xfId="5063" xr:uid="{6B0B7C3C-1B77-40D7-8656-68F170955B9A}"/>
    <cellStyle name="20% - Accent2 6 3" xfId="1790" xr:uid="{A8679535-76C2-4C95-B1F6-C2F50B4DBCBD}"/>
    <cellStyle name="20% - Accent2 6 3 2" xfId="4307" xr:uid="{F66C923E-9012-43EE-90B3-32EE97495547}"/>
    <cellStyle name="20% - Accent2 7" xfId="355" xr:uid="{00000000-0005-0000-0000-00000F000000}"/>
    <cellStyle name="20% - Accent2 7 2" xfId="2971" xr:uid="{64F5F296-F612-4CD5-AE57-82342F3A4393}"/>
    <cellStyle name="20% - Accent2 7 2 2" xfId="5406" xr:uid="{A668FB9D-7DF8-445A-B587-B4F5537B9FAA}"/>
    <cellStyle name="20% - Accent2 7 3" xfId="2133" xr:uid="{56DF31E3-FB5D-40BA-BE3B-0779244E3523}"/>
    <cellStyle name="20% - Accent2 7 3 2" xfId="4650" xr:uid="{84902020-C8B9-4F4C-AF5B-90DFB44E436F}"/>
    <cellStyle name="20% - Accent2 8" xfId="426" xr:uid="{00000000-0005-0000-0000-000010000000}"/>
    <cellStyle name="20% - Accent2 8 2" xfId="2162" xr:uid="{84855050-F300-458B-B537-D1EC01D7189E}"/>
    <cellStyle name="20% - Accent2 8 2 2" xfId="4663" xr:uid="{184562E0-E804-45B4-90F2-6D7B031D7C60}"/>
    <cellStyle name="20% - Accent2 9" xfId="530" xr:uid="{00000000-0005-0000-0000-000011000000}"/>
    <cellStyle name="20% - Accent2 9 2" xfId="2176" xr:uid="{5D233639-AE42-4B0D-8AE6-25139EF609DB}"/>
    <cellStyle name="20% - Accent2 9 2 2" xfId="4677" xr:uid="{3631F91E-331F-48C4-9706-143224B99FC2}"/>
    <cellStyle name="20% - Accent3" xfId="3" builtinId="38" customBuiltin="1"/>
    <cellStyle name="20% - Accent3 10" xfId="2619" xr:uid="{5CFCA78F-B461-4BCC-B775-E9685F5266A1}"/>
    <cellStyle name="20% - Accent3 10 2" xfId="5054" xr:uid="{B614DE88-F7E7-481B-95DC-1E76C25DBFAB}"/>
    <cellStyle name="20% - Accent3 11" xfId="954" xr:uid="{9976CA03-160C-4561-8E89-EC9ABB380422}"/>
    <cellStyle name="20% - Accent3 11 2" xfId="3845" xr:uid="{8689DDD5-256D-4897-A745-61F4B3A42649}"/>
    <cellStyle name="20% - Accent3 2" xfId="117" xr:uid="{00000000-0005-0000-0000-000013000000}"/>
    <cellStyle name="20% - Accent3 2 2" xfId="970" xr:uid="{DD253FEA-DAA4-4DF6-8EE5-1BB8561DED31}"/>
    <cellStyle name="20% - Accent3 2 3" xfId="971" xr:uid="{CBB66954-7CDD-471D-B5FE-8BC82C9EC750}"/>
    <cellStyle name="20% - Accent3 2 3 2" xfId="972" xr:uid="{093CC219-6515-4797-852E-6AA862DB4FE3}"/>
    <cellStyle name="20% - Accent3 2 3 2 2" xfId="1984" xr:uid="{ECD5F8E7-65A3-4F9F-A2ED-939E87D48675}"/>
    <cellStyle name="20% - Accent3 2 3 2 2 2" xfId="2822" xr:uid="{8C32541B-07CC-4DEC-BC1C-C9AE10448AE5}"/>
    <cellStyle name="20% - Accent3 2 3 2 2 2 2" xfId="5257" xr:uid="{1855AB54-8078-4A1A-97F2-062F37D88B0B}"/>
    <cellStyle name="20% - Accent3 2 3 2 2 3" xfId="4501" xr:uid="{F9EA3320-942D-4391-A89E-2B6C40C75B89}"/>
    <cellStyle name="20% - Accent3 2 3 2 3" xfId="2302" xr:uid="{7AF0586B-4310-44E5-8DEF-47382984C71B}"/>
    <cellStyle name="20% - Accent3 2 3 2 3 2" xfId="4737" xr:uid="{7CFAC01B-ABD2-4E57-B252-37D59050666F}"/>
    <cellStyle name="20% - Accent3 2 3 2 4" xfId="3860" xr:uid="{8C520078-FDCA-460A-BECB-357F9376E0E3}"/>
    <cellStyle name="20% - Accent3 2 3 3" xfId="1814" xr:uid="{839C1B10-9B83-4B60-AB4B-FE08CDA912F4}"/>
    <cellStyle name="20% - Accent3 2 3 3 2" xfId="2652" xr:uid="{A70331FB-B14B-4662-AD51-6735DAE2076D}"/>
    <cellStyle name="20% - Accent3 2 3 3 2 2" xfId="5087" xr:uid="{7BB6B168-2E7F-45C8-88A5-1D206045E45C}"/>
    <cellStyle name="20% - Accent3 2 3 3 3" xfId="4331" xr:uid="{5B06EAE2-F42C-41E5-8FE6-BBD797B512DF}"/>
    <cellStyle name="20% - Accent3 2 3 4" xfId="2301" xr:uid="{E1F9037A-2C5B-4BB8-A074-9C70863CF6D1}"/>
    <cellStyle name="20% - Accent3 2 3 4 2" xfId="4736" xr:uid="{DA803F8E-B2BE-436B-9D01-5CF24C880370}"/>
    <cellStyle name="20% - Accent3 2 3 5" xfId="3859" xr:uid="{F09E5DFA-C2F9-4121-A355-44D66A383CEB}"/>
    <cellStyle name="20% - Accent3 2 4" xfId="2218" xr:uid="{0A7782A0-8859-4E92-BC1B-36C87E98E6D5}"/>
    <cellStyle name="20% - Accent3 2 5" xfId="969" xr:uid="{4C323FB1-E24A-4CDF-9010-EFBBD52AEA7F}"/>
    <cellStyle name="20% - Accent3 3" xfId="151" xr:uid="{00000000-0005-0000-0000-000014000000}"/>
    <cellStyle name="20% - Accent3 3 2" xfId="974" xr:uid="{724ADA64-E435-46B2-97C4-6CDB46B18919}"/>
    <cellStyle name="20% - Accent3 3 2 2" xfId="1985" xr:uid="{EFF75ED3-9A83-41A3-9445-C9BE4DF6531B}"/>
    <cellStyle name="20% - Accent3 3 2 2 2" xfId="2823" xr:uid="{C881D943-3B7D-47FD-B219-74F48A9E7A25}"/>
    <cellStyle name="20% - Accent3 3 2 2 2 2" xfId="5258" xr:uid="{720EC776-DCA4-46A8-BCB7-1D1F46D2FE52}"/>
    <cellStyle name="20% - Accent3 3 2 2 3" xfId="4502" xr:uid="{E4A6BE64-C47C-464D-B6F8-A35A0A20E005}"/>
    <cellStyle name="20% - Accent3 3 2 3" xfId="2304" xr:uid="{F8983E88-6832-4586-BC30-679C8E76A32B}"/>
    <cellStyle name="20% - Accent3 3 2 3 2" xfId="4739" xr:uid="{B170CF8B-57B8-4EF9-B39E-A5EF3FBE4713}"/>
    <cellStyle name="20% - Accent3 3 2 4" xfId="3862" xr:uid="{B3664056-6FCF-4488-9A77-BF74C15BB8A6}"/>
    <cellStyle name="20% - Accent3 3 3" xfId="1815" xr:uid="{592F98F2-B4AD-42AB-A6E2-67FF0950841F}"/>
    <cellStyle name="20% - Accent3 3 3 2" xfId="2653" xr:uid="{0AFD1EF2-0FE0-4765-8734-E1D7A3853E8C}"/>
    <cellStyle name="20% - Accent3 3 3 2 2" xfId="5088" xr:uid="{FD884B17-49AD-4991-91B0-097BD0ED9E6B}"/>
    <cellStyle name="20% - Accent3 3 3 3" xfId="4332" xr:uid="{8F38C60D-E657-4C5A-84AC-2EAAE4FBC0A4}"/>
    <cellStyle name="20% - Accent3 3 4" xfId="2303" xr:uid="{0B87E608-DF69-4BD0-9AE9-4033E259A740}"/>
    <cellStyle name="20% - Accent3 3 4 2" xfId="4738" xr:uid="{78CD18B0-7CC0-4BD3-BBBC-EE18260B30E0}"/>
    <cellStyle name="20% - Accent3 3 5" xfId="973" xr:uid="{AB5D054D-9FD3-4F54-AD65-B7435A73F58A}"/>
    <cellStyle name="20% - Accent3 3 5 2" xfId="3861" xr:uid="{B7EB9F60-62CB-4CC4-B9B0-24947ECA7E53}"/>
    <cellStyle name="20% - Accent3 4" xfId="197" xr:uid="{00000000-0005-0000-0000-000015000000}"/>
    <cellStyle name="20% - Accent3 4 2" xfId="976" xr:uid="{9C0D4E76-07E0-4CFB-ABCB-56B683E5C1BA}"/>
    <cellStyle name="20% - Accent3 4 2 2" xfId="1983" xr:uid="{C5E18A03-061D-460C-9E0D-5E4515F30B08}"/>
    <cellStyle name="20% - Accent3 4 2 2 2" xfId="2821" xr:uid="{1E4E49C2-AAC5-4D0D-BC39-B6BAA92C6531}"/>
    <cellStyle name="20% - Accent3 4 2 2 2 2" xfId="5256" xr:uid="{7D839A4A-A443-4BD2-A20D-619131839913}"/>
    <cellStyle name="20% - Accent3 4 2 2 3" xfId="4500" xr:uid="{18442005-92BC-43B8-B58F-F672C02C660C}"/>
    <cellStyle name="20% - Accent3 4 2 3" xfId="2306" xr:uid="{FAAC5063-06E2-4296-AF98-8664D2AABEC0}"/>
    <cellStyle name="20% - Accent3 4 2 3 2" xfId="4741" xr:uid="{D926774F-B53A-4F71-AC33-4763BBE9E369}"/>
    <cellStyle name="20% - Accent3 4 2 4" xfId="3864" xr:uid="{8FE9A1C0-C18E-424F-B786-244FA637F61B}"/>
    <cellStyle name="20% - Accent3 4 3" xfId="1813" xr:uid="{D0B87D49-0A48-40F1-A7CB-BD29ABBC3EF9}"/>
    <cellStyle name="20% - Accent3 4 3 2" xfId="2651" xr:uid="{10423483-C5BF-42FD-8CB6-7B6538F6630F}"/>
    <cellStyle name="20% - Accent3 4 3 2 2" xfId="5086" xr:uid="{049F7C1C-3EEE-48DF-A776-64D1838F9A03}"/>
    <cellStyle name="20% - Accent3 4 3 3" xfId="4330" xr:uid="{B589C21F-CBB8-4ED2-BFA7-F4D5AEACBFD8}"/>
    <cellStyle name="20% - Accent3 4 4" xfId="2305" xr:uid="{ADF42BCE-45BB-4408-9F27-C0EA8972DA18}"/>
    <cellStyle name="20% - Accent3 4 4 2" xfId="4740" xr:uid="{3CB6FE64-AA87-496C-AB23-19CBB7BD1107}"/>
    <cellStyle name="20% - Accent3 4 5" xfId="975" xr:uid="{543CACB9-489A-41CD-93A0-84EF0D365944}"/>
    <cellStyle name="20% - Accent3 4 5 2" xfId="3863" xr:uid="{06678B94-8370-4B37-925B-45A09E44B5A5}"/>
    <cellStyle name="20% - Accent3 5" xfId="243" xr:uid="{00000000-0005-0000-0000-000016000000}"/>
    <cellStyle name="20% - Accent3 5 2" xfId="1961" xr:uid="{E753CB56-69F4-4C75-ADDD-E0D6EE7BD3A1}"/>
    <cellStyle name="20% - Accent3 5 2 2" xfId="2799" xr:uid="{BD45DB39-6319-4D67-A57B-414913B399B5}"/>
    <cellStyle name="20% - Accent3 5 2 2 2" xfId="5234" xr:uid="{41360DF6-9840-4320-AF18-197831769DF4}"/>
    <cellStyle name="20% - Accent3 5 2 3" xfId="4478" xr:uid="{2E041C25-4467-4A84-9D72-5142A116B276}"/>
    <cellStyle name="20% - Accent3 5 3" xfId="2307" xr:uid="{10772820-7654-4DBC-AC0F-34B83BBBF6F9}"/>
    <cellStyle name="20% - Accent3 5 3 2" xfId="4742" xr:uid="{CCD92B74-99C7-4B59-B84F-B3394561D3FC}"/>
    <cellStyle name="20% - Accent3 5 4" xfId="977" xr:uid="{ADED9F3F-8F59-4E0E-8A8E-94684C4899FC}"/>
    <cellStyle name="20% - Accent3 5 4 2" xfId="3865" xr:uid="{8B77B3E0-E302-4E7A-8D89-6694A47B661A}"/>
    <cellStyle name="20% - Accent3 6" xfId="292" xr:uid="{00000000-0005-0000-0000-000017000000}"/>
    <cellStyle name="20% - Accent3 6 2" xfId="2629" xr:uid="{DE824507-CB77-4F9F-95D5-EE06AC53C063}"/>
    <cellStyle name="20% - Accent3 6 2 2" xfId="5064" xr:uid="{EBF3494C-A8E2-451B-939E-34C3346F49FD}"/>
    <cellStyle name="20% - Accent3 6 3" xfId="1791" xr:uid="{F38B3921-7B0D-48AC-BB6C-454285E7984D}"/>
    <cellStyle name="20% - Accent3 6 3 2" xfId="4308" xr:uid="{462A1C57-B0DD-47F6-B824-5BEADD38136A}"/>
    <cellStyle name="20% - Accent3 7" xfId="356" xr:uid="{00000000-0005-0000-0000-000018000000}"/>
    <cellStyle name="20% - Accent3 7 2" xfId="2973" xr:uid="{EBBCB823-A93A-43C1-927B-87CAA8A2BAAD}"/>
    <cellStyle name="20% - Accent3 7 2 2" xfId="5408" xr:uid="{BB045980-9CAB-4448-AFCA-4DF3D7AAC8AF}"/>
    <cellStyle name="20% - Accent3 7 3" xfId="2135" xr:uid="{725C397B-6B53-4D9C-B684-4026A2DB8815}"/>
    <cellStyle name="20% - Accent3 7 3 2" xfId="4652" xr:uid="{24048B39-92F6-4D3E-A61B-586547AB9DF3}"/>
    <cellStyle name="20% - Accent3 8" xfId="427" xr:uid="{00000000-0005-0000-0000-000019000000}"/>
    <cellStyle name="20% - Accent3 8 2" xfId="2164" xr:uid="{0F0926F3-ECC6-4B25-9A8F-31F3B010F4B7}"/>
    <cellStyle name="20% - Accent3 8 2 2" xfId="4665" xr:uid="{94636EE7-4F49-4AC2-95FC-1FD4FB23234A}"/>
    <cellStyle name="20% - Accent3 9" xfId="531" xr:uid="{00000000-0005-0000-0000-00001A000000}"/>
    <cellStyle name="20% - Accent3 9 2" xfId="2178" xr:uid="{F5635B58-C54B-431A-A9D3-BB0919FD4219}"/>
    <cellStyle name="20% - Accent3 9 2 2" xfId="4679" xr:uid="{4F104492-CE55-4F43-98A3-1B136DBAE4A4}"/>
    <cellStyle name="20% - Accent4" xfId="4" builtinId="42" customBuiltin="1"/>
    <cellStyle name="20% - Accent4 10" xfId="2621" xr:uid="{3B246094-1720-43B5-B680-538F0B9BDA82}"/>
    <cellStyle name="20% - Accent4 10 2" xfId="5056" xr:uid="{040F4E02-EBD6-418C-B81E-B50F042FD4DE}"/>
    <cellStyle name="20% - Accent4 11" xfId="915" xr:uid="{5A6EEF32-3650-4018-B54A-AD33BB006856}"/>
    <cellStyle name="20% - Accent4 11 2" xfId="3827" xr:uid="{CAB20B1B-CB31-4D01-BC92-00672AD3C219}"/>
    <cellStyle name="20% - Accent4 2" xfId="118" xr:uid="{00000000-0005-0000-0000-00001C000000}"/>
    <cellStyle name="20% - Accent4 2 2" xfId="990" xr:uid="{AD11BAD8-EB0E-4C02-B7E0-C8A5C5BC992E}"/>
    <cellStyle name="20% - Accent4 2 3" xfId="991" xr:uid="{F37AA1A0-CC98-40B9-9C98-EFFDE52DE8EB}"/>
    <cellStyle name="20% - Accent4 2 3 2" xfId="992" xr:uid="{8740DF73-40EF-423B-B763-D97D8BCD625F}"/>
    <cellStyle name="20% - Accent4 2 3 2 2" xfId="1987" xr:uid="{50D7960A-5EBA-4D17-B5E4-486906E08A20}"/>
    <cellStyle name="20% - Accent4 2 3 2 2 2" xfId="2825" xr:uid="{EC1AAE1A-91C5-4103-9B27-4D1D0FE91ACC}"/>
    <cellStyle name="20% - Accent4 2 3 2 2 2 2" xfId="5260" xr:uid="{C7C1C9F6-4215-4672-A45C-39350091EDDC}"/>
    <cellStyle name="20% - Accent4 2 3 2 2 3" xfId="4504" xr:uid="{3158E772-1AFA-45FE-9836-C55201ED0407}"/>
    <cellStyle name="20% - Accent4 2 3 2 3" xfId="2309" xr:uid="{8657D0CA-0A0E-48A8-BF17-7661EF597940}"/>
    <cellStyle name="20% - Accent4 2 3 2 3 2" xfId="4744" xr:uid="{B37C1CBC-2D8A-4CED-A95A-33138F7C90EA}"/>
    <cellStyle name="20% - Accent4 2 3 2 4" xfId="3870" xr:uid="{3D42FFD1-33DB-4C91-9240-1CE8121377F8}"/>
    <cellStyle name="20% - Accent4 2 3 3" xfId="1817" xr:uid="{46E3803B-4A29-4307-A8A2-D69AB3EB1929}"/>
    <cellStyle name="20% - Accent4 2 3 3 2" xfId="2655" xr:uid="{4004886A-F3E3-45AE-99E6-D759C004DD92}"/>
    <cellStyle name="20% - Accent4 2 3 3 2 2" xfId="5090" xr:uid="{132EF9A7-DFB3-44B4-BC9B-5B5D57F7F722}"/>
    <cellStyle name="20% - Accent4 2 3 3 3" xfId="4334" xr:uid="{3391F630-E113-4FC9-B5EB-3900D57CD177}"/>
    <cellStyle name="20% - Accent4 2 3 4" xfId="2308" xr:uid="{26963832-3F73-44E1-979B-DB77DCFAC3E8}"/>
    <cellStyle name="20% - Accent4 2 3 4 2" xfId="4743" xr:uid="{89F77D22-A34E-44E7-962D-2D0309141FBA}"/>
    <cellStyle name="20% - Accent4 2 3 5" xfId="3869" xr:uid="{6DB4A763-618E-4E54-A67D-1F8F0564AE45}"/>
    <cellStyle name="20% - Accent4 2 4" xfId="2219" xr:uid="{075B8647-6530-43C4-ADD7-C3E66A097459}"/>
    <cellStyle name="20% - Accent4 2 5" xfId="978" xr:uid="{41407D36-276F-427E-AA59-25CEF9B39271}"/>
    <cellStyle name="20% - Accent4 3" xfId="152" xr:uid="{00000000-0005-0000-0000-00001D000000}"/>
    <cellStyle name="20% - Accent4 3 2" xfId="994" xr:uid="{8EA00686-9AF7-455A-9C75-384CEBBBD61B}"/>
    <cellStyle name="20% - Accent4 3 2 2" xfId="1988" xr:uid="{E2019116-697E-44F4-B067-14D621F451AB}"/>
    <cellStyle name="20% - Accent4 3 2 2 2" xfId="2826" xr:uid="{FDAC9AD9-EE27-49C4-914E-1AA1BEEC14C2}"/>
    <cellStyle name="20% - Accent4 3 2 2 2 2" xfId="5261" xr:uid="{082399F4-96DF-47B5-9C73-2D93A48E8E2F}"/>
    <cellStyle name="20% - Accent4 3 2 2 3" xfId="4505" xr:uid="{46FDB8C5-E9E8-4B3B-A365-76F4024BF87D}"/>
    <cellStyle name="20% - Accent4 3 2 3" xfId="2311" xr:uid="{806C6774-D6C7-4EE8-A7F9-0731C5754DE1}"/>
    <cellStyle name="20% - Accent4 3 2 3 2" xfId="4746" xr:uid="{91330C7A-9AED-41EB-A197-D9907D2DE3A2}"/>
    <cellStyle name="20% - Accent4 3 2 4" xfId="3872" xr:uid="{D12157BB-7337-4314-9EB7-69685E3A7243}"/>
    <cellStyle name="20% - Accent4 3 3" xfId="1818" xr:uid="{083BC5F4-CE7C-44D6-817C-8DE06A951424}"/>
    <cellStyle name="20% - Accent4 3 3 2" xfId="2656" xr:uid="{2EAFABAD-E117-4497-87CC-74CC40D14302}"/>
    <cellStyle name="20% - Accent4 3 3 2 2" xfId="5091" xr:uid="{E5088DFE-EBE5-4FFE-9771-8267B252A125}"/>
    <cellStyle name="20% - Accent4 3 3 3" xfId="4335" xr:uid="{E94C647A-35CB-4AEE-93D3-3993C7983190}"/>
    <cellStyle name="20% - Accent4 3 4" xfId="2310" xr:uid="{C49B6845-9C0F-408F-847E-7BB01040D4FD}"/>
    <cellStyle name="20% - Accent4 3 4 2" xfId="4745" xr:uid="{EA29C7C7-F910-4FBD-A695-5D7DA1E60954}"/>
    <cellStyle name="20% - Accent4 3 5" xfId="993" xr:uid="{DDD2C970-219F-4FC0-9272-5809ACEBDED1}"/>
    <cellStyle name="20% - Accent4 3 5 2" xfId="3871" xr:uid="{E8D4AE52-6686-4481-AC67-A8473C6A7653}"/>
    <cellStyle name="20% - Accent4 4" xfId="198" xr:uid="{00000000-0005-0000-0000-00001E000000}"/>
    <cellStyle name="20% - Accent4 4 2" xfId="996" xr:uid="{BE25CD25-1068-40EC-976D-64B4DB0B9F1A}"/>
    <cellStyle name="20% - Accent4 4 2 2" xfId="1986" xr:uid="{744944CC-AFC2-4AEA-A3B0-9BA055A9C307}"/>
    <cellStyle name="20% - Accent4 4 2 2 2" xfId="2824" xr:uid="{598AA6E2-7C39-4ABB-999E-6F0B383D7539}"/>
    <cellStyle name="20% - Accent4 4 2 2 2 2" xfId="5259" xr:uid="{C49AF3F4-FDA9-4CED-9B31-3B298C5BA507}"/>
    <cellStyle name="20% - Accent4 4 2 2 3" xfId="4503" xr:uid="{2690F89E-5ABD-4643-8F52-18A1140C3F8E}"/>
    <cellStyle name="20% - Accent4 4 2 3" xfId="2313" xr:uid="{78686982-BAEA-4E23-962D-280F43539678}"/>
    <cellStyle name="20% - Accent4 4 2 3 2" xfId="4748" xr:uid="{959BAC1E-37A2-48C7-A365-EF25B10650CE}"/>
    <cellStyle name="20% - Accent4 4 2 4" xfId="3874" xr:uid="{26F6BEEC-EE56-40A7-B134-71BFB518374E}"/>
    <cellStyle name="20% - Accent4 4 3" xfId="1816" xr:uid="{83190624-4E4D-4E40-A1C7-92888BFA02F8}"/>
    <cellStyle name="20% - Accent4 4 3 2" xfId="2654" xr:uid="{49A10E1E-DC85-408D-B63A-6065F56D789C}"/>
    <cellStyle name="20% - Accent4 4 3 2 2" xfId="5089" xr:uid="{9328185E-619E-4C97-8117-68CF351A1EC6}"/>
    <cellStyle name="20% - Accent4 4 3 3" xfId="4333" xr:uid="{9061EA33-24D5-4699-A7EF-B842AB3DC73E}"/>
    <cellStyle name="20% - Accent4 4 4" xfId="2312" xr:uid="{6FCF534A-0EA9-4B7F-9F79-A333B98820D7}"/>
    <cellStyle name="20% - Accent4 4 4 2" xfId="4747" xr:uid="{97989DA6-E5BA-48F5-A60C-E68494987407}"/>
    <cellStyle name="20% - Accent4 4 5" xfId="995" xr:uid="{DFA5EF04-B3E9-4B5D-9F85-2930EA017724}"/>
    <cellStyle name="20% - Accent4 4 5 2" xfId="3873" xr:uid="{646F8E97-E2B7-4E2C-92D1-EF30D47C108D}"/>
    <cellStyle name="20% - Accent4 5" xfId="244" xr:uid="{00000000-0005-0000-0000-00001F000000}"/>
    <cellStyle name="20% - Accent4 5 2" xfId="1962" xr:uid="{ADA161F3-2D41-4676-BD2F-3E7196E94731}"/>
    <cellStyle name="20% - Accent4 5 2 2" xfId="2800" xr:uid="{2F1CB915-6CC7-44FD-951C-00B876F43780}"/>
    <cellStyle name="20% - Accent4 5 2 2 2" xfId="5235" xr:uid="{E0F69F5F-2F51-47C4-8C7D-89BD1DCE69EA}"/>
    <cellStyle name="20% - Accent4 5 2 3" xfId="4479" xr:uid="{56118FF9-B512-4109-84C7-0186EC575E3E}"/>
    <cellStyle name="20% - Accent4 5 3" xfId="2314" xr:uid="{9747D78F-093D-4B47-8A38-96D7F968850B}"/>
    <cellStyle name="20% - Accent4 5 3 2" xfId="4749" xr:uid="{799B96A5-9C99-45F9-9C19-1165C57E06EC}"/>
    <cellStyle name="20% - Accent4 5 4" xfId="997" xr:uid="{3CC0B8DE-554D-4A59-8AE4-77900C732C2A}"/>
    <cellStyle name="20% - Accent4 5 4 2" xfId="3875" xr:uid="{1B5C81B1-65BD-4DD2-AA65-44AE87DD249D}"/>
    <cellStyle name="20% - Accent4 6" xfId="293" xr:uid="{00000000-0005-0000-0000-000020000000}"/>
    <cellStyle name="20% - Accent4 6 2" xfId="2630" xr:uid="{E591D52A-CCE6-4B0B-8597-1A6DBEF752A2}"/>
    <cellStyle name="20% - Accent4 6 2 2" xfId="5065" xr:uid="{6CF8AF5E-3730-4BB7-9B29-603F003BA235}"/>
    <cellStyle name="20% - Accent4 6 3" xfId="1792" xr:uid="{F940F4DD-2457-47CA-97AD-8792B5DBC7C5}"/>
    <cellStyle name="20% - Accent4 6 3 2" xfId="4309" xr:uid="{45AAE682-8192-4845-AFB2-6603CF47FA91}"/>
    <cellStyle name="20% - Accent4 7" xfId="357" xr:uid="{00000000-0005-0000-0000-000021000000}"/>
    <cellStyle name="20% - Accent4 7 2" xfId="2975" xr:uid="{0B41D3AE-EA91-4627-B1BC-B18C40D99F8D}"/>
    <cellStyle name="20% - Accent4 7 2 2" xfId="5410" xr:uid="{FCD70600-CE08-4DC5-8CC0-F38E631FCB7C}"/>
    <cellStyle name="20% - Accent4 7 3" xfId="2137" xr:uid="{AFA90D69-FED5-45B2-BC8B-3ABC622E7564}"/>
    <cellStyle name="20% - Accent4 7 3 2" xfId="4654" xr:uid="{ACA308D2-4F47-4F74-8420-CDB75EB62EBC}"/>
    <cellStyle name="20% - Accent4 8" xfId="428" xr:uid="{00000000-0005-0000-0000-000022000000}"/>
    <cellStyle name="20% - Accent4 8 2" xfId="2166" xr:uid="{279FEF06-27CB-4D4A-8DC7-721ACEEA3476}"/>
    <cellStyle name="20% - Accent4 8 2 2" xfId="4667" xr:uid="{2DD21D8D-B606-46ED-BE8B-1F85A1AEE040}"/>
    <cellStyle name="20% - Accent4 9" xfId="532" xr:uid="{00000000-0005-0000-0000-000023000000}"/>
    <cellStyle name="20% - Accent4 9 2" xfId="2180" xr:uid="{9C5FA449-C34D-49CA-B79F-5874FCBE6CDD}"/>
    <cellStyle name="20% - Accent4 9 2 2" xfId="4681" xr:uid="{25188845-D549-4B21-BC70-DE161D5492FD}"/>
    <cellStyle name="20% - Accent5" xfId="5" builtinId="46" customBuiltin="1"/>
    <cellStyle name="20% - Accent5 10" xfId="2623" xr:uid="{6838C6DB-F91B-405D-9955-F790BD8866AB}"/>
    <cellStyle name="20% - Accent5 10 2" xfId="5058" xr:uid="{62E328D9-A66D-4C93-B645-9E5C3AEC8E58}"/>
    <cellStyle name="20% - Accent5 11" xfId="955" xr:uid="{65D9CE5D-1048-4C74-92E8-52AAD66AFC95}"/>
    <cellStyle name="20% - Accent5 11 2" xfId="3846" xr:uid="{97F1742F-EE5C-4CB9-B4B3-6964688E9D4E}"/>
    <cellStyle name="20% - Accent5 2" xfId="119" xr:uid="{00000000-0005-0000-0000-000025000000}"/>
    <cellStyle name="20% - Accent5 2 2" xfId="999" xr:uid="{7B5C3155-02B1-4EDC-8B6B-5B064CD8FACE}"/>
    <cellStyle name="20% - Accent5 2 3" xfId="1000" xr:uid="{5A35E671-037E-4446-B676-B44A4A44C604}"/>
    <cellStyle name="20% - Accent5 2 3 2" xfId="1001" xr:uid="{7C69208B-6F47-419A-A30F-7D48C2B6C02A}"/>
    <cellStyle name="20% - Accent5 2 3 2 2" xfId="1990" xr:uid="{D7B6362A-66A5-4F7C-860F-221FBE4B7D1F}"/>
    <cellStyle name="20% - Accent5 2 3 2 2 2" xfId="2828" xr:uid="{E40D3A5F-568E-4EDF-A2C6-E1490F686110}"/>
    <cellStyle name="20% - Accent5 2 3 2 2 2 2" xfId="5263" xr:uid="{B6069C67-F9ED-465F-9629-5060AB2F2E03}"/>
    <cellStyle name="20% - Accent5 2 3 2 2 3" xfId="4507" xr:uid="{F13DD214-5A10-4D05-9013-992F07BC0C29}"/>
    <cellStyle name="20% - Accent5 2 3 2 3" xfId="2316" xr:uid="{0A18502E-91A4-4CA9-AA6A-834170908847}"/>
    <cellStyle name="20% - Accent5 2 3 2 3 2" xfId="4751" xr:uid="{D1BAD48E-94C5-4ED8-9866-6295A121C356}"/>
    <cellStyle name="20% - Accent5 2 3 2 4" xfId="3877" xr:uid="{5D95B66C-1796-41CD-81D5-C93FFF8314DD}"/>
    <cellStyle name="20% - Accent5 2 3 3" xfId="1820" xr:uid="{56132001-12FE-43E0-A866-2099ECB6DAA4}"/>
    <cellStyle name="20% - Accent5 2 3 3 2" xfId="2658" xr:uid="{45706CF6-E31B-4035-9572-EB5647294671}"/>
    <cellStyle name="20% - Accent5 2 3 3 2 2" xfId="5093" xr:uid="{C5A61A4F-E37C-4897-AD03-4501467DF222}"/>
    <cellStyle name="20% - Accent5 2 3 3 3" xfId="4337" xr:uid="{4534452B-1EB7-4168-ADF2-40AD63937640}"/>
    <cellStyle name="20% - Accent5 2 3 4" xfId="2315" xr:uid="{EAF24546-C969-44E0-B446-36ACA632C60B}"/>
    <cellStyle name="20% - Accent5 2 3 4 2" xfId="4750" xr:uid="{2CB39F72-F137-4615-8936-FBB7828CE826}"/>
    <cellStyle name="20% - Accent5 2 3 5" xfId="3876" xr:uid="{9CBD559E-7C5C-4807-827B-BB55B0B5455C}"/>
    <cellStyle name="20% - Accent5 2 4" xfId="2220" xr:uid="{F98227FC-5253-4B46-9E09-F249A2650BFA}"/>
    <cellStyle name="20% - Accent5 2 5" xfId="998" xr:uid="{8760A610-AD8B-447D-BBC5-668CB764E525}"/>
    <cellStyle name="20% - Accent5 3" xfId="153" xr:uid="{00000000-0005-0000-0000-000026000000}"/>
    <cellStyle name="20% - Accent5 3 2" xfId="1003" xr:uid="{9EF973E9-CAF4-4B7B-962C-3BF2F8E8CC62}"/>
    <cellStyle name="20% - Accent5 3 2 2" xfId="1991" xr:uid="{928F28D5-455D-42E0-B049-F840D568D4AF}"/>
    <cellStyle name="20% - Accent5 3 2 2 2" xfId="2829" xr:uid="{39F47B1B-CC14-415D-B7B6-A9686C46E583}"/>
    <cellStyle name="20% - Accent5 3 2 2 2 2" xfId="5264" xr:uid="{1F8DE7A4-11DF-43FB-B921-8714407D074D}"/>
    <cellStyle name="20% - Accent5 3 2 2 3" xfId="4508" xr:uid="{73536A38-2E6D-4708-8DE8-DDD214F24609}"/>
    <cellStyle name="20% - Accent5 3 2 3" xfId="2318" xr:uid="{ECEEC8EF-F888-4F3D-A6EF-6D8436AAAEA3}"/>
    <cellStyle name="20% - Accent5 3 2 3 2" xfId="4753" xr:uid="{76DF84AC-63CD-4A0E-93BE-BF5189E4F266}"/>
    <cellStyle name="20% - Accent5 3 2 4" xfId="3879" xr:uid="{6B0713C1-E84D-48F0-81F8-1F00CEA241E9}"/>
    <cellStyle name="20% - Accent5 3 3" xfId="1821" xr:uid="{AD14CF76-C82F-48DF-BF54-C960C90F9C84}"/>
    <cellStyle name="20% - Accent5 3 3 2" xfId="2659" xr:uid="{53B9054F-287D-4ED0-A13F-5533116E6542}"/>
    <cellStyle name="20% - Accent5 3 3 2 2" xfId="5094" xr:uid="{88087135-5B8E-474F-B3D3-195622B3C0A3}"/>
    <cellStyle name="20% - Accent5 3 3 3" xfId="4338" xr:uid="{100EE6FF-A653-4F53-8A11-69F26C67D491}"/>
    <cellStyle name="20% - Accent5 3 4" xfId="2317" xr:uid="{FF60A855-3B8A-4019-9058-ED5FAF5861E8}"/>
    <cellStyle name="20% - Accent5 3 4 2" xfId="4752" xr:uid="{F646AE9F-F323-4EE1-95A0-C02ADD14D9DE}"/>
    <cellStyle name="20% - Accent5 3 5" xfId="1002" xr:uid="{66A87533-90B6-4B1A-B0E5-C9B470CD23B3}"/>
    <cellStyle name="20% - Accent5 3 5 2" xfId="3878" xr:uid="{30D46826-05A9-4DBA-AE28-BCCBF653EBB4}"/>
    <cellStyle name="20% - Accent5 4" xfId="199" xr:uid="{00000000-0005-0000-0000-000027000000}"/>
    <cellStyle name="20% - Accent5 4 2" xfId="1005" xr:uid="{AA644061-9800-4EC0-8A2D-50A8B4859DBA}"/>
    <cellStyle name="20% - Accent5 4 2 2" xfId="1989" xr:uid="{65F84DE7-7582-4CE5-AAE4-089F874701F2}"/>
    <cellStyle name="20% - Accent5 4 2 2 2" xfId="2827" xr:uid="{473D1B3D-8A9C-4F6C-8B8D-DBDD8805BDB1}"/>
    <cellStyle name="20% - Accent5 4 2 2 2 2" xfId="5262" xr:uid="{6CFCA27E-F752-473B-8338-BD93C8B98E57}"/>
    <cellStyle name="20% - Accent5 4 2 2 3" xfId="4506" xr:uid="{FD40DF06-F49F-4971-8B9B-2B1B5BAB5A5D}"/>
    <cellStyle name="20% - Accent5 4 2 3" xfId="2320" xr:uid="{29086845-2772-429E-9818-D7E62C0C192B}"/>
    <cellStyle name="20% - Accent5 4 2 3 2" xfId="4755" xr:uid="{694771FA-D0B7-4281-8B52-6577793C87E0}"/>
    <cellStyle name="20% - Accent5 4 2 4" xfId="3881" xr:uid="{45BA9550-D03D-4673-A73E-4637E9590E8F}"/>
    <cellStyle name="20% - Accent5 4 3" xfId="1819" xr:uid="{6821BDDF-2075-48EF-91B5-8E552E9AE38D}"/>
    <cellStyle name="20% - Accent5 4 3 2" xfId="2657" xr:uid="{13EF4B57-3E05-4E81-ACD7-C490BEC58E3F}"/>
    <cellStyle name="20% - Accent5 4 3 2 2" xfId="5092" xr:uid="{69C9F7B5-6933-48F9-89F4-7E074DA4205E}"/>
    <cellStyle name="20% - Accent5 4 3 3" xfId="4336" xr:uid="{0026E6B3-271A-43B7-8B22-D641E01BF4F9}"/>
    <cellStyle name="20% - Accent5 4 4" xfId="2319" xr:uid="{7879E237-7FC4-4E34-8CEB-AC4398F530CB}"/>
    <cellStyle name="20% - Accent5 4 4 2" xfId="4754" xr:uid="{FC93B88B-26DC-4016-B094-8DE8F251E784}"/>
    <cellStyle name="20% - Accent5 4 5" xfId="1004" xr:uid="{1899A785-A684-45DA-AE71-1FD9C1F733EA}"/>
    <cellStyle name="20% - Accent5 4 5 2" xfId="3880" xr:uid="{7FD88EB2-79BE-4361-9B32-C3AC11868042}"/>
    <cellStyle name="20% - Accent5 5" xfId="245" xr:uid="{00000000-0005-0000-0000-000028000000}"/>
    <cellStyle name="20% - Accent5 5 2" xfId="1963" xr:uid="{D8B730FA-47E5-4692-90C1-F0F8DBD24AA6}"/>
    <cellStyle name="20% - Accent5 5 2 2" xfId="2801" xr:uid="{C9A74226-BC2B-440C-846F-873E586DC660}"/>
    <cellStyle name="20% - Accent5 5 2 2 2" xfId="5236" xr:uid="{77E33AE2-5E04-42E4-B3DC-3258794FFA4B}"/>
    <cellStyle name="20% - Accent5 5 2 3" xfId="4480" xr:uid="{4EE21CBA-9DC2-4F36-9C52-8C5F59C419C9}"/>
    <cellStyle name="20% - Accent5 5 3" xfId="2321" xr:uid="{1AA93757-A072-4EA9-AC5D-F4084391F2BE}"/>
    <cellStyle name="20% - Accent5 5 3 2" xfId="4756" xr:uid="{44AED110-499B-4C71-AAFB-D7A55515B370}"/>
    <cellStyle name="20% - Accent5 5 4" xfId="1006" xr:uid="{371A469F-AC47-4255-A777-DC99FF1E267C}"/>
    <cellStyle name="20% - Accent5 5 4 2" xfId="3882" xr:uid="{EDF4D78E-DD45-4B79-9515-614AE7BC41FF}"/>
    <cellStyle name="20% - Accent5 6" xfId="294" xr:uid="{00000000-0005-0000-0000-000029000000}"/>
    <cellStyle name="20% - Accent5 6 2" xfId="2631" xr:uid="{78177C13-B088-4043-8BE7-9473C983F540}"/>
    <cellStyle name="20% - Accent5 6 2 2" xfId="5066" xr:uid="{ED82CC04-98F8-465F-8A67-20F7DF6648D5}"/>
    <cellStyle name="20% - Accent5 6 3" xfId="1793" xr:uid="{D5581B2D-3A53-4D15-B3E3-5833254AF209}"/>
    <cellStyle name="20% - Accent5 6 3 2" xfId="4310" xr:uid="{B6B175A8-02B6-46F5-A9F3-F6A3E6A02BC9}"/>
    <cellStyle name="20% - Accent5 7" xfId="358" xr:uid="{00000000-0005-0000-0000-00002A000000}"/>
    <cellStyle name="20% - Accent5 7 2" xfId="2977" xr:uid="{7EFC81BD-072A-4105-A587-0039157F90AD}"/>
    <cellStyle name="20% - Accent5 7 2 2" xfId="5412" xr:uid="{66B4D51D-2472-4470-9E74-57C631DCED0F}"/>
    <cellStyle name="20% - Accent5 7 3" xfId="2139" xr:uid="{F83AD71D-90F4-43AB-AF68-AA61A396CEBF}"/>
    <cellStyle name="20% - Accent5 7 3 2" xfId="4656" xr:uid="{501C41A7-D99F-423A-90F5-BEDA4ABA7C25}"/>
    <cellStyle name="20% - Accent5 8" xfId="429" xr:uid="{00000000-0005-0000-0000-00002B000000}"/>
    <cellStyle name="20% - Accent5 8 2" xfId="2168" xr:uid="{79F8541E-4003-4E4A-8FB0-75B183F81C6D}"/>
    <cellStyle name="20% - Accent5 8 2 2" xfId="4669" xr:uid="{84E1334E-66D9-4F18-9BCA-09107C3D2855}"/>
    <cellStyle name="20% - Accent5 9" xfId="533" xr:uid="{00000000-0005-0000-0000-00002C000000}"/>
    <cellStyle name="20% - Accent5 9 2" xfId="2182" xr:uid="{AFC5FC3C-446B-4FFD-BD2F-2CA2F2885C3E}"/>
    <cellStyle name="20% - Accent5 9 2 2" xfId="4683" xr:uid="{EF8226F4-2EB0-40B1-9FA2-B9EDA30793DE}"/>
    <cellStyle name="20% - Accent6" xfId="6" builtinId="50" customBuiltin="1"/>
    <cellStyle name="20% - Accent6 10" xfId="2625" xr:uid="{139A38CA-48A4-420F-A66C-C60413E459E3}"/>
    <cellStyle name="20% - Accent6 10 2" xfId="5060" xr:uid="{75CACBBF-BB25-4D3E-821F-2396AA1ED485}"/>
    <cellStyle name="20% - Accent6 11" xfId="958" xr:uid="{B196BEDD-6B0C-4E1B-87E6-F4BD78EECC60}"/>
    <cellStyle name="20% - Accent6 11 2" xfId="3848" xr:uid="{EC3B6E11-5F16-41CF-BE18-9CA72FBC805F}"/>
    <cellStyle name="20% - Accent6 2" xfId="120" xr:uid="{00000000-0005-0000-0000-00002E000000}"/>
    <cellStyle name="20% - Accent6 2 2" xfId="1008" xr:uid="{32A5127A-3158-42F6-ACB8-F01D7AD7CBAE}"/>
    <cellStyle name="20% - Accent6 2 3" xfId="1009" xr:uid="{15F34193-FEFE-41FB-B285-50FEE25AC214}"/>
    <cellStyle name="20% - Accent6 2 3 2" xfId="1010" xr:uid="{29751FB2-23BC-4A0B-9D2B-386F70DDBD1D}"/>
    <cellStyle name="20% - Accent6 2 3 2 2" xfId="1993" xr:uid="{767E7C03-25F3-4099-A590-8993B88049A2}"/>
    <cellStyle name="20% - Accent6 2 3 2 2 2" xfId="2831" xr:uid="{C8CE4F9D-3B59-4168-9DC4-1F8CFCE3A7DA}"/>
    <cellStyle name="20% - Accent6 2 3 2 2 2 2" xfId="5266" xr:uid="{24A882A1-AF59-4A81-BC52-882B528D277A}"/>
    <cellStyle name="20% - Accent6 2 3 2 2 3" xfId="4510" xr:uid="{571644A2-CEBE-44C0-8461-F2632C02A947}"/>
    <cellStyle name="20% - Accent6 2 3 2 3" xfId="2323" xr:uid="{37B0D38D-241E-4FD5-9913-741F562B68BD}"/>
    <cellStyle name="20% - Accent6 2 3 2 3 2" xfId="4758" xr:uid="{85E6C73D-DD08-44D8-AC93-FD6316C20D7F}"/>
    <cellStyle name="20% - Accent6 2 3 2 4" xfId="3884" xr:uid="{68F4EA79-E96E-4D8B-9FC3-7CD8A1C42971}"/>
    <cellStyle name="20% - Accent6 2 3 3" xfId="1823" xr:uid="{DE964CA4-EFEA-4507-B351-4BC01D0B1A19}"/>
    <cellStyle name="20% - Accent6 2 3 3 2" xfId="2661" xr:uid="{6773F93F-E0A5-46F6-BE89-C126DBA3A359}"/>
    <cellStyle name="20% - Accent6 2 3 3 2 2" xfId="5096" xr:uid="{DFEDCFD8-7ACD-4A6F-BCA7-4964AF3DC8E1}"/>
    <cellStyle name="20% - Accent6 2 3 3 3" xfId="4340" xr:uid="{874A11FF-928C-4B41-99B2-61D756BD7C99}"/>
    <cellStyle name="20% - Accent6 2 3 4" xfId="2322" xr:uid="{8B9AC681-C74B-49D8-B5DF-8951548AEDDF}"/>
    <cellStyle name="20% - Accent6 2 3 4 2" xfId="4757" xr:uid="{15CC0B2B-28DB-4F52-8D11-C0EC7400DDC2}"/>
    <cellStyle name="20% - Accent6 2 3 5" xfId="3883" xr:uid="{2C6D429E-1151-46CC-B445-9C40C7CE9732}"/>
    <cellStyle name="20% - Accent6 2 4" xfId="2221" xr:uid="{1A3DBE4A-C500-4E69-90EF-CF2C4EF38B1E}"/>
    <cellStyle name="20% - Accent6 2 5" xfId="1007" xr:uid="{9B49734C-E797-4017-9F8B-57F174BA59E8}"/>
    <cellStyle name="20% - Accent6 3" xfId="154" xr:uid="{00000000-0005-0000-0000-00002F000000}"/>
    <cellStyle name="20% - Accent6 3 2" xfId="1012" xr:uid="{1FFCAC97-0DD8-4341-AECB-C9037D8A9C54}"/>
    <cellStyle name="20% - Accent6 3 2 2" xfId="1994" xr:uid="{F0964D8A-F982-47DB-9D2A-69AAA5276D6E}"/>
    <cellStyle name="20% - Accent6 3 2 2 2" xfId="2832" xr:uid="{55830FB8-ECCE-463F-980D-00966899FD23}"/>
    <cellStyle name="20% - Accent6 3 2 2 2 2" xfId="5267" xr:uid="{7A504E44-489F-4F50-B101-31926F83F82A}"/>
    <cellStyle name="20% - Accent6 3 2 2 3" xfId="4511" xr:uid="{73B2140E-2551-4CE0-A997-276F549FBC24}"/>
    <cellStyle name="20% - Accent6 3 2 3" xfId="2325" xr:uid="{969F23C2-3B2F-4F92-96BA-B58367C225A6}"/>
    <cellStyle name="20% - Accent6 3 2 3 2" xfId="4760" xr:uid="{F91DC0C4-AB48-49B6-B58C-E24F9FCFCA93}"/>
    <cellStyle name="20% - Accent6 3 2 4" xfId="3886" xr:uid="{997D49AC-28D0-4DC5-9DA3-190BEBA69AB8}"/>
    <cellStyle name="20% - Accent6 3 3" xfId="1824" xr:uid="{EA9F2BF0-7637-430B-A65A-B6B2AB02AE85}"/>
    <cellStyle name="20% - Accent6 3 3 2" xfId="2662" xr:uid="{3A61757D-1082-4B74-8AC7-9DEC567E744A}"/>
    <cellStyle name="20% - Accent6 3 3 2 2" xfId="5097" xr:uid="{48AD3C59-CFCF-4C1F-81FF-9A2051B5E2AC}"/>
    <cellStyle name="20% - Accent6 3 3 3" xfId="4341" xr:uid="{62318227-B596-4F8D-BB38-6B591C923498}"/>
    <cellStyle name="20% - Accent6 3 4" xfId="2324" xr:uid="{FC852339-ADB8-4F5E-A0CD-97DB78B76527}"/>
    <cellStyle name="20% - Accent6 3 4 2" xfId="4759" xr:uid="{7FEE3C9E-50A4-4670-90F4-B1335D60734C}"/>
    <cellStyle name="20% - Accent6 3 5" xfId="1011" xr:uid="{949DA3A4-504F-499F-951E-89B06CD75A3B}"/>
    <cellStyle name="20% - Accent6 3 5 2" xfId="3885" xr:uid="{8A135F68-F411-4549-8486-0BFC84DE2E78}"/>
    <cellStyle name="20% - Accent6 4" xfId="200" xr:uid="{00000000-0005-0000-0000-000030000000}"/>
    <cellStyle name="20% - Accent6 4 2" xfId="1014" xr:uid="{3C103C63-E1FB-49A7-B883-6396EC392837}"/>
    <cellStyle name="20% - Accent6 4 2 2" xfId="1992" xr:uid="{D71DC411-7CA8-48C4-BECA-07D33584524A}"/>
    <cellStyle name="20% - Accent6 4 2 2 2" xfId="2830" xr:uid="{38C70ADE-5196-4C51-BB7B-8725CC6ED438}"/>
    <cellStyle name="20% - Accent6 4 2 2 2 2" xfId="5265" xr:uid="{CF9A8566-14DF-42DC-8F30-A87A025ABCC8}"/>
    <cellStyle name="20% - Accent6 4 2 2 3" xfId="4509" xr:uid="{87E34A21-FA6A-434C-BCE7-EC3FC13BF0CD}"/>
    <cellStyle name="20% - Accent6 4 2 3" xfId="2327" xr:uid="{5028CC10-8F79-42F4-AA4F-14F8812C8659}"/>
    <cellStyle name="20% - Accent6 4 2 3 2" xfId="4762" xr:uid="{3DFA315E-0EE5-427D-A2BA-75D702FB9976}"/>
    <cellStyle name="20% - Accent6 4 2 4" xfId="3888" xr:uid="{5F39E91C-DEE9-4AAE-BBBC-96FD6FEE4350}"/>
    <cellStyle name="20% - Accent6 4 3" xfId="1822" xr:uid="{4E34EB62-5440-42DD-8BB2-B6A5B5AA818A}"/>
    <cellStyle name="20% - Accent6 4 3 2" xfId="2660" xr:uid="{DA677DDD-626D-4ABD-9AD8-40C33D5EA3D7}"/>
    <cellStyle name="20% - Accent6 4 3 2 2" xfId="5095" xr:uid="{15E27458-E25C-4A2C-801C-2FA22CF466A1}"/>
    <cellStyle name="20% - Accent6 4 3 3" xfId="4339" xr:uid="{5A763E22-205A-478C-B99A-E3BA57D5EB60}"/>
    <cellStyle name="20% - Accent6 4 4" xfId="2326" xr:uid="{9F4BA4ED-C76C-40B3-A529-40F93C5044D5}"/>
    <cellStyle name="20% - Accent6 4 4 2" xfId="4761" xr:uid="{AF8BE3ED-A36C-470D-B949-3267192289C3}"/>
    <cellStyle name="20% - Accent6 4 5" xfId="1013" xr:uid="{9835A1A3-582B-4CC5-BEB3-3F9F0E66E2FC}"/>
    <cellStyle name="20% - Accent6 4 5 2" xfId="3887" xr:uid="{E7279F50-AF90-4376-9B6F-4E673E898393}"/>
    <cellStyle name="20% - Accent6 5" xfId="246" xr:uid="{00000000-0005-0000-0000-000031000000}"/>
    <cellStyle name="20% - Accent6 5 2" xfId="1964" xr:uid="{C4A807BD-1441-4A64-B357-61DF14CEDC7F}"/>
    <cellStyle name="20% - Accent6 5 2 2" xfId="2802" xr:uid="{806E15D8-A54D-4A6E-9772-D01A7672815B}"/>
    <cellStyle name="20% - Accent6 5 2 2 2" xfId="5237" xr:uid="{E20E59F7-2901-47B4-90A6-67783099AC5F}"/>
    <cellStyle name="20% - Accent6 5 2 3" xfId="4481" xr:uid="{8E2C9663-AE93-4753-A264-E807C883A62F}"/>
    <cellStyle name="20% - Accent6 5 3" xfId="2328" xr:uid="{0621E947-548F-4EE2-99F6-CCF6F1B65603}"/>
    <cellStyle name="20% - Accent6 5 3 2" xfId="4763" xr:uid="{ACC09F02-37B4-4B09-9DE4-4092C202DCCB}"/>
    <cellStyle name="20% - Accent6 5 4" xfId="1015" xr:uid="{4621D1A5-CB6A-48BB-8500-CA57A2AD7313}"/>
    <cellStyle name="20% - Accent6 5 4 2" xfId="3889" xr:uid="{54486E86-02B7-41AB-9D64-7C4D5340CC03}"/>
    <cellStyle name="20% - Accent6 6" xfId="295" xr:uid="{00000000-0005-0000-0000-000032000000}"/>
    <cellStyle name="20% - Accent6 6 2" xfId="2632" xr:uid="{22D31A18-E558-42D0-8E06-9901EE55CA19}"/>
    <cellStyle name="20% - Accent6 6 2 2" xfId="5067" xr:uid="{5B87FEA5-72D1-4903-B335-65AB4C35EF5C}"/>
    <cellStyle name="20% - Accent6 6 3" xfId="1794" xr:uid="{E6EBB1C7-654C-4277-89B4-491E8CD6B2C3}"/>
    <cellStyle name="20% - Accent6 6 3 2" xfId="4311" xr:uid="{D1063137-A923-4D90-9B61-FCAA318855CE}"/>
    <cellStyle name="20% - Accent6 7" xfId="359" xr:uid="{00000000-0005-0000-0000-000033000000}"/>
    <cellStyle name="20% - Accent6 7 2" xfId="2979" xr:uid="{1D4239AF-0E88-411D-B0C6-31687C78CA14}"/>
    <cellStyle name="20% - Accent6 7 2 2" xfId="5414" xr:uid="{552859F0-BB5A-4E9F-9012-76EF315ED881}"/>
    <cellStyle name="20% - Accent6 7 3" xfId="2141" xr:uid="{451580E6-A980-4075-9D43-10BF72B6A4CC}"/>
    <cellStyle name="20% - Accent6 7 3 2" xfId="4658" xr:uid="{C465DDD3-7035-44CC-A139-BBB3173BAF65}"/>
    <cellStyle name="20% - Accent6 8" xfId="430" xr:uid="{00000000-0005-0000-0000-000034000000}"/>
    <cellStyle name="20% - Accent6 8 2" xfId="2170" xr:uid="{9F0149A4-331C-43E7-A5AD-DBED7B7EDFB2}"/>
    <cellStyle name="20% - Accent6 8 2 2" xfId="4671" xr:uid="{818EC89C-84A0-4752-9EA2-C1985C476E52}"/>
    <cellStyle name="20% - Accent6 9" xfId="534" xr:uid="{00000000-0005-0000-0000-000035000000}"/>
    <cellStyle name="20% - Accent6 9 2" xfId="2184" xr:uid="{B0835F1C-8ADD-4FC2-956F-2355BE589A25}"/>
    <cellStyle name="20% - Accent6 9 2 2" xfId="4685" xr:uid="{81885053-AE07-43EE-8191-1B98F57CEBA0}"/>
    <cellStyle name="40% - Accent1" xfId="7" builtinId="31" customBuiltin="1"/>
    <cellStyle name="40% - Accent1 10" xfId="2616" xr:uid="{8DCF070A-6C11-487D-BFBD-3D35B39B9F92}"/>
    <cellStyle name="40% - Accent1 10 2" xfId="5051" xr:uid="{9832DBC0-357D-4D3B-90CF-9E606EECB899}"/>
    <cellStyle name="40% - Accent1 11" xfId="944" xr:uid="{46097E77-5F1A-4B07-AE71-FAFFE50481D3}"/>
    <cellStyle name="40% - Accent1 11 2" xfId="3840" xr:uid="{3E771EAA-1729-4A37-8AF3-FB219A90044D}"/>
    <cellStyle name="40% - Accent1 2" xfId="121" xr:uid="{00000000-0005-0000-0000-000037000000}"/>
    <cellStyle name="40% - Accent1 2 2" xfId="1017" xr:uid="{EE48B4A9-65FA-4FC8-8680-BDD0BA5C69A3}"/>
    <cellStyle name="40% - Accent1 2 3" xfId="1018" xr:uid="{DC9195C7-F47C-43FD-BA98-0D0C4E98A4A6}"/>
    <cellStyle name="40% - Accent1 2 3 2" xfId="1019" xr:uid="{D6B387A6-9662-44E6-BEFE-7848465CE965}"/>
    <cellStyle name="40% - Accent1 2 3 2 2" xfId="1996" xr:uid="{8EEB65FC-E9BB-4FC4-B673-61FC5029F6AC}"/>
    <cellStyle name="40% - Accent1 2 3 2 2 2" xfId="2834" xr:uid="{5CE6FBD4-4399-4CAD-B4E9-2BA8007C0CC6}"/>
    <cellStyle name="40% - Accent1 2 3 2 2 2 2" xfId="5269" xr:uid="{281C139D-322A-417C-A280-3D7CD37572E6}"/>
    <cellStyle name="40% - Accent1 2 3 2 2 3" xfId="4513" xr:uid="{3E42D775-0DFA-4673-986B-BB5F1C629B1C}"/>
    <cellStyle name="40% - Accent1 2 3 2 3" xfId="2330" xr:uid="{55C66B1D-61A6-42B8-BB57-CB269C402D79}"/>
    <cellStyle name="40% - Accent1 2 3 2 3 2" xfId="4765" xr:uid="{B4D17EA6-795B-4437-BCA2-3588FEC9E177}"/>
    <cellStyle name="40% - Accent1 2 3 2 4" xfId="3891" xr:uid="{97A5CD8D-9080-4400-9C41-E55A5B5D0506}"/>
    <cellStyle name="40% - Accent1 2 3 3" xfId="1826" xr:uid="{B9432942-8463-453B-8802-AA2CDBDB5784}"/>
    <cellStyle name="40% - Accent1 2 3 3 2" xfId="2664" xr:uid="{D7FC95AD-F906-4945-980F-972E3AC29BFF}"/>
    <cellStyle name="40% - Accent1 2 3 3 2 2" xfId="5099" xr:uid="{5D2D9C3C-080E-4E95-895A-2748AB24E3C9}"/>
    <cellStyle name="40% - Accent1 2 3 3 3" xfId="4343" xr:uid="{3FF4E9B2-4529-4BC4-82AC-B0074EADC44D}"/>
    <cellStyle name="40% - Accent1 2 3 4" xfId="2329" xr:uid="{3FBA806A-E593-477C-A3AD-B2E19FDD9E5E}"/>
    <cellStyle name="40% - Accent1 2 3 4 2" xfId="4764" xr:uid="{4E775B0E-BA31-449C-BF97-BCA48D24408D}"/>
    <cellStyle name="40% - Accent1 2 3 5" xfId="3890" xr:uid="{540BAFC4-EF50-4A83-B862-F88A3283CFD6}"/>
    <cellStyle name="40% - Accent1 2 4" xfId="2223" xr:uid="{C5B0BFA0-089B-4BCA-A9E6-F0301307232A}"/>
    <cellStyle name="40% - Accent1 2 5" xfId="1016" xr:uid="{648F07C3-F6A0-4826-8FEB-8532217C7658}"/>
    <cellStyle name="40% - Accent1 3" xfId="155" xr:uid="{00000000-0005-0000-0000-000038000000}"/>
    <cellStyle name="40% - Accent1 3 2" xfId="1021" xr:uid="{FE370C24-3AD6-4B1E-8457-DA0B7F8C3794}"/>
    <cellStyle name="40% - Accent1 3 2 2" xfId="1997" xr:uid="{582F2FE9-89BA-4469-9809-F8BA59B69C97}"/>
    <cellStyle name="40% - Accent1 3 2 2 2" xfId="2835" xr:uid="{3F8EF19E-78A2-4245-A3E0-4C517A27EFC5}"/>
    <cellStyle name="40% - Accent1 3 2 2 2 2" xfId="5270" xr:uid="{6863D2C5-EE8A-4F6F-9DF0-9169BF337B86}"/>
    <cellStyle name="40% - Accent1 3 2 2 3" xfId="4514" xr:uid="{9BAD4EE6-51B6-41F5-91A8-74F8E253EEDE}"/>
    <cellStyle name="40% - Accent1 3 2 3" xfId="2332" xr:uid="{7818673E-111F-4712-8F55-9203627E9E64}"/>
    <cellStyle name="40% - Accent1 3 2 3 2" xfId="4767" xr:uid="{CD0BB43D-DB52-4B2D-A39A-D1099005A44F}"/>
    <cellStyle name="40% - Accent1 3 2 4" xfId="3893" xr:uid="{0F2A771F-21ED-40A7-85E1-887715581B07}"/>
    <cellStyle name="40% - Accent1 3 3" xfId="1827" xr:uid="{12EAA968-45E3-4A12-AAFC-A166182F278F}"/>
    <cellStyle name="40% - Accent1 3 3 2" xfId="2665" xr:uid="{C78DA72A-A91C-423D-A85C-FE7612BFD611}"/>
    <cellStyle name="40% - Accent1 3 3 2 2" xfId="5100" xr:uid="{EC970F49-32CF-487C-8D33-1F83D2847AFB}"/>
    <cellStyle name="40% - Accent1 3 3 3" xfId="4344" xr:uid="{73B316DB-FE24-4E3C-B427-F361C557482E}"/>
    <cellStyle name="40% - Accent1 3 4" xfId="2331" xr:uid="{6E5D48A6-D5C8-43AA-9B31-772799AB031B}"/>
    <cellStyle name="40% - Accent1 3 4 2" xfId="4766" xr:uid="{487E860D-ACAD-4A02-B72E-22E4F81B6116}"/>
    <cellStyle name="40% - Accent1 3 5" xfId="1020" xr:uid="{FF522930-8B14-4E28-8E4A-BB5ED8305E8E}"/>
    <cellStyle name="40% - Accent1 3 5 2" xfId="3892" xr:uid="{BF1C0A06-CE90-4425-B55C-9EB080F185B3}"/>
    <cellStyle name="40% - Accent1 4" xfId="201" xr:uid="{00000000-0005-0000-0000-000039000000}"/>
    <cellStyle name="40% - Accent1 4 2" xfId="1023" xr:uid="{93840538-DAE1-4C0D-9FE3-5F0452C86E85}"/>
    <cellStyle name="40% - Accent1 4 2 2" xfId="1995" xr:uid="{AD96C125-14A3-49C9-9B4D-A0DE30A33181}"/>
    <cellStyle name="40% - Accent1 4 2 2 2" xfId="2833" xr:uid="{DC2E03EB-4AD4-41A0-8838-D2B0574D9909}"/>
    <cellStyle name="40% - Accent1 4 2 2 2 2" xfId="5268" xr:uid="{58278A91-AEC1-4145-8349-F19CE5F8D428}"/>
    <cellStyle name="40% - Accent1 4 2 2 3" xfId="4512" xr:uid="{AEF84FA0-940C-46A2-8747-BB962BD5D022}"/>
    <cellStyle name="40% - Accent1 4 2 3" xfId="2334" xr:uid="{42B24712-EF83-4749-8AB1-3FB5AAC83AA2}"/>
    <cellStyle name="40% - Accent1 4 2 3 2" xfId="4769" xr:uid="{6C11AE4D-356F-4F57-AEFA-C8A925CEC94C}"/>
    <cellStyle name="40% - Accent1 4 2 4" xfId="3895" xr:uid="{EF37CAAA-5790-4E1A-A21A-E5141875935A}"/>
    <cellStyle name="40% - Accent1 4 3" xfId="1825" xr:uid="{4D5FCDA6-F22E-4E53-BAB4-3D2999636ED7}"/>
    <cellStyle name="40% - Accent1 4 3 2" xfId="2663" xr:uid="{6831E5E7-98ED-4212-814C-282CF515E354}"/>
    <cellStyle name="40% - Accent1 4 3 2 2" xfId="5098" xr:uid="{FC8CCE56-6E45-42F1-AE55-D74BEF0FD3E1}"/>
    <cellStyle name="40% - Accent1 4 3 3" xfId="4342" xr:uid="{726245DD-A7AC-4956-9DB1-E14E5A906021}"/>
    <cellStyle name="40% - Accent1 4 4" xfId="2333" xr:uid="{92A1FEFF-F629-41EC-B43C-36C71232A3E0}"/>
    <cellStyle name="40% - Accent1 4 4 2" xfId="4768" xr:uid="{BC28C5CB-5992-4218-9E38-E76E1E37DC58}"/>
    <cellStyle name="40% - Accent1 4 5" xfId="1022" xr:uid="{A22BB37C-CB2B-478D-807B-8FE7BF86C5E7}"/>
    <cellStyle name="40% - Accent1 4 5 2" xfId="3894" xr:uid="{D7D315DD-20EC-44F0-B080-776F27C2EE9D}"/>
    <cellStyle name="40% - Accent1 5" xfId="247" xr:uid="{00000000-0005-0000-0000-00003A000000}"/>
    <cellStyle name="40% - Accent1 5 2" xfId="1965" xr:uid="{58C80BFF-42C7-4126-BAA6-119CEBA75570}"/>
    <cellStyle name="40% - Accent1 5 2 2" xfId="2803" xr:uid="{DF6CD9D2-F7E2-475C-8B4F-015AA8A4DA14}"/>
    <cellStyle name="40% - Accent1 5 2 2 2" xfId="5238" xr:uid="{22325EC8-EB99-41C9-8A1D-684E407B061E}"/>
    <cellStyle name="40% - Accent1 5 2 3" xfId="4482" xr:uid="{CCB9A425-59E6-457A-99FA-47E414E8B555}"/>
    <cellStyle name="40% - Accent1 5 3" xfId="2335" xr:uid="{0C00D2A3-64B5-4CCF-9C89-79857C6CF382}"/>
    <cellStyle name="40% - Accent1 5 3 2" xfId="4770" xr:uid="{41C87991-2D38-48B7-A891-9E2B4C7FB789}"/>
    <cellStyle name="40% - Accent1 5 4" xfId="1024" xr:uid="{1DA25C8A-EFCF-4CD2-A4CB-0EFAB4A69DC5}"/>
    <cellStyle name="40% - Accent1 5 4 2" xfId="3896" xr:uid="{132E7D38-795B-4B28-A2B8-1C3746543887}"/>
    <cellStyle name="40% - Accent1 6" xfId="296" xr:uid="{00000000-0005-0000-0000-00003B000000}"/>
    <cellStyle name="40% - Accent1 6 2" xfId="2633" xr:uid="{D952AC11-1B1F-42FD-975A-1AD990526C1B}"/>
    <cellStyle name="40% - Accent1 6 2 2" xfId="5068" xr:uid="{1F6DCBA6-01AD-4A4A-B500-99156671DD02}"/>
    <cellStyle name="40% - Accent1 6 3" xfId="1795" xr:uid="{56E05594-FA1E-4647-B277-307FDA961CF2}"/>
    <cellStyle name="40% - Accent1 6 3 2" xfId="4312" xr:uid="{A0F900EF-A3FE-4B0D-B4BA-92B8EA46EF61}"/>
    <cellStyle name="40% - Accent1 7" xfId="360" xr:uid="{00000000-0005-0000-0000-00003C000000}"/>
    <cellStyle name="40% - Accent1 7 2" xfId="2970" xr:uid="{336063C9-E1F0-4D0B-8A93-DDEE942B6C77}"/>
    <cellStyle name="40% - Accent1 7 2 2" xfId="5405" xr:uid="{FC0B442D-1059-4EE8-B21C-742C098A17A7}"/>
    <cellStyle name="40% - Accent1 7 3" xfId="2132" xr:uid="{9A52F3B6-521F-40F9-9248-D65415BD5E99}"/>
    <cellStyle name="40% - Accent1 7 3 2" xfId="4649" xr:uid="{9E91A0AC-97EF-4F4F-A0D2-0D5263FA2446}"/>
    <cellStyle name="40% - Accent1 8" xfId="431" xr:uid="{00000000-0005-0000-0000-00003D000000}"/>
    <cellStyle name="40% - Accent1 8 2" xfId="2161" xr:uid="{446425C6-AD67-4B85-92C7-39C2BF478FD3}"/>
    <cellStyle name="40% - Accent1 8 2 2" xfId="4662" xr:uid="{0184520C-7DF5-44F9-8DB7-D8689330376F}"/>
    <cellStyle name="40% - Accent1 9" xfId="535" xr:uid="{00000000-0005-0000-0000-00003E000000}"/>
    <cellStyle name="40% - Accent1 9 2" xfId="2175" xr:uid="{4A54814F-EC79-4125-A046-4E0F4D9EF67B}"/>
    <cellStyle name="40% - Accent1 9 2 2" xfId="4676" xr:uid="{6A15A2DC-10A4-4C59-B516-EFB4DE783A09}"/>
    <cellStyle name="40% - Accent2" xfId="8" builtinId="35" customBuiltin="1"/>
    <cellStyle name="40% - Accent2 10" xfId="2618" xr:uid="{4ED8CBBC-0D55-4F26-B119-846424F4CA95}"/>
    <cellStyle name="40% - Accent2 10 2" xfId="5053" xr:uid="{6B354EB2-ED62-41F3-9F2F-16CC62724C5B}"/>
    <cellStyle name="40% - Accent2 11" xfId="893" xr:uid="{D6CC90F6-0DF7-49B8-A513-9DD4961A0502}"/>
    <cellStyle name="40% - Accent2 11 2" xfId="3824" xr:uid="{06EF7812-1EE3-46B0-AA4E-CEBCC7395DC6}"/>
    <cellStyle name="40% - Accent2 2" xfId="122" xr:uid="{00000000-0005-0000-0000-000040000000}"/>
    <cellStyle name="40% - Accent2 2 2" xfId="1026" xr:uid="{6B5255D9-CB53-4690-9973-FD8E659E02A4}"/>
    <cellStyle name="40% - Accent2 2 3" xfId="1027" xr:uid="{22D0D5E1-605C-46D1-B31F-A850489A6057}"/>
    <cellStyle name="40% - Accent2 2 3 2" xfId="1028" xr:uid="{0D1AE1B7-00C9-4A6B-AD84-23BFF950FA87}"/>
    <cellStyle name="40% - Accent2 2 3 2 2" xfId="1999" xr:uid="{A18D3EB8-3271-4554-9210-65D763B37097}"/>
    <cellStyle name="40% - Accent2 2 3 2 2 2" xfId="2837" xr:uid="{C72ACBCA-2B43-4030-94FD-74F11BE8E98D}"/>
    <cellStyle name="40% - Accent2 2 3 2 2 2 2" xfId="5272" xr:uid="{220B7851-665C-4EAC-A76E-F41A6E1E654A}"/>
    <cellStyle name="40% - Accent2 2 3 2 2 3" xfId="4516" xr:uid="{F6AD9080-D777-4294-9AB0-839F66A77510}"/>
    <cellStyle name="40% - Accent2 2 3 2 3" xfId="2337" xr:uid="{FDDC75C2-50C9-48D5-91C8-FB9B4F8BB5BF}"/>
    <cellStyle name="40% - Accent2 2 3 2 3 2" xfId="4772" xr:uid="{2DFFDAC0-CDB2-4DFB-B0B1-05F175933176}"/>
    <cellStyle name="40% - Accent2 2 3 2 4" xfId="3898" xr:uid="{E5D341C4-C700-4827-B908-C33771C46A39}"/>
    <cellStyle name="40% - Accent2 2 3 3" xfId="1829" xr:uid="{CE441B61-9CA3-42A6-9CF0-09C2530BD27E}"/>
    <cellStyle name="40% - Accent2 2 3 3 2" xfId="2667" xr:uid="{E9789472-8691-4150-B608-79D41C1601FE}"/>
    <cellStyle name="40% - Accent2 2 3 3 2 2" xfId="5102" xr:uid="{74CAE5EE-61D1-4B15-9C66-32845134B057}"/>
    <cellStyle name="40% - Accent2 2 3 3 3" xfId="4346" xr:uid="{31958467-638A-4070-A61C-BC354B628BE5}"/>
    <cellStyle name="40% - Accent2 2 3 4" xfId="2336" xr:uid="{F0DE6004-854A-42D2-8D1E-14BAD10469BC}"/>
    <cellStyle name="40% - Accent2 2 3 4 2" xfId="4771" xr:uid="{E69C30D3-DE74-4DA4-B9CA-DD90AF2D600B}"/>
    <cellStyle name="40% - Accent2 2 3 5" xfId="3897" xr:uid="{25B1009B-FEB4-45D2-9F7E-631C72A6D1CE}"/>
    <cellStyle name="40% - Accent2 2 4" xfId="2224" xr:uid="{9B866BF4-7507-4FBB-AB72-CC085B508EF7}"/>
    <cellStyle name="40% - Accent2 2 5" xfId="1025" xr:uid="{46A41531-F2B5-4F5F-8A35-BAB4B088FFB2}"/>
    <cellStyle name="40% - Accent2 3" xfId="156" xr:uid="{00000000-0005-0000-0000-000041000000}"/>
    <cellStyle name="40% - Accent2 3 2" xfId="1030" xr:uid="{5322D6BD-A374-461D-8A70-1C146D8AF3FA}"/>
    <cellStyle name="40% - Accent2 3 2 2" xfId="2000" xr:uid="{E68FD63E-C94A-456A-B05F-9BC4970E5B73}"/>
    <cellStyle name="40% - Accent2 3 2 2 2" xfId="2838" xr:uid="{868C5B54-0648-4ECE-BF6F-8584BB61DCD7}"/>
    <cellStyle name="40% - Accent2 3 2 2 2 2" xfId="5273" xr:uid="{BE14042F-7F8F-4969-AD34-29DF1EAFB943}"/>
    <cellStyle name="40% - Accent2 3 2 2 3" xfId="4517" xr:uid="{798BD15A-B058-458F-9B97-093747010DB1}"/>
    <cellStyle name="40% - Accent2 3 2 3" xfId="2339" xr:uid="{358ACF96-D8BB-426E-9EF4-7C19C5E69CBB}"/>
    <cellStyle name="40% - Accent2 3 2 3 2" xfId="4774" xr:uid="{AA503A31-3B49-4A17-8010-157F30B2130F}"/>
    <cellStyle name="40% - Accent2 3 2 4" xfId="3900" xr:uid="{9B2868B2-AA86-4909-9E4C-C564A6897B6A}"/>
    <cellStyle name="40% - Accent2 3 3" xfId="1830" xr:uid="{8FAF9D24-EACF-4860-9C7E-45EA276D9B71}"/>
    <cellStyle name="40% - Accent2 3 3 2" xfId="2668" xr:uid="{9B7490B5-40BB-446A-8CB6-D30DBA58E466}"/>
    <cellStyle name="40% - Accent2 3 3 2 2" xfId="5103" xr:uid="{28F23F5C-DFDF-4222-8361-C97684560A1A}"/>
    <cellStyle name="40% - Accent2 3 3 3" xfId="4347" xr:uid="{155847CA-D9B8-4EDC-BD9E-972CBEDE8CB6}"/>
    <cellStyle name="40% - Accent2 3 4" xfId="2338" xr:uid="{3629ABE5-6672-4DFD-8EA0-15587EA23525}"/>
    <cellStyle name="40% - Accent2 3 4 2" xfId="4773" xr:uid="{E26E60E0-0022-4FEF-B027-1B539A90BCDA}"/>
    <cellStyle name="40% - Accent2 3 5" xfId="1029" xr:uid="{3B09D580-820C-49FB-81A3-01EFBA75B48F}"/>
    <cellStyle name="40% - Accent2 3 5 2" xfId="3899" xr:uid="{C2D2ECE5-3CC2-45A4-8C29-19D1FB6E183B}"/>
    <cellStyle name="40% - Accent2 4" xfId="202" xr:uid="{00000000-0005-0000-0000-000042000000}"/>
    <cellStyle name="40% - Accent2 4 2" xfId="1032" xr:uid="{42DC46C4-87E8-4925-A28E-816E5CF076A2}"/>
    <cellStyle name="40% - Accent2 4 2 2" xfId="1998" xr:uid="{6E81AC5C-F2D9-4EE1-ADA9-839D4521C0B1}"/>
    <cellStyle name="40% - Accent2 4 2 2 2" xfId="2836" xr:uid="{DC2E255B-C60C-469C-B104-B54343E1DAA6}"/>
    <cellStyle name="40% - Accent2 4 2 2 2 2" xfId="5271" xr:uid="{CE3EB828-DD84-4F78-873C-28F1F107D3F2}"/>
    <cellStyle name="40% - Accent2 4 2 2 3" xfId="4515" xr:uid="{26C500D4-1C15-4DDF-95BE-E78A189A0E47}"/>
    <cellStyle name="40% - Accent2 4 2 3" xfId="2341" xr:uid="{B39BC855-4F75-40C9-B574-7E5834953957}"/>
    <cellStyle name="40% - Accent2 4 2 3 2" xfId="4776" xr:uid="{D253577F-0005-4962-901F-F036FDF77AA5}"/>
    <cellStyle name="40% - Accent2 4 2 4" xfId="3902" xr:uid="{CB96834B-5B2C-4BA6-82B8-155074D8C052}"/>
    <cellStyle name="40% - Accent2 4 3" xfId="1828" xr:uid="{D2E37A67-86B6-4258-8CF7-3FBD20E638BF}"/>
    <cellStyle name="40% - Accent2 4 3 2" xfId="2666" xr:uid="{253A0C2D-EB5A-47C9-936E-4EAAD8078C74}"/>
    <cellStyle name="40% - Accent2 4 3 2 2" xfId="5101" xr:uid="{5FED8C17-0019-4928-AE60-8810BE3B1FF4}"/>
    <cellStyle name="40% - Accent2 4 3 3" xfId="4345" xr:uid="{727D9186-61AE-4B92-9040-7A60B85EB28A}"/>
    <cellStyle name="40% - Accent2 4 4" xfId="2340" xr:uid="{2B579A92-8853-4B2D-A889-742FAADED4CE}"/>
    <cellStyle name="40% - Accent2 4 4 2" xfId="4775" xr:uid="{1639C33C-E146-4481-AD7F-8280A82916A2}"/>
    <cellStyle name="40% - Accent2 4 5" xfId="1031" xr:uid="{0E944379-D451-43BF-BF64-4870F4FAEEF1}"/>
    <cellStyle name="40% - Accent2 4 5 2" xfId="3901" xr:uid="{3928FD80-0E91-4704-9589-96AD8BB28245}"/>
    <cellStyle name="40% - Accent2 5" xfId="248" xr:uid="{00000000-0005-0000-0000-000043000000}"/>
    <cellStyle name="40% - Accent2 5 2" xfId="1966" xr:uid="{F4E17101-50B3-41ED-BB4D-641C96D86CED}"/>
    <cellStyle name="40% - Accent2 5 2 2" xfId="2804" xr:uid="{57F9DBBA-BECF-48E1-8CC2-5F1149710052}"/>
    <cellStyle name="40% - Accent2 5 2 2 2" xfId="5239" xr:uid="{DB9380B4-8633-4EFB-996B-EAA6042A7DF6}"/>
    <cellStyle name="40% - Accent2 5 2 3" xfId="4483" xr:uid="{DFC0BF43-EE48-4AF0-B402-A4F675E512A0}"/>
    <cellStyle name="40% - Accent2 5 3" xfId="2342" xr:uid="{204C8AEF-F453-46A4-98E9-999A1C6C5EF7}"/>
    <cellStyle name="40% - Accent2 5 3 2" xfId="4777" xr:uid="{17C2A9F3-01AD-4BA0-8D49-BFC7A24740AC}"/>
    <cellStyle name="40% - Accent2 5 4" xfId="1033" xr:uid="{BCC49285-3421-4C7C-80B3-0ED30D6AABD8}"/>
    <cellStyle name="40% - Accent2 5 4 2" xfId="3903" xr:uid="{BFB33BBC-BBDE-403F-B56B-1333CEB4B97C}"/>
    <cellStyle name="40% - Accent2 6" xfId="297" xr:uid="{00000000-0005-0000-0000-000044000000}"/>
    <cellStyle name="40% - Accent2 6 2" xfId="2634" xr:uid="{85F7B6F5-D95E-4D94-82BB-E7D0DA33D648}"/>
    <cellStyle name="40% - Accent2 6 2 2" xfId="5069" xr:uid="{2FE7A053-8174-4F58-9D3D-B6BD049B7ACB}"/>
    <cellStyle name="40% - Accent2 6 3" xfId="1796" xr:uid="{E15BB069-C0DC-4BC4-95EB-E54BF7CD2FBA}"/>
    <cellStyle name="40% - Accent2 6 3 2" xfId="4313" xr:uid="{1C1D7A6E-7F13-40C8-AC22-628F74A89A0F}"/>
    <cellStyle name="40% - Accent2 7" xfId="361" xr:uid="{00000000-0005-0000-0000-000045000000}"/>
    <cellStyle name="40% - Accent2 7 2" xfId="2972" xr:uid="{E6E563E8-0CBF-4BBC-ACC2-A09A31F533A9}"/>
    <cellStyle name="40% - Accent2 7 2 2" xfId="5407" xr:uid="{34D1700C-5B1F-4825-81B6-8147F3EDB03D}"/>
    <cellStyle name="40% - Accent2 7 3" xfId="2134" xr:uid="{C1422F2F-CEE7-4A3C-99AC-C1E5168BBFFF}"/>
    <cellStyle name="40% - Accent2 7 3 2" xfId="4651" xr:uid="{FE95389A-4AA5-494C-9429-342506B46E90}"/>
    <cellStyle name="40% - Accent2 8" xfId="432" xr:uid="{00000000-0005-0000-0000-000046000000}"/>
    <cellStyle name="40% - Accent2 8 2" xfId="2163" xr:uid="{C9041BBB-5899-4B75-83E2-84C6BC5BA982}"/>
    <cellStyle name="40% - Accent2 8 2 2" xfId="4664" xr:uid="{08BEE4BC-2179-40C9-90B5-F3BABDA6695C}"/>
    <cellStyle name="40% - Accent2 9" xfId="536" xr:uid="{00000000-0005-0000-0000-000047000000}"/>
    <cellStyle name="40% - Accent2 9 2" xfId="2177" xr:uid="{21DC29D4-E009-49F0-8C87-AB9B553F1698}"/>
    <cellStyle name="40% - Accent2 9 2 2" xfId="4678" xr:uid="{6A175A0C-E4F2-4BC3-812D-36A3D0039C36}"/>
    <cellStyle name="40% - Accent3" xfId="9" builtinId="39" customBuiltin="1"/>
    <cellStyle name="40% - Accent3 10" xfId="2620" xr:uid="{D03705F1-283D-4103-9DF2-44F8014E5DF1}"/>
    <cellStyle name="40% - Accent3 10 2" xfId="5055" xr:uid="{948B8219-D7AF-4B5F-9641-7848751D194C}"/>
    <cellStyle name="40% - Accent3 11" xfId="894" xr:uid="{BEB4EAE7-F034-4700-B2F3-ED68D2F135C6}"/>
    <cellStyle name="40% - Accent3 11 2" xfId="3825" xr:uid="{4AF76F72-7D4B-4EEF-A5BB-2270C2BFC5C3}"/>
    <cellStyle name="40% - Accent3 2" xfId="123" xr:uid="{00000000-0005-0000-0000-000049000000}"/>
    <cellStyle name="40% - Accent3 2 2" xfId="1035" xr:uid="{027332D9-2EB7-4DD1-A3D9-9987E80C940D}"/>
    <cellStyle name="40% - Accent3 2 3" xfId="1036" xr:uid="{2ECE416E-E605-4573-AD51-7D73BC711556}"/>
    <cellStyle name="40% - Accent3 2 3 2" xfId="1037" xr:uid="{B0B6B9A7-C04F-4799-81F9-AF0B839BADB6}"/>
    <cellStyle name="40% - Accent3 2 3 2 2" xfId="2002" xr:uid="{2919B334-82E2-4AE2-9830-9F8351F96F9A}"/>
    <cellStyle name="40% - Accent3 2 3 2 2 2" xfId="2840" xr:uid="{9D95E25C-60C7-418C-A09A-EA06F8F33610}"/>
    <cellStyle name="40% - Accent3 2 3 2 2 2 2" xfId="5275" xr:uid="{022247CA-CC1C-476E-A328-32253C6D5334}"/>
    <cellStyle name="40% - Accent3 2 3 2 2 3" xfId="4519" xr:uid="{025EA318-10F9-49B4-92C8-540CFD59D7F6}"/>
    <cellStyle name="40% - Accent3 2 3 2 3" xfId="2344" xr:uid="{F8E39E6D-0DBF-45A4-AF43-CDBEE7638C0F}"/>
    <cellStyle name="40% - Accent3 2 3 2 3 2" xfId="4779" xr:uid="{890C54AA-19C6-4CDE-BC24-6A10265CF5D1}"/>
    <cellStyle name="40% - Accent3 2 3 2 4" xfId="3905" xr:uid="{2E744821-A0BD-4686-8BDB-82ECF086AAC8}"/>
    <cellStyle name="40% - Accent3 2 3 3" xfId="1832" xr:uid="{55082156-81C0-4F26-A75D-1E29F3B5C755}"/>
    <cellStyle name="40% - Accent3 2 3 3 2" xfId="2670" xr:uid="{F2C5545B-687B-4D58-AD4F-EF8346D9470F}"/>
    <cellStyle name="40% - Accent3 2 3 3 2 2" xfId="5105" xr:uid="{075E7CAC-6FD8-4C64-844B-B15C0A3C92FD}"/>
    <cellStyle name="40% - Accent3 2 3 3 3" xfId="4349" xr:uid="{7CD86003-E336-4707-9DEC-D04A337E277E}"/>
    <cellStyle name="40% - Accent3 2 3 4" xfId="2343" xr:uid="{3D0B2A48-1D5B-4EB2-A0F8-5D5941A31C71}"/>
    <cellStyle name="40% - Accent3 2 3 4 2" xfId="4778" xr:uid="{8C7CF4CB-5A79-4A22-80AA-CC906882CA9F}"/>
    <cellStyle name="40% - Accent3 2 3 5" xfId="3904" xr:uid="{1EEBCA4B-8F7D-4867-A9DB-58B5A805FFFE}"/>
    <cellStyle name="40% - Accent3 2 4" xfId="2225" xr:uid="{4E1B9DB2-724D-497A-ABA4-5ABF9DF46E1F}"/>
    <cellStyle name="40% - Accent3 2 5" xfId="1034" xr:uid="{80840938-49E6-4C94-90E7-5512EFF48B42}"/>
    <cellStyle name="40% - Accent3 3" xfId="157" xr:uid="{00000000-0005-0000-0000-00004A000000}"/>
    <cellStyle name="40% - Accent3 3 2" xfId="1039" xr:uid="{A4163C39-0254-4651-9A09-F4398787355F}"/>
    <cellStyle name="40% - Accent3 3 2 2" xfId="2003" xr:uid="{5618BC1E-15AF-469C-B516-57BCB349F213}"/>
    <cellStyle name="40% - Accent3 3 2 2 2" xfId="2841" xr:uid="{24D5AEF9-E009-4DC2-8D91-089A825C427B}"/>
    <cellStyle name="40% - Accent3 3 2 2 2 2" xfId="5276" xr:uid="{86A0D762-E7D5-4C66-890A-71689B47E8F4}"/>
    <cellStyle name="40% - Accent3 3 2 2 3" xfId="4520" xr:uid="{B58E5B51-36D8-431D-91FA-B292E021B999}"/>
    <cellStyle name="40% - Accent3 3 2 3" xfId="2346" xr:uid="{48C9B6CC-9987-4A3B-99B7-95E7FBB006DB}"/>
    <cellStyle name="40% - Accent3 3 2 3 2" xfId="4781" xr:uid="{45FC9F42-E41C-4661-993A-EDA5135AF14A}"/>
    <cellStyle name="40% - Accent3 3 2 4" xfId="3907" xr:uid="{9D872CCD-8C4D-42C9-9747-5E4B3CF499ED}"/>
    <cellStyle name="40% - Accent3 3 3" xfId="1833" xr:uid="{BE366B6A-1996-41E1-B78B-72CB0D0BA5E7}"/>
    <cellStyle name="40% - Accent3 3 3 2" xfId="2671" xr:uid="{7415228F-059D-4799-AC19-08EDF39B9B03}"/>
    <cellStyle name="40% - Accent3 3 3 2 2" xfId="5106" xr:uid="{C0C38D83-E71E-4492-A7F6-F5AE5094D4C1}"/>
    <cellStyle name="40% - Accent3 3 3 3" xfId="4350" xr:uid="{455C83FE-E051-47CA-84DB-C834DE858E40}"/>
    <cellStyle name="40% - Accent3 3 4" xfId="2345" xr:uid="{B7D69C59-D338-4C6F-8D7D-127038B27552}"/>
    <cellStyle name="40% - Accent3 3 4 2" xfId="4780" xr:uid="{38AF1530-2432-49A8-AA1A-2C088372EBC5}"/>
    <cellStyle name="40% - Accent3 3 5" xfId="1038" xr:uid="{12D06056-74D5-46A2-A626-D19A80418A6E}"/>
    <cellStyle name="40% - Accent3 3 5 2" xfId="3906" xr:uid="{0EAD8279-85BF-421F-AC7C-CFF4E33CC5D4}"/>
    <cellStyle name="40% - Accent3 4" xfId="203" xr:uid="{00000000-0005-0000-0000-00004B000000}"/>
    <cellStyle name="40% - Accent3 4 2" xfId="1041" xr:uid="{2683EA80-6F60-4C73-9741-C59E6197270F}"/>
    <cellStyle name="40% - Accent3 4 2 2" xfId="2001" xr:uid="{C0042232-4A98-458C-B5EC-9502EE225DB1}"/>
    <cellStyle name="40% - Accent3 4 2 2 2" xfId="2839" xr:uid="{771FC633-B27A-4B70-917B-16D0F70DCD0E}"/>
    <cellStyle name="40% - Accent3 4 2 2 2 2" xfId="5274" xr:uid="{7526066C-146F-4F62-961B-A823554B831B}"/>
    <cellStyle name="40% - Accent3 4 2 2 3" xfId="4518" xr:uid="{7186C668-0A8E-4415-AD08-BAAAECC6FC3E}"/>
    <cellStyle name="40% - Accent3 4 2 3" xfId="2348" xr:uid="{0E927B08-B40B-4E3A-90BD-3749085F3694}"/>
    <cellStyle name="40% - Accent3 4 2 3 2" xfId="4783" xr:uid="{90F7E248-DF7D-4D10-89CA-7767F5CF34B9}"/>
    <cellStyle name="40% - Accent3 4 2 4" xfId="3909" xr:uid="{5708B07D-B056-422B-A1CC-22EE7F50643A}"/>
    <cellStyle name="40% - Accent3 4 3" xfId="1831" xr:uid="{5F5418D4-8788-46D2-92F8-16A37417670A}"/>
    <cellStyle name="40% - Accent3 4 3 2" xfId="2669" xr:uid="{ED4CAA7C-14F0-4B84-B447-0541164181E4}"/>
    <cellStyle name="40% - Accent3 4 3 2 2" xfId="5104" xr:uid="{CA347DE7-F313-40CC-939D-0CC533D8B2BF}"/>
    <cellStyle name="40% - Accent3 4 3 3" xfId="4348" xr:uid="{1DFFCB72-8E6D-4070-83B5-2B899C9B268D}"/>
    <cellStyle name="40% - Accent3 4 4" xfId="2347" xr:uid="{063EFA8E-DEDB-4B3E-B889-C26731A4688C}"/>
    <cellStyle name="40% - Accent3 4 4 2" xfId="4782" xr:uid="{F381EABD-8BB6-4E53-BAF6-9851B3CE65B5}"/>
    <cellStyle name="40% - Accent3 4 5" xfId="1040" xr:uid="{F43464E9-CC0D-4003-93DE-6B26DEEB3C4C}"/>
    <cellStyle name="40% - Accent3 4 5 2" xfId="3908" xr:uid="{9264628C-766E-4567-A64B-CCE186A8A31A}"/>
    <cellStyle name="40% - Accent3 5" xfId="249" xr:uid="{00000000-0005-0000-0000-00004C000000}"/>
    <cellStyle name="40% - Accent3 5 2" xfId="1967" xr:uid="{5717DCE0-A95D-478B-80E6-CDBC54F62C66}"/>
    <cellStyle name="40% - Accent3 5 2 2" xfId="2805" xr:uid="{2D4CE687-B75B-48CA-8FF4-F33E7BAA443B}"/>
    <cellStyle name="40% - Accent3 5 2 2 2" xfId="5240" xr:uid="{50F22E40-1F0D-4F62-AC3B-FED120659208}"/>
    <cellStyle name="40% - Accent3 5 2 3" xfId="4484" xr:uid="{4200D24B-2274-482D-8484-9F22878B0C94}"/>
    <cellStyle name="40% - Accent3 5 3" xfId="2349" xr:uid="{3F121369-597C-4A67-AA71-41EEF23B1591}"/>
    <cellStyle name="40% - Accent3 5 3 2" xfId="4784" xr:uid="{D7730369-F223-4F40-9FA9-DB143AEC5572}"/>
    <cellStyle name="40% - Accent3 5 4" xfId="1042" xr:uid="{30F462C0-1140-4C1D-8578-82CD0FB224D9}"/>
    <cellStyle name="40% - Accent3 5 4 2" xfId="3910" xr:uid="{64112712-1696-4963-971B-11ED0C37E7E9}"/>
    <cellStyle name="40% - Accent3 6" xfId="298" xr:uid="{00000000-0005-0000-0000-00004D000000}"/>
    <cellStyle name="40% - Accent3 6 2" xfId="2635" xr:uid="{85BC891B-CA1C-44DE-AA8C-D00C12FB90A8}"/>
    <cellStyle name="40% - Accent3 6 2 2" xfId="5070" xr:uid="{2635973E-6DB0-419D-B760-2E8DE7A91AE8}"/>
    <cellStyle name="40% - Accent3 6 3" xfId="1797" xr:uid="{900D2738-B04F-407A-9F79-151B4674F5DC}"/>
    <cellStyle name="40% - Accent3 6 3 2" xfId="4314" xr:uid="{1B5D8845-A8A9-4BC9-9596-0A9C10C428A4}"/>
    <cellStyle name="40% - Accent3 7" xfId="362" xr:uid="{00000000-0005-0000-0000-00004E000000}"/>
    <cellStyle name="40% - Accent3 7 2" xfId="2974" xr:uid="{745B1B20-FEF6-4C5E-B17F-61AC42180B1A}"/>
    <cellStyle name="40% - Accent3 7 2 2" xfId="5409" xr:uid="{C005027C-1088-4AAA-8507-F611546F6B28}"/>
    <cellStyle name="40% - Accent3 7 3" xfId="2136" xr:uid="{4677B899-388B-4AD1-98BB-6ABB7E834ACA}"/>
    <cellStyle name="40% - Accent3 7 3 2" xfId="4653" xr:uid="{64C71B14-D5E8-42C4-9F8E-5C97490630DE}"/>
    <cellStyle name="40% - Accent3 8" xfId="433" xr:uid="{00000000-0005-0000-0000-00004F000000}"/>
    <cellStyle name="40% - Accent3 8 2" xfId="2165" xr:uid="{2B3A52B2-2B2F-4EBE-AF86-C04A005C7AC3}"/>
    <cellStyle name="40% - Accent3 8 2 2" xfId="4666" xr:uid="{FB50FEB6-9BCC-4330-90E3-63C96CF31F7A}"/>
    <cellStyle name="40% - Accent3 9" xfId="537" xr:uid="{00000000-0005-0000-0000-000050000000}"/>
    <cellStyle name="40% - Accent3 9 2" xfId="2179" xr:uid="{73225AB0-2279-47EC-A712-98904FB9D3EF}"/>
    <cellStyle name="40% - Accent3 9 2 2" xfId="4680" xr:uid="{A1B89623-A572-4C1B-89F9-95DE440FEEF6}"/>
    <cellStyle name="40% - Accent4" xfId="10" builtinId="43" customBuiltin="1"/>
    <cellStyle name="40% - Accent4 10" xfId="2622" xr:uid="{0E144FDE-7340-4A8F-BA04-96915B70C42A}"/>
    <cellStyle name="40% - Accent4 10 2" xfId="5057" xr:uid="{6DDDD463-32E6-4E32-9BFD-B2CFFAE216DE}"/>
    <cellStyle name="40% - Accent4 11" xfId="914" xr:uid="{44800666-2691-4C94-8A77-A6BFD5C031CE}"/>
    <cellStyle name="40% - Accent4 11 2" xfId="3826" xr:uid="{8AF8C8D4-0D48-417A-8D55-538E6277A251}"/>
    <cellStyle name="40% - Accent4 2" xfId="124" xr:uid="{00000000-0005-0000-0000-000052000000}"/>
    <cellStyle name="40% - Accent4 2 2" xfId="1044" xr:uid="{A0B0F8D9-488B-4370-8D3E-57AD03BECD33}"/>
    <cellStyle name="40% - Accent4 2 3" xfId="1045" xr:uid="{0539CD71-78BC-41FE-BB52-497B096ABEDA}"/>
    <cellStyle name="40% - Accent4 2 3 2" xfId="1046" xr:uid="{4C8D461D-706D-45E8-9905-E348C5ABAAEF}"/>
    <cellStyle name="40% - Accent4 2 3 2 2" xfId="2005" xr:uid="{10CF92E6-41F5-492F-AAD8-72CAFD31DB80}"/>
    <cellStyle name="40% - Accent4 2 3 2 2 2" xfId="2843" xr:uid="{17AF8F52-CCFC-42D5-AD05-D02B55E8BA90}"/>
    <cellStyle name="40% - Accent4 2 3 2 2 2 2" xfId="5278" xr:uid="{D9269FC0-2AAF-4245-8802-374E8C5DD7D7}"/>
    <cellStyle name="40% - Accent4 2 3 2 2 3" xfId="4522" xr:uid="{B49AD349-F1D1-4613-91F3-87E6F7975FEB}"/>
    <cellStyle name="40% - Accent4 2 3 2 3" xfId="2351" xr:uid="{20B42E8B-45BF-4C32-93D4-D47AC122F1B6}"/>
    <cellStyle name="40% - Accent4 2 3 2 3 2" xfId="4786" xr:uid="{44A27F71-B69B-4D2A-9F48-2003096D0B74}"/>
    <cellStyle name="40% - Accent4 2 3 2 4" xfId="3912" xr:uid="{CB06680E-5224-4C13-81B8-44E25BEBA332}"/>
    <cellStyle name="40% - Accent4 2 3 3" xfId="1835" xr:uid="{33BF445D-21AB-40A7-A8FE-277878DFD9D4}"/>
    <cellStyle name="40% - Accent4 2 3 3 2" xfId="2673" xr:uid="{9BD9C329-EC2A-4711-BFDB-91D5FA9DFCA6}"/>
    <cellStyle name="40% - Accent4 2 3 3 2 2" xfId="5108" xr:uid="{49CC667D-2F81-4203-A8B9-D85CE6BEBE26}"/>
    <cellStyle name="40% - Accent4 2 3 3 3" xfId="4352" xr:uid="{C7609109-2899-45CA-9116-5E3263EBE3CD}"/>
    <cellStyle name="40% - Accent4 2 3 4" xfId="2350" xr:uid="{AB21A8CC-0921-440E-B973-E650883CC1A5}"/>
    <cellStyle name="40% - Accent4 2 3 4 2" xfId="4785" xr:uid="{15BAC67F-4195-4993-B106-75328B9CC698}"/>
    <cellStyle name="40% - Accent4 2 3 5" xfId="3911" xr:uid="{2D610C7C-9946-4740-AC79-5D277C0F6777}"/>
    <cellStyle name="40% - Accent4 2 4" xfId="2226" xr:uid="{6D20DC19-6A6C-407F-A2D1-513EC97EB6D6}"/>
    <cellStyle name="40% - Accent4 2 5" xfId="1043" xr:uid="{0ACFD449-F23E-4FE3-B0AB-FF4D6DA60800}"/>
    <cellStyle name="40% - Accent4 3" xfId="158" xr:uid="{00000000-0005-0000-0000-000053000000}"/>
    <cellStyle name="40% - Accent4 3 2" xfId="1048" xr:uid="{7233C134-A469-4246-BEBD-26A3E9C04C46}"/>
    <cellStyle name="40% - Accent4 3 2 2" xfId="2006" xr:uid="{AE15EBFF-7036-49C8-B2EA-23C1BC78C16D}"/>
    <cellStyle name="40% - Accent4 3 2 2 2" xfId="2844" xr:uid="{FF7B8F9B-2293-4512-9D6B-4C4ADA982AAA}"/>
    <cellStyle name="40% - Accent4 3 2 2 2 2" xfId="5279" xr:uid="{96E1F437-EC4B-49D3-9702-8DEA9929BA19}"/>
    <cellStyle name="40% - Accent4 3 2 2 3" xfId="4523" xr:uid="{A4DC51B5-C43B-4142-BEB4-42BFC3A2BA0A}"/>
    <cellStyle name="40% - Accent4 3 2 3" xfId="2353" xr:uid="{1C6B5577-30F2-40D3-8E64-0E872E02C582}"/>
    <cellStyle name="40% - Accent4 3 2 3 2" xfId="4788" xr:uid="{F69F67D2-781B-47D6-933F-CBBE2CF480B0}"/>
    <cellStyle name="40% - Accent4 3 2 4" xfId="3914" xr:uid="{1BC76346-13EF-4EF2-AB16-96346BA518C2}"/>
    <cellStyle name="40% - Accent4 3 3" xfId="1836" xr:uid="{F761AF9A-854B-4358-9DFC-1DE5E15504EE}"/>
    <cellStyle name="40% - Accent4 3 3 2" xfId="2674" xr:uid="{ACFCFE2A-51F8-4F24-A300-C64969F78A3D}"/>
    <cellStyle name="40% - Accent4 3 3 2 2" xfId="5109" xr:uid="{D0142FA3-8568-4986-B246-14BA19FB4662}"/>
    <cellStyle name="40% - Accent4 3 3 3" xfId="4353" xr:uid="{E2F12815-6CB5-4FD3-9F76-2DE5A911FEDF}"/>
    <cellStyle name="40% - Accent4 3 4" xfId="2352" xr:uid="{13B731E0-8F58-4D7A-B48D-7068F8F65D09}"/>
    <cellStyle name="40% - Accent4 3 4 2" xfId="4787" xr:uid="{36519A12-EB8E-45E2-8C12-12B959173EF8}"/>
    <cellStyle name="40% - Accent4 3 5" xfId="1047" xr:uid="{CFBCF4D9-47BA-4733-B24B-762F3DBA7406}"/>
    <cellStyle name="40% - Accent4 3 5 2" xfId="3913" xr:uid="{D97CD6C7-F85B-454F-B283-511DFEBCB062}"/>
    <cellStyle name="40% - Accent4 4" xfId="204" xr:uid="{00000000-0005-0000-0000-000054000000}"/>
    <cellStyle name="40% - Accent4 4 2" xfId="1050" xr:uid="{DE17A839-9135-4056-917B-EAB151047E7F}"/>
    <cellStyle name="40% - Accent4 4 2 2" xfId="2004" xr:uid="{A084BD64-9512-47B0-A37C-685B1B06F2A6}"/>
    <cellStyle name="40% - Accent4 4 2 2 2" xfId="2842" xr:uid="{8E884660-6ECB-47FF-BA97-08E49D7B643F}"/>
    <cellStyle name="40% - Accent4 4 2 2 2 2" xfId="5277" xr:uid="{8F8BE2F4-5333-4977-B391-C67050FC7896}"/>
    <cellStyle name="40% - Accent4 4 2 2 3" xfId="4521" xr:uid="{1FCEF1FD-B241-44B0-9FBF-8966737C9E8E}"/>
    <cellStyle name="40% - Accent4 4 2 3" xfId="2355" xr:uid="{BA3A3A70-DCAF-4905-9790-DFDA4C4BB1C8}"/>
    <cellStyle name="40% - Accent4 4 2 3 2" xfId="4790" xr:uid="{9C7737D1-4ED0-4BE8-8C84-4257C86EC559}"/>
    <cellStyle name="40% - Accent4 4 2 4" xfId="3916" xr:uid="{9017BD89-8ADC-496B-9869-392129FBF6BE}"/>
    <cellStyle name="40% - Accent4 4 3" xfId="1834" xr:uid="{2FB7EF63-94F1-4365-AFA6-65FC2EA7D67A}"/>
    <cellStyle name="40% - Accent4 4 3 2" xfId="2672" xr:uid="{C127E980-437A-4299-BCDE-DD27759CF322}"/>
    <cellStyle name="40% - Accent4 4 3 2 2" xfId="5107" xr:uid="{AEEA28E9-24EE-4DD8-95C8-EC7CDD19DBE0}"/>
    <cellStyle name="40% - Accent4 4 3 3" xfId="4351" xr:uid="{E1E4DBF4-CF91-43AE-B087-19AED4934A9E}"/>
    <cellStyle name="40% - Accent4 4 4" xfId="2354" xr:uid="{082FCE4E-07D6-46D5-9DDA-EE48BC21EB7A}"/>
    <cellStyle name="40% - Accent4 4 4 2" xfId="4789" xr:uid="{D8CA8ABC-90C8-47F3-A990-5917219D4315}"/>
    <cellStyle name="40% - Accent4 4 5" xfId="1049" xr:uid="{5B05DD0E-D171-4716-8953-DEF3389EFDFB}"/>
    <cellStyle name="40% - Accent4 4 5 2" xfId="3915" xr:uid="{38271523-C291-408E-BC60-52A98533AA32}"/>
    <cellStyle name="40% - Accent4 5" xfId="250" xr:uid="{00000000-0005-0000-0000-000055000000}"/>
    <cellStyle name="40% - Accent4 5 2" xfId="1968" xr:uid="{BD4237AB-1704-44EF-97FE-47480B509987}"/>
    <cellStyle name="40% - Accent4 5 2 2" xfId="2806" xr:uid="{14417774-31F1-42C2-8495-AFA881A73460}"/>
    <cellStyle name="40% - Accent4 5 2 2 2" xfId="5241" xr:uid="{9D68EC30-8199-4F67-AE38-848CCC0E3737}"/>
    <cellStyle name="40% - Accent4 5 2 3" xfId="4485" xr:uid="{BDEBDAC1-017D-4116-86C3-99ED929758E1}"/>
    <cellStyle name="40% - Accent4 5 3" xfId="2356" xr:uid="{3D97A6D3-BE80-46DC-ABA3-805650CA40B1}"/>
    <cellStyle name="40% - Accent4 5 3 2" xfId="4791" xr:uid="{4BC833BB-F107-4396-8DB3-B1BCC4CF26EF}"/>
    <cellStyle name="40% - Accent4 5 4" xfId="1051" xr:uid="{7FED6131-7C86-4745-B80B-08B5E0095669}"/>
    <cellStyle name="40% - Accent4 5 4 2" xfId="3917" xr:uid="{780D1E36-F19F-4D58-BFA7-4B955D39D1D0}"/>
    <cellStyle name="40% - Accent4 6" xfId="299" xr:uid="{00000000-0005-0000-0000-000056000000}"/>
    <cellStyle name="40% - Accent4 6 2" xfId="2636" xr:uid="{5D8D53BD-BB9C-43CC-971F-19E983D06462}"/>
    <cellStyle name="40% - Accent4 6 2 2" xfId="5071" xr:uid="{74CF94B2-F891-4215-BA8B-1C1C9F83D3B1}"/>
    <cellStyle name="40% - Accent4 6 3" xfId="1798" xr:uid="{05F174E9-B5C4-4ED8-80AB-6B711C1713E4}"/>
    <cellStyle name="40% - Accent4 6 3 2" xfId="4315" xr:uid="{E15CC6A0-D88E-4BB8-A72E-E3EBDBB585A7}"/>
    <cellStyle name="40% - Accent4 7" xfId="363" xr:uid="{00000000-0005-0000-0000-000057000000}"/>
    <cellStyle name="40% - Accent4 7 2" xfId="2976" xr:uid="{40FFA76D-0188-4CAC-AA54-D03A58C9BD8D}"/>
    <cellStyle name="40% - Accent4 7 2 2" xfId="5411" xr:uid="{BF72BB01-9015-4838-B3DB-D6F1F6E6691D}"/>
    <cellStyle name="40% - Accent4 7 3" xfId="2138" xr:uid="{6E0875B5-5060-44A8-83FF-53F8EA965182}"/>
    <cellStyle name="40% - Accent4 7 3 2" xfId="4655" xr:uid="{FCB57EDD-ECF8-439A-820C-A1576E667909}"/>
    <cellStyle name="40% - Accent4 8" xfId="434" xr:uid="{00000000-0005-0000-0000-000058000000}"/>
    <cellStyle name="40% - Accent4 8 2" xfId="2167" xr:uid="{C07DF2F1-D637-4040-88B1-44F9BF5A4813}"/>
    <cellStyle name="40% - Accent4 8 2 2" xfId="4668" xr:uid="{65338133-8849-4FE6-B160-C2A17770FA8E}"/>
    <cellStyle name="40% - Accent4 9" xfId="538" xr:uid="{00000000-0005-0000-0000-000059000000}"/>
    <cellStyle name="40% - Accent4 9 2" xfId="2181" xr:uid="{272F4A23-11DA-482D-B721-81F1FE611EE5}"/>
    <cellStyle name="40% - Accent4 9 2 2" xfId="4682" xr:uid="{1D0315DB-449E-47BC-BF05-E1CF3B8CBEAB}"/>
    <cellStyle name="40% - Accent5" xfId="11" builtinId="47" customBuiltin="1"/>
    <cellStyle name="40% - Accent5 10" xfId="2624" xr:uid="{BEA96B51-3F59-4ACC-959B-EFCE2376E587}"/>
    <cellStyle name="40% - Accent5 10 2" xfId="5059" xr:uid="{591A4C8F-60B8-49DB-BE7F-A541E80B4DC3}"/>
    <cellStyle name="40% - Accent5 11" xfId="956" xr:uid="{F7B0C202-3EB2-4AAD-BCAF-EEF1A4C74832}"/>
    <cellStyle name="40% - Accent5 11 2" xfId="3847" xr:uid="{16695F4D-7DBA-4FF3-B6F2-E1F8C3983214}"/>
    <cellStyle name="40% - Accent5 2" xfId="125" xr:uid="{00000000-0005-0000-0000-00005B000000}"/>
    <cellStyle name="40% - Accent5 2 2" xfId="1053" xr:uid="{F68A143B-4FD0-4EE1-99E3-59C7F7E532DC}"/>
    <cellStyle name="40% - Accent5 2 3" xfId="1054" xr:uid="{60FC2C4B-B656-4700-AEEB-EB77C3E61E5F}"/>
    <cellStyle name="40% - Accent5 2 3 2" xfId="1055" xr:uid="{EDA48642-5E87-4F6F-AEEB-0260E746E635}"/>
    <cellStyle name="40% - Accent5 2 3 2 2" xfId="2008" xr:uid="{092753AD-3BF4-466F-99D8-2513227C0328}"/>
    <cellStyle name="40% - Accent5 2 3 2 2 2" xfId="2846" xr:uid="{4E256D91-99DE-41A1-8B66-A80DBBA3EDD4}"/>
    <cellStyle name="40% - Accent5 2 3 2 2 2 2" xfId="5281" xr:uid="{F3EE5566-7C19-4ADA-A033-F8943A00C09E}"/>
    <cellStyle name="40% - Accent5 2 3 2 2 3" xfId="4525" xr:uid="{D9277B07-3D54-4D6D-9C78-449B6A8979B8}"/>
    <cellStyle name="40% - Accent5 2 3 2 3" xfId="2358" xr:uid="{54A7B384-C74A-4E57-BE1A-4061D975B71D}"/>
    <cellStyle name="40% - Accent5 2 3 2 3 2" xfId="4793" xr:uid="{EB81FF91-EF86-406F-836B-46A370E21552}"/>
    <cellStyle name="40% - Accent5 2 3 2 4" xfId="3919" xr:uid="{38FB6272-9BE4-49CE-9411-71E829AB268C}"/>
    <cellStyle name="40% - Accent5 2 3 3" xfId="1838" xr:uid="{FB789F49-DAA1-4471-A7F3-E3E51C96C97F}"/>
    <cellStyle name="40% - Accent5 2 3 3 2" xfId="2676" xr:uid="{C647C14E-1FDC-4FF2-ACFA-073B54DA9319}"/>
    <cellStyle name="40% - Accent5 2 3 3 2 2" xfId="5111" xr:uid="{0FD44ADF-4D7B-40F9-BD60-8729CA0B84EF}"/>
    <cellStyle name="40% - Accent5 2 3 3 3" xfId="4355" xr:uid="{E3D03835-1C9A-4EE6-8DCB-6DBC89656C53}"/>
    <cellStyle name="40% - Accent5 2 3 4" xfId="2357" xr:uid="{777EEF74-297F-47F9-985C-E3D294AE7332}"/>
    <cellStyle name="40% - Accent5 2 3 4 2" xfId="4792" xr:uid="{2A45B322-4474-4F00-AB57-1448B5B36F6E}"/>
    <cellStyle name="40% - Accent5 2 3 5" xfId="3918" xr:uid="{52DCBF71-CF00-4EC1-B50E-2940EF8AADCA}"/>
    <cellStyle name="40% - Accent5 2 4" xfId="2227" xr:uid="{A970BE78-FF47-498A-BC70-576076D8970D}"/>
    <cellStyle name="40% - Accent5 2 5" xfId="1052" xr:uid="{2AE2FF2D-53DE-4FA1-9131-5539E505D5EB}"/>
    <cellStyle name="40% - Accent5 3" xfId="159" xr:uid="{00000000-0005-0000-0000-00005C000000}"/>
    <cellStyle name="40% - Accent5 3 2" xfId="1057" xr:uid="{FF0B5EF2-35EB-459E-80D9-3F6A3358A4BD}"/>
    <cellStyle name="40% - Accent5 3 2 2" xfId="2009" xr:uid="{14636DA1-F6D7-4DDD-8A9F-BD2942B4E9C3}"/>
    <cellStyle name="40% - Accent5 3 2 2 2" xfId="2847" xr:uid="{4073D374-99C4-4462-BC7D-819077C5C83F}"/>
    <cellStyle name="40% - Accent5 3 2 2 2 2" xfId="5282" xr:uid="{A36D9199-2E47-4A4A-83DC-4030F0FA8188}"/>
    <cellStyle name="40% - Accent5 3 2 2 3" xfId="4526" xr:uid="{E82E4418-6E43-4EAF-9280-0E417BA1CBE9}"/>
    <cellStyle name="40% - Accent5 3 2 3" xfId="2360" xr:uid="{6142FD7C-5281-4458-AE22-B29F1DAC8298}"/>
    <cellStyle name="40% - Accent5 3 2 3 2" xfId="4795" xr:uid="{6DA916C0-2DBC-4961-8B65-1FD1483EECBA}"/>
    <cellStyle name="40% - Accent5 3 2 4" xfId="3921" xr:uid="{6646D104-CE81-446F-B87B-661B7FBA4B4C}"/>
    <cellStyle name="40% - Accent5 3 3" xfId="1839" xr:uid="{64D0CD8D-6ACD-437A-A73B-3C52C1717C15}"/>
    <cellStyle name="40% - Accent5 3 3 2" xfId="2677" xr:uid="{7E1A2875-F160-4407-81A0-383408601322}"/>
    <cellStyle name="40% - Accent5 3 3 2 2" xfId="5112" xr:uid="{72BED644-E998-44C6-AE16-C0F8D7018403}"/>
    <cellStyle name="40% - Accent5 3 3 3" xfId="4356" xr:uid="{300F9ECD-F3F6-4868-BCCE-6C709AFC1915}"/>
    <cellStyle name="40% - Accent5 3 4" xfId="2359" xr:uid="{1560B020-90C1-44AB-BD98-6A4B0498711C}"/>
    <cellStyle name="40% - Accent5 3 4 2" xfId="4794" xr:uid="{20506587-1C4A-484D-8BC1-5B17E33FD3E7}"/>
    <cellStyle name="40% - Accent5 3 5" xfId="1056" xr:uid="{9D8EABC5-349B-49FA-A42B-26EFBC12E179}"/>
    <cellStyle name="40% - Accent5 3 5 2" xfId="3920" xr:uid="{2475AFA4-E363-4D74-85DE-70C4C5E3D156}"/>
    <cellStyle name="40% - Accent5 4" xfId="205" xr:uid="{00000000-0005-0000-0000-00005D000000}"/>
    <cellStyle name="40% - Accent5 4 2" xfId="1059" xr:uid="{BFFD4667-8B9F-47D9-8F72-FED5C06867EE}"/>
    <cellStyle name="40% - Accent5 4 2 2" xfId="2007" xr:uid="{75EE0A65-17DC-465D-8B1C-58AB94C4A784}"/>
    <cellStyle name="40% - Accent5 4 2 2 2" xfId="2845" xr:uid="{89E353C9-DA67-4A85-8EBE-04E1AE939A7C}"/>
    <cellStyle name="40% - Accent5 4 2 2 2 2" xfId="5280" xr:uid="{AD7CFB95-6166-4A61-8115-050E8884142E}"/>
    <cellStyle name="40% - Accent5 4 2 2 3" xfId="4524" xr:uid="{14A4D0BD-A657-45E0-A0BB-27AF9785AB8A}"/>
    <cellStyle name="40% - Accent5 4 2 3" xfId="2362" xr:uid="{68C43C60-7370-40F5-81B3-6E417044ED6F}"/>
    <cellStyle name="40% - Accent5 4 2 3 2" xfId="4797" xr:uid="{058D9E1E-028E-4004-9E9C-93F7C80090FC}"/>
    <cellStyle name="40% - Accent5 4 2 4" xfId="3923" xr:uid="{49891433-B69B-4998-AB1D-CA7A6AE49B1F}"/>
    <cellStyle name="40% - Accent5 4 3" xfId="1837" xr:uid="{A78D0F56-CFE0-43B9-BA42-C23FA85EB63C}"/>
    <cellStyle name="40% - Accent5 4 3 2" xfId="2675" xr:uid="{55A9E2BD-7ADC-43D7-904F-FF2821E26A53}"/>
    <cellStyle name="40% - Accent5 4 3 2 2" xfId="5110" xr:uid="{08DDBAAF-D726-438C-9300-6A42542985BD}"/>
    <cellStyle name="40% - Accent5 4 3 3" xfId="4354" xr:uid="{DF5B0E45-42FD-4831-9CB8-6CEE921B7FB9}"/>
    <cellStyle name="40% - Accent5 4 4" xfId="2361" xr:uid="{8677EBAD-EAA3-4494-8AFC-03E0F2E7B1E0}"/>
    <cellStyle name="40% - Accent5 4 4 2" xfId="4796" xr:uid="{537D74C5-0C95-48DB-B7C4-DB14C6729B11}"/>
    <cellStyle name="40% - Accent5 4 5" xfId="1058" xr:uid="{8430CDCE-E50B-483D-A8C7-7C7A4F032391}"/>
    <cellStyle name="40% - Accent5 4 5 2" xfId="3922" xr:uid="{5FC73EF2-F469-4252-BC42-DC6846469019}"/>
    <cellStyle name="40% - Accent5 5" xfId="251" xr:uid="{00000000-0005-0000-0000-00005E000000}"/>
    <cellStyle name="40% - Accent5 5 2" xfId="1969" xr:uid="{1F93E9D8-DD19-4BA6-BF40-41F52D9B54B4}"/>
    <cellStyle name="40% - Accent5 5 2 2" xfId="2807" xr:uid="{62CC4DAC-8412-4A8E-AC09-D2D593B3EAB2}"/>
    <cellStyle name="40% - Accent5 5 2 2 2" xfId="5242" xr:uid="{8EE43EB3-A7F9-4EFE-8B43-9C8C2AA14FAE}"/>
    <cellStyle name="40% - Accent5 5 2 3" xfId="4486" xr:uid="{0A59B1B5-853E-4C11-A323-34F7DCFB49C4}"/>
    <cellStyle name="40% - Accent5 5 3" xfId="2363" xr:uid="{C4D318D2-1E9A-402C-88ED-94D42B4AB7B6}"/>
    <cellStyle name="40% - Accent5 5 3 2" xfId="4798" xr:uid="{2FD3F569-D0C6-47F9-A4BB-BE49D733B41C}"/>
    <cellStyle name="40% - Accent5 5 4" xfId="1060" xr:uid="{348B5C0E-3CCA-496E-8DA9-B08D08888DD9}"/>
    <cellStyle name="40% - Accent5 5 4 2" xfId="3924" xr:uid="{953F043D-CAC0-49AE-8A81-88D00E6E962C}"/>
    <cellStyle name="40% - Accent5 6" xfId="300" xr:uid="{00000000-0005-0000-0000-00005F000000}"/>
    <cellStyle name="40% - Accent5 6 2" xfId="2637" xr:uid="{7C03BFD5-7850-43FE-A022-49BE0D2012BC}"/>
    <cellStyle name="40% - Accent5 6 2 2" xfId="5072" xr:uid="{296BB2CC-4629-49E8-A1FF-2A6D8FB02406}"/>
    <cellStyle name="40% - Accent5 6 3" xfId="1799" xr:uid="{F0680BF5-692E-4BC7-B24A-8A365AB75533}"/>
    <cellStyle name="40% - Accent5 6 3 2" xfId="4316" xr:uid="{55338790-8FF0-4FB0-8354-1BDFA4593352}"/>
    <cellStyle name="40% - Accent5 7" xfId="364" xr:uid="{00000000-0005-0000-0000-000060000000}"/>
    <cellStyle name="40% - Accent5 7 2" xfId="2978" xr:uid="{B82E5AC5-3CA2-4207-AB30-C4E3375643A7}"/>
    <cellStyle name="40% - Accent5 7 2 2" xfId="5413" xr:uid="{C0CB2207-CC79-4B39-A8C2-063BD6509C6A}"/>
    <cellStyle name="40% - Accent5 7 3" xfId="2140" xr:uid="{36E357C2-0B9D-4C09-8A6C-85794ED33B2C}"/>
    <cellStyle name="40% - Accent5 7 3 2" xfId="4657" xr:uid="{57709832-28F2-4D95-AFC3-7DB7755FE513}"/>
    <cellStyle name="40% - Accent5 8" xfId="435" xr:uid="{00000000-0005-0000-0000-000061000000}"/>
    <cellStyle name="40% - Accent5 8 2" xfId="2169" xr:uid="{2A822548-C23F-4116-88BB-FC8458188FB6}"/>
    <cellStyle name="40% - Accent5 8 2 2" xfId="4670" xr:uid="{697571D3-CBC7-4031-A7A5-EC3F4946E89E}"/>
    <cellStyle name="40% - Accent5 9" xfId="539" xr:uid="{00000000-0005-0000-0000-000062000000}"/>
    <cellStyle name="40% - Accent5 9 2" xfId="2183" xr:uid="{645737B1-ACB4-4801-9970-DE5D4002227B}"/>
    <cellStyle name="40% - Accent5 9 2 2" xfId="4684" xr:uid="{6AE2F8E2-1893-49CA-9651-9A14E8CFAEC6}"/>
    <cellStyle name="40% - Accent6" xfId="12" builtinId="51" customBuiltin="1"/>
    <cellStyle name="40% - Accent6 10" xfId="2626" xr:uid="{C21A98BD-1103-471F-9430-20648CE90C44}"/>
    <cellStyle name="40% - Accent6 10 2" xfId="5061" xr:uid="{A2CA3F10-3C8D-486E-BBD5-B08F213A7E81}"/>
    <cellStyle name="40% - Accent6 11" xfId="980" xr:uid="{D230E761-E665-4AB1-860D-06F98F9B84BA}"/>
    <cellStyle name="40% - Accent6 11 2" xfId="3867" xr:uid="{F13A34CE-0978-4EFB-835F-65A09300E1FD}"/>
    <cellStyle name="40% - Accent6 2" xfId="126" xr:uid="{00000000-0005-0000-0000-000064000000}"/>
    <cellStyle name="40% - Accent6 2 2" xfId="1062" xr:uid="{B86146FC-54B9-4A87-9241-9F84ECBCAD0F}"/>
    <cellStyle name="40% - Accent6 2 3" xfId="1063" xr:uid="{FF05A4C6-E2A6-4AFD-A716-7EDE0495435D}"/>
    <cellStyle name="40% - Accent6 2 3 2" xfId="1064" xr:uid="{93F0226F-1468-4673-90A2-66D39A984B23}"/>
    <cellStyle name="40% - Accent6 2 3 2 2" xfId="2011" xr:uid="{04FEE035-D0C6-43DE-AD4D-7C291A4BC41F}"/>
    <cellStyle name="40% - Accent6 2 3 2 2 2" xfId="2849" xr:uid="{C63635AB-20AB-4005-BF68-23745F1F8055}"/>
    <cellStyle name="40% - Accent6 2 3 2 2 2 2" xfId="5284" xr:uid="{BDC94FAE-C294-46FE-AB30-92EE9DE7739C}"/>
    <cellStyle name="40% - Accent6 2 3 2 2 3" xfId="4528" xr:uid="{67B18485-22F2-4A75-86FF-1A6FD490B8C6}"/>
    <cellStyle name="40% - Accent6 2 3 2 3" xfId="2365" xr:uid="{5A72E1EC-A89C-47A7-B5AB-21CBDE13B2F3}"/>
    <cellStyle name="40% - Accent6 2 3 2 3 2" xfId="4800" xr:uid="{CC2453F9-FBCC-401A-814D-755A70819D84}"/>
    <cellStyle name="40% - Accent6 2 3 2 4" xfId="3926" xr:uid="{B7138063-A151-4A91-97E2-77B63A8FF529}"/>
    <cellStyle name="40% - Accent6 2 3 3" xfId="1841" xr:uid="{0CECA3A3-4CA0-4015-8841-3394A6D58BC0}"/>
    <cellStyle name="40% - Accent6 2 3 3 2" xfId="2679" xr:uid="{99C30B72-3379-41CD-B03F-1298368562A1}"/>
    <cellStyle name="40% - Accent6 2 3 3 2 2" xfId="5114" xr:uid="{B9A72ACF-5692-485D-AE9C-D72B535C15B4}"/>
    <cellStyle name="40% - Accent6 2 3 3 3" xfId="4358" xr:uid="{A5111472-774C-417A-AD5B-49F621F6692C}"/>
    <cellStyle name="40% - Accent6 2 3 4" xfId="2364" xr:uid="{A03762CE-09A9-453B-AD40-F25C46C6258C}"/>
    <cellStyle name="40% - Accent6 2 3 4 2" xfId="4799" xr:uid="{9EDB8269-321D-4791-9982-0B762EC92B5C}"/>
    <cellStyle name="40% - Accent6 2 3 5" xfId="3925" xr:uid="{8248DE47-19CC-4844-BA65-22E3225B652D}"/>
    <cellStyle name="40% - Accent6 2 4" xfId="2228" xr:uid="{65A1543B-59F0-4039-A8FD-07E07E86BB34}"/>
    <cellStyle name="40% - Accent6 2 5" xfId="1061" xr:uid="{0C76B08B-C604-4D2E-B4AC-BD6FA052E290}"/>
    <cellStyle name="40% - Accent6 3" xfId="160" xr:uid="{00000000-0005-0000-0000-000065000000}"/>
    <cellStyle name="40% - Accent6 3 2" xfId="1066" xr:uid="{9E85FC9F-D8B3-44CB-9B8F-C593328F3F25}"/>
    <cellStyle name="40% - Accent6 3 2 2" xfId="2012" xr:uid="{DDF3C799-273C-4E67-B3D7-62459976B65B}"/>
    <cellStyle name="40% - Accent6 3 2 2 2" xfId="2850" xr:uid="{C8C73791-85DD-4AC1-AE19-3C8BDAA94870}"/>
    <cellStyle name="40% - Accent6 3 2 2 2 2" xfId="5285" xr:uid="{DFB02C79-EF39-41B0-B68D-FE7F0E7C0510}"/>
    <cellStyle name="40% - Accent6 3 2 2 3" xfId="4529" xr:uid="{B71B5CF9-8B36-40B4-966A-B34412E5C495}"/>
    <cellStyle name="40% - Accent6 3 2 3" xfId="2367" xr:uid="{43768B4C-6BBC-4F12-AFCD-0D5825128366}"/>
    <cellStyle name="40% - Accent6 3 2 3 2" xfId="4802" xr:uid="{11EDD627-A6A5-4D51-84BB-163C61E12C2C}"/>
    <cellStyle name="40% - Accent6 3 2 4" xfId="3928" xr:uid="{F218D3BA-C057-4D4A-B825-219DCA829BC6}"/>
    <cellStyle name="40% - Accent6 3 3" xfId="1842" xr:uid="{F92505F3-4309-4D1B-A5B9-936236423FAB}"/>
    <cellStyle name="40% - Accent6 3 3 2" xfId="2680" xr:uid="{4F2BD282-906B-444E-A3DF-E0BBA83A93D9}"/>
    <cellStyle name="40% - Accent6 3 3 2 2" xfId="5115" xr:uid="{92821CD0-C2AC-4AB5-8C1B-B77AF8334F78}"/>
    <cellStyle name="40% - Accent6 3 3 3" xfId="4359" xr:uid="{152F8A42-933F-496A-86A3-93920010E7CC}"/>
    <cellStyle name="40% - Accent6 3 4" xfId="2366" xr:uid="{FC24BB0B-C46F-489F-B9FF-BBDC9976A213}"/>
    <cellStyle name="40% - Accent6 3 4 2" xfId="4801" xr:uid="{E187E3BB-46AA-400C-B95B-E53C70A75138}"/>
    <cellStyle name="40% - Accent6 3 5" xfId="1065" xr:uid="{72C004D4-F533-453E-92A8-064553DEEF7D}"/>
    <cellStyle name="40% - Accent6 3 5 2" xfId="3927" xr:uid="{234F1C37-438E-43DF-9421-E1FBC9760C44}"/>
    <cellStyle name="40% - Accent6 4" xfId="206" xr:uid="{00000000-0005-0000-0000-000066000000}"/>
    <cellStyle name="40% - Accent6 4 2" xfId="1068" xr:uid="{DAE9BA26-DF31-4A0C-9DE4-76DD9FE5CBF1}"/>
    <cellStyle name="40% - Accent6 4 2 2" xfId="2010" xr:uid="{AEF4B1F5-379D-4017-BF4C-7EE557DCE7B8}"/>
    <cellStyle name="40% - Accent6 4 2 2 2" xfId="2848" xr:uid="{52D5DA1F-1104-48A4-B3CB-196D46C54A3E}"/>
    <cellStyle name="40% - Accent6 4 2 2 2 2" xfId="5283" xr:uid="{30AE53C2-C01C-47E3-99F3-88B577778306}"/>
    <cellStyle name="40% - Accent6 4 2 2 3" xfId="4527" xr:uid="{52C54EE7-35FF-4B7C-8667-0D25C3B31973}"/>
    <cellStyle name="40% - Accent6 4 2 3" xfId="2369" xr:uid="{17B98110-C695-4C47-8B88-F6C94E285DCA}"/>
    <cellStyle name="40% - Accent6 4 2 3 2" xfId="4804" xr:uid="{6A903863-5215-459A-9033-1D3F9ECC7B8E}"/>
    <cellStyle name="40% - Accent6 4 2 4" xfId="3930" xr:uid="{DECE60E3-CB74-45FC-A2D6-761A000E6C46}"/>
    <cellStyle name="40% - Accent6 4 3" xfId="1840" xr:uid="{C065FD5D-40AD-43F0-A448-10EC331687CB}"/>
    <cellStyle name="40% - Accent6 4 3 2" xfId="2678" xr:uid="{40921068-5F1E-416F-9B84-2BAFE9851948}"/>
    <cellStyle name="40% - Accent6 4 3 2 2" xfId="5113" xr:uid="{047DDEBE-FCCF-4E32-88C4-D8FF1E438FF0}"/>
    <cellStyle name="40% - Accent6 4 3 3" xfId="4357" xr:uid="{0A24E264-2243-4F2A-A712-B2169814241C}"/>
    <cellStyle name="40% - Accent6 4 4" xfId="2368" xr:uid="{F482FFD0-88C6-4E87-8165-D1C894D588B8}"/>
    <cellStyle name="40% - Accent6 4 4 2" xfId="4803" xr:uid="{7DBD6B80-6881-41AB-BAAD-ADFE2C9F8CB1}"/>
    <cellStyle name="40% - Accent6 4 5" xfId="1067" xr:uid="{6A5E99AF-4B74-46B7-81A9-1CE55B37A1BA}"/>
    <cellStyle name="40% - Accent6 4 5 2" xfId="3929" xr:uid="{B10D69FE-2FD1-4D86-AC7B-E62E00958FEF}"/>
    <cellStyle name="40% - Accent6 5" xfId="252" xr:uid="{00000000-0005-0000-0000-000067000000}"/>
    <cellStyle name="40% - Accent6 5 2" xfId="1970" xr:uid="{6DB890FB-0E61-4307-B183-2B16FEDF29DA}"/>
    <cellStyle name="40% - Accent6 5 2 2" xfId="2808" xr:uid="{FD7C7E97-8200-41B8-83ED-88790EDC0B32}"/>
    <cellStyle name="40% - Accent6 5 2 2 2" xfId="5243" xr:uid="{3962319C-0B9E-48CF-8D36-609BB1A4DB55}"/>
    <cellStyle name="40% - Accent6 5 2 3" xfId="4487" xr:uid="{84663BA4-FAEE-45F4-B4E3-21CEBC90E337}"/>
    <cellStyle name="40% - Accent6 5 3" xfId="2370" xr:uid="{513DC4F4-8205-4022-B47F-78A8636EDDEF}"/>
    <cellStyle name="40% - Accent6 5 3 2" xfId="4805" xr:uid="{34253FEA-ED60-4DE9-9B47-F92C9A1D7F34}"/>
    <cellStyle name="40% - Accent6 5 4" xfId="1069" xr:uid="{74B0F5AD-BFB2-4197-A6B4-BFE473A85D0B}"/>
    <cellStyle name="40% - Accent6 5 4 2" xfId="3931" xr:uid="{D7A49735-0888-41D3-B8B9-B7AD01AF8BF0}"/>
    <cellStyle name="40% - Accent6 6" xfId="301" xr:uid="{00000000-0005-0000-0000-000068000000}"/>
    <cellStyle name="40% - Accent6 6 2" xfId="2638" xr:uid="{05CC4D4F-565F-4911-A520-1097A66A7B0F}"/>
    <cellStyle name="40% - Accent6 6 2 2" xfId="5073" xr:uid="{83D041CC-9572-4B1D-B033-10E0A4E18094}"/>
    <cellStyle name="40% - Accent6 6 3" xfId="1800" xr:uid="{9F77B020-F03A-494A-BF77-5BA0AB3FBEF1}"/>
    <cellStyle name="40% - Accent6 6 3 2" xfId="4317" xr:uid="{3FE887F2-A909-4795-A41D-C0D257B18CB7}"/>
    <cellStyle name="40% - Accent6 7" xfId="365" xr:uid="{00000000-0005-0000-0000-000069000000}"/>
    <cellStyle name="40% - Accent6 7 2" xfId="2980" xr:uid="{CEFBAA50-B1DC-4787-AADA-BA301D75093C}"/>
    <cellStyle name="40% - Accent6 7 2 2" xfId="5415" xr:uid="{065F94EA-1F19-4198-9558-A4B43A5487A3}"/>
    <cellStyle name="40% - Accent6 7 3" xfId="2142" xr:uid="{C17B9AC1-103A-4DE1-A527-F4B906BDF9FB}"/>
    <cellStyle name="40% - Accent6 7 3 2" xfId="4659" xr:uid="{C0BA5D82-7939-4FD6-BE10-F975B16DEC91}"/>
    <cellStyle name="40% - Accent6 8" xfId="436" xr:uid="{00000000-0005-0000-0000-00006A000000}"/>
    <cellStyle name="40% - Accent6 8 2" xfId="2171" xr:uid="{14E1C59F-A3F4-4EEB-9C7A-BCC606A57B70}"/>
    <cellStyle name="40% - Accent6 8 2 2" xfId="4672" xr:uid="{7C34B83E-DF65-4B8D-8C24-9FE3F0332B1A}"/>
    <cellStyle name="40% - Accent6 9" xfId="540" xr:uid="{00000000-0005-0000-0000-00006B000000}"/>
    <cellStyle name="40% - Accent6 9 2" xfId="2185" xr:uid="{5E2EF2E5-F833-4108-8384-8DCC5EEB89F6}"/>
    <cellStyle name="40% - Accent6 9 2 2" xfId="4686" xr:uid="{744AC416-5387-4E18-87B2-011F11E64D78}"/>
    <cellStyle name="60% - Accent1" xfId="13" builtinId="32" customBuiltin="1"/>
    <cellStyle name="60% - Accent1 2" xfId="161" xr:uid="{00000000-0005-0000-0000-00006D000000}"/>
    <cellStyle name="60% - Accent1 2 2" xfId="1070" xr:uid="{F619F85F-EF0B-4773-9321-837336812262}"/>
    <cellStyle name="60% - Accent1 3" xfId="207" xr:uid="{00000000-0005-0000-0000-00006E000000}"/>
    <cellStyle name="60% - Accent1 3 2" xfId="1783" xr:uid="{F1A5227D-A071-47A6-834F-187B9306FD5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2 2" xfId="1071" xr:uid="{72AFCAA7-7264-4780-86D2-6FDDD127CA49}"/>
    <cellStyle name="60% - Accent2 3" xfId="208" xr:uid="{00000000-0005-0000-0000-000076000000}"/>
    <cellStyle name="60% - Accent2 3 2" xfId="1784" xr:uid="{9DCE2D12-9B17-4979-A261-A6DAB5D33E53}"/>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2 2" xfId="1072" xr:uid="{71C7DE70-2CA6-40B0-9021-46D5B544D7F1}"/>
    <cellStyle name="60% - Accent3 3" xfId="209" xr:uid="{00000000-0005-0000-0000-00007E000000}"/>
    <cellStyle name="60% - Accent3 3 2" xfId="1785" xr:uid="{96C7BFFF-0AAF-4470-8EFD-F78D78D47B4F}"/>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2 2" xfId="1073" xr:uid="{92624BDC-9309-4C34-B9B1-C834C49C682B}"/>
    <cellStyle name="60% - Accent4 3" xfId="210" xr:uid="{00000000-0005-0000-0000-000086000000}"/>
    <cellStyle name="60% - Accent4 3 2" xfId="1786" xr:uid="{BEECFAC8-A866-4ABE-B1DE-083EDDC2D164}"/>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2 2" xfId="1074" xr:uid="{79915B16-F3F0-402C-8D8B-332BA6107D95}"/>
    <cellStyle name="60% - Accent5 3" xfId="211" xr:uid="{00000000-0005-0000-0000-00008E000000}"/>
    <cellStyle name="60% - Accent5 3 2" xfId="1787" xr:uid="{1B435A57-E048-4E1B-822A-75C84CB1A8EF}"/>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2 2" xfId="1075" xr:uid="{03AB1D74-0877-4774-94EE-BF003912416F}"/>
    <cellStyle name="60% - Accent6 3" xfId="212" xr:uid="{00000000-0005-0000-0000-000096000000}"/>
    <cellStyle name="60% - Accent6 3 2" xfId="1788" xr:uid="{C5E35DEF-8A0D-4063-9F53-6EBDC7B83EAC}"/>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20% 2" xfId="895" xr:uid="{2341EBAC-9038-489B-89E0-D771DE82EA42}"/>
    <cellStyle name="Accent1 - 20% 2 2" xfId="1077" xr:uid="{414B7D17-031D-4725-BDCB-068DB20E3195}"/>
    <cellStyle name="Accent1 - 20% 3" xfId="1076" xr:uid="{6D182D04-6AC5-4395-84D6-5BBA711DB76C}"/>
    <cellStyle name="Accent1 - 40%" xfId="21" xr:uid="{00000000-0005-0000-0000-00009E000000}"/>
    <cellStyle name="Accent1 - 40% 2" xfId="896" xr:uid="{2BF20286-8C14-4DD0-BC48-F86BC03F1EA6}"/>
    <cellStyle name="Accent1 - 40% 2 2" xfId="1079" xr:uid="{5703260F-9F55-472D-B852-0745440CAE20}"/>
    <cellStyle name="Accent1 - 40% 3" xfId="1078" xr:uid="{37310F85-B540-47B0-A930-846AA20AAEE6}"/>
    <cellStyle name="Accent1 - 60%" xfId="22" xr:uid="{00000000-0005-0000-0000-00009F000000}"/>
    <cellStyle name="Accent1 - 60% 2" xfId="897" xr:uid="{408C100A-9179-46C4-8CFF-78775259CF40}"/>
    <cellStyle name="Accent1 - 60% 3" xfId="1080" xr:uid="{BD64EBD7-8CF6-4504-880D-533D1EB14A1C}"/>
    <cellStyle name="Accent1 10" xfId="1213" xr:uid="{1C990109-106A-4596-B574-DCB65713A036}"/>
    <cellStyle name="Accent1 2" xfId="167" xr:uid="{00000000-0005-0000-0000-0000A0000000}"/>
    <cellStyle name="Accent1 2 2" xfId="1082" xr:uid="{A2AEDD95-125F-4D35-8FEF-1CE9A7E7967C}"/>
    <cellStyle name="Accent1 2 3" xfId="1081" xr:uid="{D5BA26EA-C2B8-488C-A3D5-C7B9F5B8FBAE}"/>
    <cellStyle name="Accent1 3" xfId="213" xr:uid="{00000000-0005-0000-0000-0000A1000000}"/>
    <cellStyle name="Accent1 3 2" xfId="1083" xr:uid="{39773C2A-FEDF-4019-A333-EEE368665DA0}"/>
    <cellStyle name="Accent1 4" xfId="259" xr:uid="{00000000-0005-0000-0000-0000A2000000}"/>
    <cellStyle name="Accent1 4 2" xfId="1084" xr:uid="{F325E876-4B8E-453E-A8D7-B4D6CE075DB8}"/>
    <cellStyle name="Accent1 5" xfId="308" xr:uid="{00000000-0005-0000-0000-0000A3000000}"/>
    <cellStyle name="Accent1 5 2" xfId="1085" xr:uid="{B0F8ABE1-00B6-4D40-93F9-613FDA5B7CEC}"/>
    <cellStyle name="Accent1 6" xfId="372" xr:uid="{00000000-0005-0000-0000-0000A4000000}"/>
    <cellStyle name="Accent1 6 2" xfId="1086" xr:uid="{3A40E004-7839-4117-930D-994452E88160}"/>
    <cellStyle name="Accent1 7" xfId="443" xr:uid="{00000000-0005-0000-0000-0000A5000000}"/>
    <cellStyle name="Accent1 8" xfId="547" xr:uid="{00000000-0005-0000-0000-0000A6000000}"/>
    <cellStyle name="Accent1 9" xfId="951" xr:uid="{6347ABA3-020E-427A-ACD0-91D282C3A9A0}"/>
    <cellStyle name="Accent2" xfId="23" builtinId="33" customBuiltin="1"/>
    <cellStyle name="Accent2 - 20%" xfId="24" xr:uid="{00000000-0005-0000-0000-0000A8000000}"/>
    <cellStyle name="Accent2 - 20% 2" xfId="898" xr:uid="{CE2FEAEC-91C4-47A9-B758-BE9651C717BF}"/>
    <cellStyle name="Accent2 - 20% 2 2" xfId="1088" xr:uid="{F68C5F47-8087-4EF5-A86D-EF36AF207E58}"/>
    <cellStyle name="Accent2 - 20% 3" xfId="1087" xr:uid="{740E2974-99A3-4C6A-9A3C-9D35A45C4D44}"/>
    <cellStyle name="Accent2 - 40%" xfId="25" xr:uid="{00000000-0005-0000-0000-0000A9000000}"/>
    <cellStyle name="Accent2 - 40% 2" xfId="899" xr:uid="{C8AB0773-203C-4C6E-B565-01F33238BC7F}"/>
    <cellStyle name="Accent2 - 40% 2 2" xfId="1090" xr:uid="{B23C6FBB-CEEF-4E12-82D4-A41405795F2D}"/>
    <cellStyle name="Accent2 - 40% 3" xfId="1089" xr:uid="{36FB6292-0688-4100-A52D-BB0036457F47}"/>
    <cellStyle name="Accent2 - 60%" xfId="26" xr:uid="{00000000-0005-0000-0000-0000AA000000}"/>
    <cellStyle name="Accent2 - 60% 2" xfId="900" xr:uid="{AF53FF1C-518F-4939-AF19-B56F4C363B7D}"/>
    <cellStyle name="Accent2 - 60% 3" xfId="1091" xr:uid="{3EE8043A-A8D8-4095-A13B-E2F8DCAF4F83}"/>
    <cellStyle name="Accent2 10" xfId="931" xr:uid="{B71FC80D-923E-42FE-B25A-620E92B92CAA}"/>
    <cellStyle name="Accent2 2" xfId="168" xr:uid="{00000000-0005-0000-0000-0000AB000000}"/>
    <cellStyle name="Accent2 2 2" xfId="1093" xr:uid="{E2AFFB22-8D6D-4174-B386-E06D33B4B0D0}"/>
    <cellStyle name="Accent2 2 3" xfId="1092" xr:uid="{DEA24C2F-BD40-4FBE-A814-9D5A35169FA2}"/>
    <cellStyle name="Accent2 3" xfId="214" xr:uid="{00000000-0005-0000-0000-0000AC000000}"/>
    <cellStyle name="Accent2 3 2" xfId="1094" xr:uid="{91095101-B597-45A2-AAF7-4E16DFA94DC2}"/>
    <cellStyle name="Accent2 4" xfId="260" xr:uid="{00000000-0005-0000-0000-0000AD000000}"/>
    <cellStyle name="Accent2 4 2" xfId="1095" xr:uid="{B6825291-8684-430A-87A0-B6892FDCB861}"/>
    <cellStyle name="Accent2 5" xfId="309" xr:uid="{00000000-0005-0000-0000-0000AE000000}"/>
    <cellStyle name="Accent2 5 2" xfId="1096" xr:uid="{2BC4EB0C-C3D5-49F4-9B6D-0621473FBAC3}"/>
    <cellStyle name="Accent2 6" xfId="373" xr:uid="{00000000-0005-0000-0000-0000AF000000}"/>
    <cellStyle name="Accent2 6 2" xfId="1097" xr:uid="{E79C3EF2-7899-45CB-8E55-2409DE3D6262}"/>
    <cellStyle name="Accent2 7" xfId="444" xr:uid="{00000000-0005-0000-0000-0000B0000000}"/>
    <cellStyle name="Accent2 8" xfId="548" xr:uid="{00000000-0005-0000-0000-0000B1000000}"/>
    <cellStyle name="Accent2 9" xfId="950" xr:uid="{BC8A2DEE-4CB2-4376-80A9-E5B9DE57E410}"/>
    <cellStyle name="Accent3" xfId="27" builtinId="37" customBuiltin="1"/>
    <cellStyle name="Accent3 - 20%" xfId="28" xr:uid="{00000000-0005-0000-0000-0000B3000000}"/>
    <cellStyle name="Accent3 - 20% 2" xfId="901" xr:uid="{799D8D2C-063B-414A-9931-887EFCFC4E67}"/>
    <cellStyle name="Accent3 - 20% 2 2" xfId="1099" xr:uid="{B7CB49EF-AB66-4FED-8A0F-0665B8C333E2}"/>
    <cellStyle name="Accent3 - 20% 3" xfId="1098" xr:uid="{BEDE6608-4E97-48F3-A85A-04882925D571}"/>
    <cellStyle name="Accent3 - 40%" xfId="29" xr:uid="{00000000-0005-0000-0000-0000B4000000}"/>
    <cellStyle name="Accent3 - 40% 2" xfId="902" xr:uid="{9EE4BE1D-CF1C-4742-8B41-85BFD5FD0E44}"/>
    <cellStyle name="Accent3 - 40% 2 2" xfId="1101" xr:uid="{637AE64C-46E6-4E54-A754-5BCB4710A002}"/>
    <cellStyle name="Accent3 - 40% 3" xfId="1100" xr:uid="{1191125C-292B-4EAC-9AC9-5CDD313F9E61}"/>
    <cellStyle name="Accent3 - 60%" xfId="30" xr:uid="{00000000-0005-0000-0000-0000B5000000}"/>
    <cellStyle name="Accent3 - 60% 2" xfId="903" xr:uid="{D0DE66A8-CA6C-4224-8DB9-E474B7B1280B}"/>
    <cellStyle name="Accent3 - 60% 3" xfId="1102" xr:uid="{33A92544-35BE-42FD-8800-0B328CCE314B}"/>
    <cellStyle name="Accent3 10" xfId="1122" xr:uid="{062B3298-900C-4715-8273-EB8D67633230}"/>
    <cellStyle name="Accent3 2" xfId="169" xr:uid="{00000000-0005-0000-0000-0000B6000000}"/>
    <cellStyle name="Accent3 2 2" xfId="1104" xr:uid="{AD0EAA13-596C-48C8-B2B0-2BCCAB62471A}"/>
    <cellStyle name="Accent3 2 3" xfId="1103" xr:uid="{7BE6615A-2710-42B7-8924-11B35425E74D}"/>
    <cellStyle name="Accent3 3" xfId="215" xr:uid="{00000000-0005-0000-0000-0000B7000000}"/>
    <cellStyle name="Accent3 3 2" xfId="1105" xr:uid="{31C22731-24A1-4C30-86D2-212C22845DA9}"/>
    <cellStyle name="Accent3 4" xfId="261" xr:uid="{00000000-0005-0000-0000-0000B8000000}"/>
    <cellStyle name="Accent3 4 2" xfId="1106" xr:uid="{117C03F0-794F-4772-BC2D-AAD9A70B091E}"/>
    <cellStyle name="Accent3 5" xfId="310" xr:uid="{00000000-0005-0000-0000-0000B9000000}"/>
    <cellStyle name="Accent3 5 2" xfId="1107" xr:uid="{C67BA2AB-1CE0-4AE5-A4A8-F8513869DF9F}"/>
    <cellStyle name="Accent3 6" xfId="374" xr:uid="{00000000-0005-0000-0000-0000BA000000}"/>
    <cellStyle name="Accent3 6 2" xfId="1108" xr:uid="{4517FCAE-1CEA-4BDD-A2F2-D08942B3B088}"/>
    <cellStyle name="Accent3 7" xfId="445" xr:uid="{00000000-0005-0000-0000-0000BB000000}"/>
    <cellStyle name="Accent3 8" xfId="549" xr:uid="{00000000-0005-0000-0000-0000BC000000}"/>
    <cellStyle name="Accent3 9" xfId="953" xr:uid="{B22748A5-3A25-43AC-B351-99C87BEC613D}"/>
    <cellStyle name="Accent4" xfId="31" builtinId="41" customBuiltin="1"/>
    <cellStyle name="Accent4 - 20%" xfId="32" xr:uid="{00000000-0005-0000-0000-0000BE000000}"/>
    <cellStyle name="Accent4 - 20% 2" xfId="904" xr:uid="{2A244947-8719-466C-882F-76D767C039CB}"/>
    <cellStyle name="Accent4 - 20% 2 2" xfId="1110" xr:uid="{3E9F496F-5B39-4E62-9083-99C9008F1185}"/>
    <cellStyle name="Accent4 - 20% 3" xfId="1109" xr:uid="{219BD5D1-FA2D-40CD-B912-1C479533EAA8}"/>
    <cellStyle name="Accent4 - 40%" xfId="33" xr:uid="{00000000-0005-0000-0000-0000BF000000}"/>
    <cellStyle name="Accent4 - 40% 2" xfId="905" xr:uid="{AFDFCFCB-B00A-4EF8-A068-4DB2E94E6F65}"/>
    <cellStyle name="Accent4 - 40% 2 2" xfId="1112" xr:uid="{05CE971B-A2FB-4C38-B08B-32BBB09DFA33}"/>
    <cellStyle name="Accent4 - 40% 3" xfId="1111" xr:uid="{0D0C1A3F-A9AB-47C1-971A-0DFAED12DEEC}"/>
    <cellStyle name="Accent4 - 60%" xfId="34" xr:uid="{00000000-0005-0000-0000-0000C0000000}"/>
    <cellStyle name="Accent4 - 60% 2" xfId="906" xr:uid="{D5544E1B-0053-4E69-AFF5-74AC05D47F77}"/>
    <cellStyle name="Accent4 - 60% 3" xfId="1113" xr:uid="{0D4BC98E-799C-4B75-BBC6-02DCBD9BF55A}"/>
    <cellStyle name="Accent4 10" xfId="3311" xr:uid="{F46DF3C4-5610-4E61-AADA-B24876832B7A}"/>
    <cellStyle name="Accent4 2" xfId="170" xr:uid="{00000000-0005-0000-0000-0000C1000000}"/>
    <cellStyle name="Accent4 2 2" xfId="1115" xr:uid="{569278D7-7112-4B2E-BF1C-45E6D3F2735C}"/>
    <cellStyle name="Accent4 2 3" xfId="1114" xr:uid="{310310A8-778A-4026-8B1A-CB89A40C9F6C}"/>
    <cellStyle name="Accent4 3" xfId="216" xr:uid="{00000000-0005-0000-0000-0000C2000000}"/>
    <cellStyle name="Accent4 3 2" xfId="1116" xr:uid="{9AF0226D-D497-45B5-850A-BE9C180674DB}"/>
    <cellStyle name="Accent4 4" xfId="262" xr:uid="{00000000-0005-0000-0000-0000C3000000}"/>
    <cellStyle name="Accent4 4 2" xfId="1117" xr:uid="{D9496B3F-F057-431F-AEE1-0E4A33B46FAD}"/>
    <cellStyle name="Accent4 5" xfId="311" xr:uid="{00000000-0005-0000-0000-0000C4000000}"/>
    <cellStyle name="Accent4 5 2" xfId="1118" xr:uid="{4BD48876-9CB3-4458-9052-1C3ACB358A5F}"/>
    <cellStyle name="Accent4 6" xfId="375" xr:uid="{00000000-0005-0000-0000-0000C5000000}"/>
    <cellStyle name="Accent4 6 2" xfId="1119" xr:uid="{CEE9625D-A294-4910-81B6-B564BBDE42AC}"/>
    <cellStyle name="Accent4 7" xfId="446" xr:uid="{00000000-0005-0000-0000-0000C6000000}"/>
    <cellStyle name="Accent4 8" xfId="550" xr:uid="{00000000-0005-0000-0000-0000C7000000}"/>
    <cellStyle name="Accent4 9" xfId="916" xr:uid="{1E49948A-8419-4CDD-A029-BF6BCAB8415F}"/>
    <cellStyle name="Accent5" xfId="35" builtinId="45" customBuiltin="1"/>
    <cellStyle name="Accent5 - 20%" xfId="36" xr:uid="{00000000-0005-0000-0000-0000C9000000}"/>
    <cellStyle name="Accent5 - 20% 2" xfId="907" xr:uid="{89E935E9-9950-44BE-8448-0BB5624B551C}"/>
    <cellStyle name="Accent5 - 20% 2 2" xfId="1121" xr:uid="{986DEAA9-7DBF-4AD8-8A23-4567D6191E7F}"/>
    <cellStyle name="Accent5 - 20% 3" xfId="1120" xr:uid="{D94450C6-6787-4B9C-99B4-554826CF9990}"/>
    <cellStyle name="Accent5 - 40%" xfId="37" xr:uid="{00000000-0005-0000-0000-0000CA000000}"/>
    <cellStyle name="Accent5 - 40% 2" xfId="908" xr:uid="{8B81908A-60A3-4F36-BAE6-ECDF676E0561}"/>
    <cellStyle name="Accent5 - 60%" xfId="38" xr:uid="{00000000-0005-0000-0000-0000CB000000}"/>
    <cellStyle name="Accent5 - 60% 2" xfId="909" xr:uid="{BB129ECB-848D-4823-AB4C-1E2B0321DA1D}"/>
    <cellStyle name="Accent5 - 60% 3" xfId="1123" xr:uid="{5F4A6472-2E59-47F0-A928-C7A58380DDD5}"/>
    <cellStyle name="Accent5 10" xfId="3312" xr:uid="{F883AEA5-15AC-45E8-9072-1A76639067DF}"/>
    <cellStyle name="Accent5 2" xfId="171" xr:uid="{00000000-0005-0000-0000-0000CC000000}"/>
    <cellStyle name="Accent5 2 2" xfId="1125" xr:uid="{C3F6D20C-3BCD-4395-9E2D-BBB30836745E}"/>
    <cellStyle name="Accent5 2 3" xfId="1124" xr:uid="{DA6573BB-58A8-431B-ABA5-20DA17E05D8A}"/>
    <cellStyle name="Accent5 3" xfId="217" xr:uid="{00000000-0005-0000-0000-0000CD000000}"/>
    <cellStyle name="Accent5 3 2" xfId="1126" xr:uid="{63A1CBF7-EFF7-4700-935D-CA9EED1D58E1}"/>
    <cellStyle name="Accent5 4" xfId="263" xr:uid="{00000000-0005-0000-0000-0000CE000000}"/>
    <cellStyle name="Accent5 4 2" xfId="1127" xr:uid="{6CF94C34-7D46-4F8E-A1CE-C74E0AE3E331}"/>
    <cellStyle name="Accent5 5" xfId="312" xr:uid="{00000000-0005-0000-0000-0000CF000000}"/>
    <cellStyle name="Accent5 5 2" xfId="1128" xr:uid="{BF38DBF9-72C2-4737-972D-F53EF5BEAAAC}"/>
    <cellStyle name="Accent5 6" xfId="376" xr:uid="{00000000-0005-0000-0000-0000D0000000}"/>
    <cellStyle name="Accent5 6 2" xfId="1129" xr:uid="{7EDB78D8-448B-4B55-8FC4-F278B54F561B}"/>
    <cellStyle name="Accent5 7" xfId="447" xr:uid="{00000000-0005-0000-0000-0000D1000000}"/>
    <cellStyle name="Accent5 8" xfId="551" xr:uid="{00000000-0005-0000-0000-0000D2000000}"/>
    <cellStyle name="Accent5 9" xfId="913" xr:uid="{AF81FAD9-2403-4A11-AE4B-921643EBA684}"/>
    <cellStyle name="Accent6" xfId="39" builtinId="49" customBuiltin="1"/>
    <cellStyle name="Accent6 - 20%" xfId="40" xr:uid="{00000000-0005-0000-0000-0000D4000000}"/>
    <cellStyle name="Accent6 - 20% 2" xfId="910" xr:uid="{C54B27D8-100A-4EEC-83B0-62C23B5A7799}"/>
    <cellStyle name="Accent6 - 40%" xfId="41" xr:uid="{00000000-0005-0000-0000-0000D5000000}"/>
    <cellStyle name="Accent6 - 40% 2" xfId="911" xr:uid="{96A5857A-2028-47BB-AC92-FA568BFD5666}"/>
    <cellStyle name="Accent6 - 40% 2 2" xfId="1131" xr:uid="{C8A2569D-AA9B-4492-BFF6-38CF712B4884}"/>
    <cellStyle name="Accent6 - 40% 3" xfId="1130" xr:uid="{AD139F09-9DD1-4E0C-974D-F21ACFCC3369}"/>
    <cellStyle name="Accent6 - 60%" xfId="42" xr:uid="{00000000-0005-0000-0000-0000D6000000}"/>
    <cellStyle name="Accent6 - 60% 2" xfId="912" xr:uid="{1C6C4C6A-45F8-403C-BCA4-A7F3FB2FE4F9}"/>
    <cellStyle name="Accent6 - 60% 3" xfId="1132" xr:uid="{A0483F0A-D5D9-4BDC-8EF2-E9E671226253}"/>
    <cellStyle name="Accent6 10" xfId="3313" xr:uid="{5194ABC5-93A1-4C48-AE07-3D7F164B9ED5}"/>
    <cellStyle name="Accent6 2" xfId="172" xr:uid="{00000000-0005-0000-0000-0000D7000000}"/>
    <cellStyle name="Accent6 2 2" xfId="1134" xr:uid="{2A48EB7B-8F04-4D09-B815-DC461C6621AD}"/>
    <cellStyle name="Accent6 2 3" xfId="1133" xr:uid="{82050C57-1704-4782-8CFF-BA7B80AE3907}"/>
    <cellStyle name="Accent6 3" xfId="218" xr:uid="{00000000-0005-0000-0000-0000D8000000}"/>
    <cellStyle name="Accent6 3 2" xfId="1135" xr:uid="{393E79D3-6A93-4FC5-BC58-0C6D208767CA}"/>
    <cellStyle name="Accent6 4" xfId="264" xr:uid="{00000000-0005-0000-0000-0000D9000000}"/>
    <cellStyle name="Accent6 4 2" xfId="1136" xr:uid="{2400D7D5-448F-41EC-B144-F0773A2D67EE}"/>
    <cellStyle name="Accent6 5" xfId="313" xr:uid="{00000000-0005-0000-0000-0000DA000000}"/>
    <cellStyle name="Accent6 5 2" xfId="1137" xr:uid="{88D9331B-44B9-48EB-BCC5-47A36A59A06D}"/>
    <cellStyle name="Accent6 6" xfId="377" xr:uid="{00000000-0005-0000-0000-0000DB000000}"/>
    <cellStyle name="Accent6 6 2" xfId="1138" xr:uid="{B260B284-DD10-4822-9325-369AAC0302B0}"/>
    <cellStyle name="Accent6 7" xfId="448" xr:uid="{00000000-0005-0000-0000-0000DC000000}"/>
    <cellStyle name="Accent6 8" xfId="552" xr:uid="{00000000-0005-0000-0000-0000DD000000}"/>
    <cellStyle name="Accent6 9" xfId="957" xr:uid="{31DE2352-7871-47D4-AA82-7E747C110FA2}"/>
    <cellStyle name="Bad" xfId="43" builtinId="27" customBuiltin="1"/>
    <cellStyle name="Bad 2" xfId="173" xr:uid="{00000000-0005-0000-0000-0000DF000000}"/>
    <cellStyle name="Bad 2 2" xfId="1140" xr:uid="{EF3CDA51-3D50-43AD-AC08-88B3B52AEF02}"/>
    <cellStyle name="Bad 2 3" xfId="1139" xr:uid="{A73B6750-E885-4C74-82E2-F4EB09B85EE4}"/>
    <cellStyle name="Bad 3" xfId="219" xr:uid="{00000000-0005-0000-0000-0000E0000000}"/>
    <cellStyle name="Bad 3 2" xfId="1141" xr:uid="{1AEEBF8D-BD6A-4B40-8BF9-8431F8FAC5B5}"/>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Bad 9" xfId="948" xr:uid="{75FF57D6-7168-4E47-B741-7396B407EB1B}"/>
    <cellStyle name="Calculation" xfId="44" builtinId="22" customBuiltin="1"/>
    <cellStyle name="Calculation 10" xfId="3314" xr:uid="{3DBE477C-096C-49F3-AFA3-5272A78340AA}"/>
    <cellStyle name="Calculation 2" xfId="174" xr:uid="{00000000-0005-0000-0000-0000E7000000}"/>
    <cellStyle name="Calculation 2 2" xfId="1143" xr:uid="{469FD491-EEDC-44CD-84EC-E8450110DEA4}"/>
    <cellStyle name="Calculation 2 2 2" xfId="3290" xr:uid="{8BDD3A74-61AF-4953-A27F-5B32B532D884}"/>
    <cellStyle name="Calculation 2 2 2 2" xfId="5664" xr:uid="{95F50B25-0F60-465E-8B3C-20F8945AD9E9}"/>
    <cellStyle name="Calculation 2 2 3" xfId="3141" xr:uid="{7896FD04-59FB-4E13-87C9-01D48FFC6D3E}"/>
    <cellStyle name="Calculation 2 2 3 2" xfId="5515" xr:uid="{8F06241D-FDD1-4689-A365-6DCE38ACD629}"/>
    <cellStyle name="Calculation 2 2 4" xfId="3933" xr:uid="{B01127C6-8106-449C-9DF1-6217D8C32293}"/>
    <cellStyle name="Calculation 2 3" xfId="3107" xr:uid="{B26FC16B-DE57-4E49-BE54-CD8B90EF129B}"/>
    <cellStyle name="Calculation 2 3 2" xfId="5481" xr:uid="{8CD9686D-35EC-4569-AFA6-5A525730C02E}"/>
    <cellStyle name="Calculation 2 4" xfId="3294" xr:uid="{87E32EE9-651C-4737-A334-2CA799505CC5}"/>
    <cellStyle name="Calculation 2 4 2" xfId="5668" xr:uid="{7ECF1AD5-86BB-48E4-86D8-215DEE2AF208}"/>
    <cellStyle name="Calculation 2 5" xfId="1142" xr:uid="{CF9B27F6-9FE3-42F8-BE7F-2E8BF783A282}"/>
    <cellStyle name="Calculation 2 5 2" xfId="3932" xr:uid="{6DCB1F24-2A1B-4330-9F63-903BE59538C0}"/>
    <cellStyle name="Calculation 2 6" xfId="3367" xr:uid="{16F673C4-1D84-4EAD-9570-E44D0CA379B2}"/>
    <cellStyle name="Calculation 3" xfId="220" xr:uid="{00000000-0005-0000-0000-0000E8000000}"/>
    <cellStyle name="Calculation 3 2" xfId="3373" xr:uid="{528D89DE-220D-41EB-8267-D42D165B7600}"/>
    <cellStyle name="Calculation 4" xfId="266" xr:uid="{00000000-0005-0000-0000-0000E9000000}"/>
    <cellStyle name="Calculation 4 2" xfId="3380" xr:uid="{F2F4F0E5-BE94-421B-85F9-AD0CAA076DD4}"/>
    <cellStyle name="Calculation 5" xfId="315" xr:uid="{00000000-0005-0000-0000-0000EA000000}"/>
    <cellStyle name="Calculation 5 2" xfId="3389" xr:uid="{9F8B0560-A0CE-472A-9776-91442BDC2121}"/>
    <cellStyle name="Calculation 6" xfId="379" xr:uid="{00000000-0005-0000-0000-0000EB000000}"/>
    <cellStyle name="Calculation 6 2" xfId="3412" xr:uid="{6235C727-A9B8-4133-8959-D4500D9FAD47}"/>
    <cellStyle name="Calculation 7" xfId="450" xr:uid="{00000000-0005-0000-0000-0000EC000000}"/>
    <cellStyle name="Calculation 7 2" xfId="3443" xr:uid="{DC59FC78-C2FD-472C-B318-90F122F82608}"/>
    <cellStyle name="Calculation 8" xfId="554" xr:uid="{00000000-0005-0000-0000-0000ED000000}"/>
    <cellStyle name="Calculation 8 2" xfId="3501" xr:uid="{59C5F892-F21E-4F74-8636-2E99F5EF84E9}"/>
    <cellStyle name="Calculation 9" xfId="923" xr:uid="{CA2DF9D3-1031-47BE-883C-D830DE199877}"/>
    <cellStyle name="Check Cell" xfId="45" builtinId="23" customBuiltin="1"/>
    <cellStyle name="Check Cell 2" xfId="175" xr:uid="{00000000-0005-0000-0000-0000EF000000}"/>
    <cellStyle name="Check Cell 2 2" xfId="1145" xr:uid="{C922E485-1A5F-45CC-B93E-1A4081F3FCA5}"/>
    <cellStyle name="Check Cell 2 3" xfId="1144" xr:uid="{0554EDF0-82FD-4B9E-A7F8-C7B58CF5BD7A}"/>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heck Cell 9" xfId="983" xr:uid="{0FF80B56-0D70-42B8-BE8E-1DF3256F2D0E}"/>
    <cellStyle name="Comma" xfId="46" builtinId="3"/>
    <cellStyle name="Comma [0] 2" xfId="1146" xr:uid="{97CD7DFC-5A8D-4176-8E2B-5A4503614C4A}"/>
    <cellStyle name="Comma 10" xfId="891" xr:uid="{AA021DD0-4C03-4450-8885-A7D916097526}"/>
    <cellStyle name="Comma 10 2" xfId="1147" xr:uid="{68C2C8C2-F50C-4CA4-8525-580A914BFDDD}"/>
    <cellStyle name="Comma 10 2 2" xfId="1148" xr:uid="{8A34BE01-CC6D-4019-B06B-80E98CD16CCD}"/>
    <cellStyle name="Comma 10 3" xfId="1149" xr:uid="{7714276C-F20F-4672-AEE6-342684EA79E7}"/>
    <cellStyle name="Comma 10 4" xfId="930" xr:uid="{157ACD8A-9174-4A67-A274-730A03942E07}"/>
    <cellStyle name="Comma 10 5" xfId="3822" xr:uid="{20BBA402-4576-48F9-88A1-D548B45B31C2}"/>
    <cellStyle name="Comma 11" xfId="1150" xr:uid="{92D650FF-2BFA-4F28-8EC1-AC8C89BE6482}"/>
    <cellStyle name="Comma 12" xfId="1151" xr:uid="{72BBCD3A-31C0-45FE-8FA1-4EBD73EECAEB}"/>
    <cellStyle name="Comma 12 2" xfId="1152" xr:uid="{137FCBCD-6564-4448-AB0F-E36E93CEFD9E}"/>
    <cellStyle name="Comma 12 2 2" xfId="1153" xr:uid="{7AC5401D-36D7-4203-9B8D-4CF1F03EC974}"/>
    <cellStyle name="Comma 12 3" xfId="1154" xr:uid="{493EE55F-C202-4205-921E-5B6677569D98}"/>
    <cellStyle name="Comma 13" xfId="1155" xr:uid="{1822ABD2-8AD4-45C4-8D75-A2A485677059}"/>
    <cellStyle name="Comma 13 2" xfId="1156" xr:uid="{F097B4DC-856B-4053-A682-03DBC7EE424F}"/>
    <cellStyle name="Comma 14" xfId="1157" xr:uid="{139F5FC7-44AF-4817-8AE2-91D8023161A1}"/>
    <cellStyle name="Comma 14 2" xfId="1158" xr:uid="{57AD8D7A-DA25-40DF-9097-69C463B20E92}"/>
    <cellStyle name="Comma 15" xfId="1159" xr:uid="{40654EEE-2F20-4689-8A8D-AF8C760112B5}"/>
    <cellStyle name="Comma 15 2" xfId="1160" xr:uid="{A2EADB3B-952E-48D6-AA9F-D9ACE873B5C5}"/>
    <cellStyle name="Comma 16" xfId="1161" xr:uid="{BD6B89C2-E096-4704-8A7A-73F5E7EF646D}"/>
    <cellStyle name="Comma 16 2" xfId="1162" xr:uid="{BEE6BBC5-CB30-4B56-A14B-FA48A25A3A22}"/>
    <cellStyle name="Comma 17" xfId="1163" xr:uid="{8DF524E8-ADCC-47D1-AE24-AA58F5460431}"/>
    <cellStyle name="Comma 17 2" xfId="1164" xr:uid="{476647E9-0129-4967-B81A-E8266010BA9F}"/>
    <cellStyle name="Comma 17 2 2" xfId="1165" xr:uid="{B5DFC4CD-0DA0-4B4E-98CF-6EFDFA2A90F1}"/>
    <cellStyle name="Comma 17 2 3" xfId="1166" xr:uid="{03F909B2-892B-4318-A85D-5CB9DDCD1715}"/>
    <cellStyle name="Comma 17 3" xfId="1167" xr:uid="{2ACF6974-7B36-44CD-AC98-8759C9F26967}"/>
    <cellStyle name="Comma 17 4" xfId="1168" xr:uid="{70044D7A-504C-479F-809A-063CB9AB900E}"/>
    <cellStyle name="Comma 18" xfId="1169" xr:uid="{D1A79776-9786-4614-8B6E-86C504440B9E}"/>
    <cellStyle name="Comma 19" xfId="1170" xr:uid="{39500E38-EA51-42AD-B9AD-103AC2D59EF8}"/>
    <cellStyle name="Comma 2" xfId="47" xr:uid="{00000000-0005-0000-0000-0000F7000000}"/>
    <cellStyle name="Comma 2 2" xfId="48" xr:uid="{00000000-0005-0000-0000-0000F8000000}"/>
    <cellStyle name="Comma 2 2 2" xfId="1171" xr:uid="{E7E86A3B-B0DB-49BD-8BE7-416BB3C1416C}"/>
    <cellStyle name="Comma 2 2 3" xfId="1172" xr:uid="{8FE40F42-BF90-460D-BAAF-9E9DA3B545D5}"/>
    <cellStyle name="Comma 2 3" xfId="1173" xr:uid="{62701446-57CC-4F1F-89AF-529BC20415E6}"/>
    <cellStyle name="Comma 2 3 2" xfId="1174" xr:uid="{DE213E23-BC48-4316-AA6E-9F355EFB0855}"/>
    <cellStyle name="Comma 2 3 3" xfId="1175" xr:uid="{A7168289-8C1F-43AA-B140-C90E3D974B62}"/>
    <cellStyle name="Comma 2 3 3 2" xfId="1176" xr:uid="{3EBAE58E-A84C-46E6-90C3-F55179533DC8}"/>
    <cellStyle name="Comma 2 3 4" xfId="1177" xr:uid="{B7E54ECD-869E-4AF4-97E6-989985171106}"/>
    <cellStyle name="Comma 2 3 5" xfId="1178" xr:uid="{E1BB7F7B-C27C-4218-A733-A37ACB7DA8E8}"/>
    <cellStyle name="Comma 2 4" xfId="1179" xr:uid="{58C1FB42-84CE-44F4-A4CA-639C0273AFA2}"/>
    <cellStyle name="Comma 2 5" xfId="1180" xr:uid="{FB7B5BF3-4914-4C3D-864D-CFDDF3C2EA77}"/>
    <cellStyle name="Comma 20" xfId="1181" xr:uid="{CEC18F73-988A-43CE-96A5-CDA4E4612E04}"/>
    <cellStyle name="Comma 21" xfId="1182" xr:uid="{10E16244-70EC-4EA2-82F1-2D41D7A7952D}"/>
    <cellStyle name="Comma 22" xfId="1183" xr:uid="{7ADD6C31-2A24-43D5-B699-BAE3AA6AB17F}"/>
    <cellStyle name="Comma 23" xfId="1184" xr:uid="{7D2F663A-F6FF-4CF9-8BD1-36A237A49003}"/>
    <cellStyle name="Comma 24" xfId="1185" xr:uid="{ABD29478-2E19-4543-A887-D38C2CDF771F}"/>
    <cellStyle name="Comma 25" xfId="1186" xr:uid="{E15E5154-245B-46F9-84ED-1CA25F283741}"/>
    <cellStyle name="Comma 26" xfId="1187" xr:uid="{5D12D41C-CA14-4EA5-9FAB-00BA2B28A68E}"/>
    <cellStyle name="Comma 27" xfId="1188" xr:uid="{BA4A031E-9EBB-428A-B601-83E4425E7F3C}"/>
    <cellStyle name="Comma 28" xfId="1189" xr:uid="{C2548BF5-C6D0-4ADB-AC4E-CD7D1464B82B}"/>
    <cellStyle name="Comma 29" xfId="1190" xr:uid="{EC4BB99F-63A8-4899-AC39-6C4407FF112D}"/>
    <cellStyle name="Comma 3" xfId="176" xr:uid="{00000000-0005-0000-0000-0000F9000000}"/>
    <cellStyle name="Comma 3 2" xfId="1192" xr:uid="{A49EE661-BEE4-473B-9700-1D5499DEF105}"/>
    <cellStyle name="Comma 3 3" xfId="1193" xr:uid="{0DF9808A-4D6A-4634-9CEB-E065FEBE2405}"/>
    <cellStyle name="Comma 3 3 2" xfId="1194" xr:uid="{9B77B6C1-2117-4293-A3DF-16F3066D92B1}"/>
    <cellStyle name="Comma 3 4" xfId="1191" xr:uid="{02B6AFB5-5B83-4BB2-A85C-CF1007851E99}"/>
    <cellStyle name="Comma 30" xfId="1195" xr:uid="{2A6BFE5F-BDED-4FD2-8035-8245BFFE8A96}"/>
    <cellStyle name="Comma 31" xfId="1196" xr:uid="{971650DA-6F40-4FC1-B69A-E366926FA0DA}"/>
    <cellStyle name="Comma 32" xfId="1197" xr:uid="{3BFB74EA-39D1-406E-B207-7B225344EA6B}"/>
    <cellStyle name="Comma 33" xfId="1198" xr:uid="{A74FDD34-F598-4CF8-841E-23EC884C5AB6}"/>
    <cellStyle name="Comma 34" xfId="1199" xr:uid="{7A781A14-63C9-4E75-97D8-4CA2FEE54963}"/>
    <cellStyle name="Comma 35" xfId="1200" xr:uid="{CD32AD17-24FA-497F-A40D-7B1CA5CA471B}"/>
    <cellStyle name="Comma 36" xfId="1201" xr:uid="{00C4D41D-E246-4DEB-9A51-DA3DE1C10D13}"/>
    <cellStyle name="Comma 37" xfId="1202" xr:uid="{678B7820-A76E-472B-8563-971C56E216A1}"/>
    <cellStyle name="Comma 38" xfId="1203" xr:uid="{B01FB710-8A90-45ED-89E3-969A501C4AE1}"/>
    <cellStyle name="Comma 39" xfId="1204" xr:uid="{8300141D-EB03-456B-8011-A20BB1324E2C}"/>
    <cellStyle name="Comma 4" xfId="222" xr:uid="{00000000-0005-0000-0000-0000FA000000}"/>
    <cellStyle name="Comma 4 2" xfId="1206" xr:uid="{E735E1D8-4A15-4B91-AFDD-0B77617E5195}"/>
    <cellStyle name="Comma 4 3" xfId="1207" xr:uid="{635FDFCB-1E3C-4059-8280-2D8AC616335B}"/>
    <cellStyle name="Comma 4 4" xfId="1208" xr:uid="{9A46E82D-B4BD-456C-9F8E-5051ECC36D73}"/>
    <cellStyle name="Comma 4 4 2" xfId="1209" xr:uid="{14E2004A-08A3-4724-838B-1E917FDB251D}"/>
    <cellStyle name="Comma 4 5" xfId="1210" xr:uid="{41B8D035-0E01-47A9-B205-BE23AD54A9D6}"/>
    <cellStyle name="Comma 4 6" xfId="1205" xr:uid="{8742A3C9-B8D8-4959-AEB3-6E985796953A}"/>
    <cellStyle name="Comma 40" xfId="1211" xr:uid="{FE8ED40D-34F2-4B08-A341-F21BC3F7F119}"/>
    <cellStyle name="Comma 41" xfId="1212" xr:uid="{DBCE1388-0DE0-4781-BCA1-01C820CE25AB}"/>
    <cellStyle name="Comma 42" xfId="3043" xr:uid="{912B3E8F-8527-4AB6-B24F-47DB6C340F0D}"/>
    <cellStyle name="Comma 42 2" xfId="5417" xr:uid="{6FC48A84-97D1-4661-8167-9C2E1CF2BB88}"/>
    <cellStyle name="Comma 43" xfId="3309" xr:uid="{BD579F3F-AC46-431D-A6F2-A60D0274FFB9}"/>
    <cellStyle name="Comma 43 2" xfId="5683" xr:uid="{273BDF79-C595-46BC-A5EF-4E24AA1F70D9}"/>
    <cellStyle name="Comma 44" xfId="3308" xr:uid="{C7760472-264E-4679-9986-A0C746B344D6}"/>
    <cellStyle name="Comma 44 2" xfId="5682" xr:uid="{67A9A973-1A4B-4602-8E03-A1EA77FE9180}"/>
    <cellStyle name="Comma 45" xfId="3307" xr:uid="{EB6308FD-6A76-4D2E-A403-3AFC5D6DE18C}"/>
    <cellStyle name="Comma 45 2" xfId="5681" xr:uid="{6F29F66D-887F-47F1-8704-955136A6A147}"/>
    <cellStyle name="Comma 46" xfId="3310" xr:uid="{1580F03D-FECF-4C76-B543-A70F1EFF9C40}"/>
    <cellStyle name="Comma 46 2" xfId="5684" xr:uid="{EC6614A7-A679-4C51-B811-C3ADCA51F859}"/>
    <cellStyle name="Comma 5" xfId="268" xr:uid="{00000000-0005-0000-0000-0000FB000000}"/>
    <cellStyle name="Comma 6" xfId="317" xr:uid="{00000000-0005-0000-0000-0000FC000000}"/>
    <cellStyle name="Comma 6 2" xfId="1214" xr:uid="{3D8586F0-E870-4E6E-953E-4D6B771DA682}"/>
    <cellStyle name="Comma 7" xfId="381" xr:uid="{00000000-0005-0000-0000-0000FD000000}"/>
    <cellStyle name="Comma 8" xfId="452" xr:uid="{00000000-0005-0000-0000-0000FE000000}"/>
    <cellStyle name="Comma 8 2" xfId="1215" xr:uid="{6ECA102A-4C95-4B9C-AAD1-42B9CBF72A02}"/>
    <cellStyle name="Comma 9" xfId="556" xr:uid="{00000000-0005-0000-0000-0000FF000000}"/>
    <cellStyle name="Comma 9 2" xfId="1216" xr:uid="{2F6FD71D-38D7-4472-9224-6B345E7C210C}"/>
    <cellStyle name="Currency" xfId="5685" builtinId="4"/>
    <cellStyle name="Currency 10" xfId="1217" xr:uid="{DAA7AE13-90DF-44D0-B12F-E79020C62AD4}"/>
    <cellStyle name="Currency 10 2" xfId="1218" xr:uid="{8E982539-AEF9-414F-9C7F-C0F7B9118325}"/>
    <cellStyle name="Currency 11" xfId="1219" xr:uid="{9CEFFF05-F7F9-404E-8AA8-ED0A3020E9F7}"/>
    <cellStyle name="Currency 12" xfId="1220" xr:uid="{9D3F97B5-C1EC-445C-8ACF-B67F693FA35E}"/>
    <cellStyle name="Currency 12 2" xfId="1221" xr:uid="{D810A0AA-BE08-42E9-845B-292D0CEDEB10}"/>
    <cellStyle name="Currency 12 2 2" xfId="1222" xr:uid="{B71F33A8-CC80-42BD-9F33-C977A155F1CA}"/>
    <cellStyle name="Currency 12 3" xfId="1223" xr:uid="{8912D54A-A4E4-46A0-943E-92AB09722F3B}"/>
    <cellStyle name="Currency 13" xfId="1224" xr:uid="{BF7EA303-8146-4F5E-98A5-9B72CFD30F9D}"/>
    <cellStyle name="Currency 13 2" xfId="1225" xr:uid="{B7A5358C-D27A-4A8A-8051-82D4A2123E28}"/>
    <cellStyle name="Currency 14" xfId="1226" xr:uid="{D7DE8B73-3920-4922-92A8-F69549D707B9}"/>
    <cellStyle name="Currency 14 2" xfId="1227" xr:uid="{6FC6FDE5-3C6F-4276-9FD6-F9160E9F259E}"/>
    <cellStyle name="Currency 15" xfId="1228" xr:uid="{E4F97831-B02A-478C-9958-3D7D4D92E931}"/>
    <cellStyle name="Currency 15 2" xfId="1229" xr:uid="{B5AD3F47-E18E-4AD7-8FFD-650D03CB1CDA}"/>
    <cellStyle name="Currency 16" xfId="1230" xr:uid="{34C5363A-0478-440A-914E-7634B0BF0311}"/>
    <cellStyle name="Currency 16 2" xfId="1231" xr:uid="{52EC6057-4F3A-4565-895D-1AA17F7E82B4}"/>
    <cellStyle name="Currency 17" xfId="1232" xr:uid="{C4948B3C-6E3C-4232-A36A-8EFD2689DDA6}"/>
    <cellStyle name="Currency 17 2" xfId="1233" xr:uid="{27427482-0F17-4F6A-9F68-38A3ECEFDBAC}"/>
    <cellStyle name="Currency 18" xfId="1234" xr:uid="{C89E21F9-A1BC-4756-BF1F-A01203A87CEA}"/>
    <cellStyle name="Currency 18 2" xfId="1235" xr:uid="{A8000D24-AF90-46B2-A088-48EAA7CD2CA1}"/>
    <cellStyle name="Currency 18 2 2" xfId="1236" xr:uid="{B7C81EC8-5649-450A-9DA5-461497DEBF56}"/>
    <cellStyle name="Currency 18 2 3" xfId="1237" xr:uid="{3D510FBD-DFC6-4188-BB2B-1A60C69FD0C8}"/>
    <cellStyle name="Currency 18 3" xfId="1238" xr:uid="{B53FEBF3-5B8F-4AC0-A95A-A703E245119D}"/>
    <cellStyle name="Currency 18 4" xfId="1239" xr:uid="{394EF61E-0669-4EAF-89B9-A7EAE830A0DE}"/>
    <cellStyle name="Currency 18 5" xfId="1240" xr:uid="{2406DB68-BA10-4404-AA40-34A45ACA25BC}"/>
    <cellStyle name="Currency 19" xfId="2268" xr:uid="{ABE63D88-05B9-4341-BF7F-1CE44D24387E}"/>
    <cellStyle name="Currency 19 2" xfId="4716" xr:uid="{90FED96D-88CC-4667-AE35-CA5B6729470E}"/>
    <cellStyle name="Currency 2" xfId="49" xr:uid="{00000000-0005-0000-0000-000000010000}"/>
    <cellStyle name="Currency 2 2" xfId="50" xr:uid="{00000000-0005-0000-0000-000001010000}"/>
    <cellStyle name="Currency 2 2 2" xfId="1243" xr:uid="{E201012F-DE9A-4F2F-B13C-C0342E802014}"/>
    <cellStyle name="Currency 2 2 3" xfId="1242" xr:uid="{61010E2F-D2E7-4415-9717-2684358FC8A8}"/>
    <cellStyle name="Currency 2 3" xfId="1244" xr:uid="{41FC98B7-8DD9-4D98-8108-FD1500525169}"/>
    <cellStyle name="Currency 2 4" xfId="1245" xr:uid="{279044D2-7595-43D7-AD3E-95E5EB466ACB}"/>
    <cellStyle name="Currency 2 5" xfId="1241" xr:uid="{1D662784-D386-486B-ADD7-6BE09A3A13A2}"/>
    <cellStyle name="Currency 3" xfId="51" xr:uid="{00000000-0005-0000-0000-000002010000}"/>
    <cellStyle name="Currency 3 2" xfId="52" xr:uid="{00000000-0005-0000-0000-000003010000}"/>
    <cellStyle name="Currency 3 2 2" xfId="1246" xr:uid="{FD5F7968-4EB3-4004-902F-960F1B3DA825}"/>
    <cellStyle name="Currency 3 2 3" xfId="1247" xr:uid="{BE4A63EE-C1FF-4478-9392-B7E9D11A766A}"/>
    <cellStyle name="Currency 3 2 4" xfId="1248" xr:uid="{C3357B12-7269-471A-9CCA-0BAA693FD628}"/>
    <cellStyle name="Currency 3 3" xfId="1249" xr:uid="{3088D22E-097A-438C-8945-BDC153FE649D}"/>
    <cellStyle name="Currency 3 3 2" xfId="1250" xr:uid="{79D8C32D-4775-47A7-8DAA-7AB257B26260}"/>
    <cellStyle name="Currency 3 3 3" xfId="1251" xr:uid="{98B17E30-5E64-46E2-B83B-731EA5B463ED}"/>
    <cellStyle name="Currency 3 3 3 2" xfId="1252" xr:uid="{7D28ABCF-1C3F-42C1-BB13-BA194D7F9E34}"/>
    <cellStyle name="Currency 3 3 4" xfId="1253" xr:uid="{90EFB2FC-6EA9-4327-A845-4C23ACF35325}"/>
    <cellStyle name="Currency 3 4" xfId="1254" xr:uid="{F6294732-912E-4394-8D3D-2175E3498189}"/>
    <cellStyle name="Currency 3 5" xfId="1255" xr:uid="{C8814D9A-7522-4DE7-9501-57C086FC2A9D}"/>
    <cellStyle name="Currency 3 6" xfId="1256" xr:uid="{93B0155A-FD22-4EAC-B4FE-5325557393A8}"/>
    <cellStyle name="Currency 3 7" xfId="1257" xr:uid="{0660CDC1-723B-4A56-A7C0-0B2F3780FAB0}"/>
    <cellStyle name="Currency 3 8" xfId="1258" xr:uid="{0C193B52-817F-4DA8-824C-C6EBD67B8C87}"/>
    <cellStyle name="Currency 4" xfId="53" xr:uid="{00000000-0005-0000-0000-000004010000}"/>
    <cellStyle name="Currency 4 10" xfId="1805" xr:uid="{EFAC7B31-BA33-4C73-8FC4-6E2F25534A51}"/>
    <cellStyle name="Currency 4 10 2" xfId="2643" xr:uid="{40008FDA-B230-4A5A-9919-DF3F087DE3A1}"/>
    <cellStyle name="Currency 4 10 2 2" xfId="5078" xr:uid="{EAE17EE6-371A-4E90-B79D-734C5E80B434}"/>
    <cellStyle name="Currency 4 10 3" xfId="4322" xr:uid="{A681359D-A260-4950-91B3-CB08F5CBBEE5}"/>
    <cellStyle name="Currency 4 11" xfId="2371" xr:uid="{1E4B7249-AF69-45B6-BFDF-71F9118B83E7}"/>
    <cellStyle name="Currency 4 11 2" xfId="4806" xr:uid="{1396AF91-7A7D-4C4C-9205-E06B0BB17125}"/>
    <cellStyle name="Currency 4 12" xfId="1259" xr:uid="{E7DAEBC2-444C-4ECF-A8D9-C6A2487CC9FE}"/>
    <cellStyle name="Currency 4 12 2" xfId="3934" xr:uid="{E6AB433B-AC8E-4659-A443-814442C44636}"/>
    <cellStyle name="Currency 4 2" xfId="127" xr:uid="{00000000-0005-0000-0000-000005010000}"/>
    <cellStyle name="Currency 4 3" xfId="1260" xr:uid="{F14B565A-AF7A-4132-858B-D46891E7FECE}"/>
    <cellStyle name="Currency 4 4" xfId="1261" xr:uid="{1215AFDC-EF92-4ECD-9F23-105BB59802C4}"/>
    <cellStyle name="Currency 4 4 2" xfId="1262" xr:uid="{FB3ED144-2B78-49B6-BE58-E8FE9E6E2C85}"/>
    <cellStyle name="Currency 4 5" xfId="1263" xr:uid="{87AE4AD2-7D37-434A-8ED7-C3BD0C4F0819}"/>
    <cellStyle name="Currency 4 6" xfId="1264" xr:uid="{101F1732-1CBC-41B6-BB1B-62CC7AFAB105}"/>
    <cellStyle name="Currency 4 7" xfId="1265" xr:uid="{6F1C5B3E-5D2C-4E86-AC39-2B575E05E043}"/>
    <cellStyle name="Currency 4 8" xfId="1266" xr:uid="{4C0EB38E-9942-4FF6-B106-30C41CBB584C}"/>
    <cellStyle name="Currency 4 9" xfId="1267" xr:uid="{F060286D-DAEE-4B73-81C1-C3A2159FCC7D}"/>
    <cellStyle name="Currency 4 9 2" xfId="1975" xr:uid="{65A926D2-AE05-465C-9EB7-04D01620B564}"/>
    <cellStyle name="Currency 4 9 2 2" xfId="2813" xr:uid="{6F09FFD0-C0AD-418E-AB72-EF170FF94FF7}"/>
    <cellStyle name="Currency 4 9 2 2 2" xfId="5248" xr:uid="{32D83D4E-2A24-42D8-ADE0-AF34EB0B9171}"/>
    <cellStyle name="Currency 4 9 2 3" xfId="4492" xr:uid="{CE9D2E07-C449-43B5-A0F0-BC68907BABED}"/>
    <cellStyle name="Currency 4 9 3" xfId="2372" xr:uid="{08F4D02B-4292-473D-ADC0-56ABAC607A79}"/>
    <cellStyle name="Currency 4 9 3 2" xfId="4807" xr:uid="{F3A74430-4BAA-4149-82BD-EC49BDB06A1C}"/>
    <cellStyle name="Currency 4 9 4" xfId="3935" xr:uid="{CB864C65-BC8F-4C61-86CF-A5F6EF5709F1}"/>
    <cellStyle name="Currency 5" xfId="1268" xr:uid="{900E3995-2E18-4599-9BBE-6A07BB2A64BA}"/>
    <cellStyle name="Currency 5 2" xfId="1269" xr:uid="{70B909D3-B9F5-4ACC-8172-1B8C02222110}"/>
    <cellStyle name="Currency 6" xfId="1270" xr:uid="{3F346143-F901-4DF5-AEBD-3C6F74774E30}"/>
    <cellStyle name="Currency 6 2" xfId="1271" xr:uid="{3EF08993-B2A1-4E2B-82E9-CBB25FF36B29}"/>
    <cellStyle name="Currency 7" xfId="1272" xr:uid="{1043828E-45E4-4D96-85B7-09A15AF790F3}"/>
    <cellStyle name="Currency 7 2" xfId="1273" xr:uid="{4B5EBE0C-DF62-4828-ABDC-75E3A402E8D7}"/>
    <cellStyle name="Currency 7 3" xfId="1274" xr:uid="{9A32415E-325B-4E9B-BB8B-2BA34A6EFC2B}"/>
    <cellStyle name="Currency 8" xfId="1275" xr:uid="{991D6C1F-BC65-403F-859D-AA6A4A33BE17}"/>
    <cellStyle name="Currency 8 2" xfId="1276" xr:uid="{78526ABE-6E10-41BE-A51B-06C646A28CDC}"/>
    <cellStyle name="Currency 9" xfId="1277" xr:uid="{B7EB932E-5D2A-4502-A9EC-7E4985415933}"/>
    <cellStyle name="Currency 9 2" xfId="1278" xr:uid="{04B29BBA-569C-43B6-9B15-23B6E36323C3}"/>
    <cellStyle name="Emphasis 1" xfId="54" xr:uid="{00000000-0005-0000-0000-000006010000}"/>
    <cellStyle name="Emphasis 1 2" xfId="917" xr:uid="{74CCC5F6-5282-4A82-B4C7-6996BEAA31E3}"/>
    <cellStyle name="Emphasis 1 3" xfId="1279" xr:uid="{FAB9CDBF-38DC-4B39-BEA3-4C6946A1EA52}"/>
    <cellStyle name="Emphasis 2" xfId="55" xr:uid="{00000000-0005-0000-0000-000007010000}"/>
    <cellStyle name="Emphasis 2 2" xfId="918" xr:uid="{7DF847CC-DDD8-4E36-B62A-9D6AB0C4F0F3}"/>
    <cellStyle name="Emphasis 2 3" xfId="1280" xr:uid="{216350D6-20C0-4331-87E5-99F54F3A4EE8}"/>
    <cellStyle name="Emphasis 3" xfId="56" xr:uid="{00000000-0005-0000-0000-000008010000}"/>
    <cellStyle name="Emphasis 3 2" xfId="919" xr:uid="{1D85A897-D5F1-4CF0-A272-1A8272AC77B8}"/>
    <cellStyle name="Explanatory Text" xfId="57" builtinId="53" customBuiltin="1"/>
    <cellStyle name="Explanatory Text 2" xfId="177" xr:uid="{00000000-0005-0000-0000-00000A010000}"/>
    <cellStyle name="Explanatory Text 2 2" xfId="1281" xr:uid="{6B223D25-EBF2-48C0-9D0E-7AB8CF431BC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Explanatory Text 9" xfId="922" xr:uid="{D73C82E4-7EB2-44C8-8269-71A823648203}"/>
    <cellStyle name="Good" xfId="58" builtinId="26" customBuiltin="1"/>
    <cellStyle name="Good 2" xfId="178" xr:uid="{00000000-0005-0000-0000-000012010000}"/>
    <cellStyle name="Good 2 2" xfId="1283" xr:uid="{4A8C39FC-9655-4713-BCF7-A2D2E3E47EBE}"/>
    <cellStyle name="Good 2 3" xfId="1284" xr:uid="{0873EB1A-3C28-45F8-94F6-89BF6598174D}"/>
    <cellStyle name="Good 2 4" xfId="1282" xr:uid="{2795725B-B5E4-48E4-B781-9603FE581344}"/>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Good 9" xfId="924" xr:uid="{B9964E3A-2E01-42E4-BFF4-480EDA461974}"/>
    <cellStyle name="Heading 1" xfId="59" builtinId="16" customBuiltin="1"/>
    <cellStyle name="Heading 1 2" xfId="179" xr:uid="{00000000-0005-0000-0000-00001A010000}"/>
    <cellStyle name="Heading 1 2 2" xfId="1286" xr:uid="{80CA7419-8821-4512-9534-636CD0DFD148}"/>
    <cellStyle name="Heading 1 2 3" xfId="1285" xr:uid="{24AC5080-E21D-47DE-A0FE-B0C982CA2A4E}"/>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1 9" xfId="929" xr:uid="{9F610093-5186-443C-8749-A509FA11AA3B}"/>
    <cellStyle name="Heading 2" xfId="60" builtinId="17" customBuiltin="1"/>
    <cellStyle name="Heading 2 2" xfId="180" xr:uid="{00000000-0005-0000-0000-000022010000}"/>
    <cellStyle name="Heading 2 2 2" xfId="1288" xr:uid="{55E8AC3F-397B-4AD3-8D6F-A01C23E89ACB}"/>
    <cellStyle name="Heading 2 2 3" xfId="1287" xr:uid="{77BF7205-C67F-4C68-8797-44E4BE037886}"/>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2 9" xfId="928" xr:uid="{CAD5B6B2-30B5-42C3-9D8E-F695196BD282}"/>
    <cellStyle name="Heading 3" xfId="61" builtinId="18" customBuiltin="1"/>
    <cellStyle name="Heading 3 2" xfId="181" xr:uid="{00000000-0005-0000-0000-00002A010000}"/>
    <cellStyle name="Heading 3 2 2" xfId="1290" xr:uid="{7B3B58F5-89E5-4E55-B3E1-BC9F1B58EE84}"/>
    <cellStyle name="Heading 3 2 3" xfId="1289" xr:uid="{9D1C87DF-4008-419A-A053-3A0B71535B19}"/>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3 9" xfId="927" xr:uid="{D7B7C194-7642-468E-BF05-DD94E5FFFD86}"/>
    <cellStyle name="Heading 4" xfId="62" builtinId="19" customBuiltin="1"/>
    <cellStyle name="Heading 4 2" xfId="182" xr:uid="{00000000-0005-0000-0000-000032010000}"/>
    <cellStyle name="Heading 4 2 2" xfId="1292" xr:uid="{F97BD222-B504-4DBF-A7EB-EE30EB52A590}"/>
    <cellStyle name="Heading 4 2 3" xfId="1291" xr:uid="{51208659-6264-4C45-82E3-CBF262B42127}"/>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Heading 4 9" xfId="926" xr:uid="{3C9A4483-BEDF-4D26-9C6C-EAFDA0191319}"/>
    <cellStyle name="Input" xfId="63" builtinId="20" customBuiltin="1"/>
    <cellStyle name="Input 10" xfId="3315" xr:uid="{E6465447-25A1-4A2C-A61F-A73B5226D70E}"/>
    <cellStyle name="Input 2" xfId="183" xr:uid="{00000000-0005-0000-0000-00003A010000}"/>
    <cellStyle name="Input 2 2" xfId="1294" xr:uid="{8899C54C-7999-4683-9767-B5290C6E019C}"/>
    <cellStyle name="Input 2 2 2" xfId="3227" xr:uid="{BDB2C478-9B34-4C8A-ADFC-B1E5A5D55AC0}"/>
    <cellStyle name="Input 2 2 2 2" xfId="5601" xr:uid="{F48A6FFA-F040-46D5-A69C-958F3E4BCF39}"/>
    <cellStyle name="Input 2 2 3" xfId="3261" xr:uid="{258DE233-A65E-4866-95C8-4B39CE3CE6E0}"/>
    <cellStyle name="Input 2 2 3 2" xfId="5635" xr:uid="{49247DEC-81A0-4AFF-8604-25BA076DF1B1}"/>
    <cellStyle name="Input 2 2 4" xfId="3937" xr:uid="{B7CF7B30-9854-4E9E-B13D-474859DFA9BC}"/>
    <cellStyle name="Input 2 3" xfId="3116" xr:uid="{FD47FBA9-CE1D-41D2-A32C-BE8B9CA5CDEA}"/>
    <cellStyle name="Input 2 3 2" xfId="5490" xr:uid="{AFF8A07A-5A44-43E2-B55E-0EC4FFF02B1E}"/>
    <cellStyle name="Input 2 4" xfId="3247" xr:uid="{A2FF7547-0326-44DF-B804-2B22B6369143}"/>
    <cellStyle name="Input 2 4 2" xfId="5621" xr:uid="{6650B97F-2BA4-40D8-BBA7-66F1BDA05F0E}"/>
    <cellStyle name="Input 2 5" xfId="1293" xr:uid="{4A06307E-D690-4EAE-AFEF-D1040613786B}"/>
    <cellStyle name="Input 2 5 2" xfId="3936" xr:uid="{232E22A7-24CF-40E0-8FA7-31E623DB4513}"/>
    <cellStyle name="Input 2 6" xfId="3368" xr:uid="{EC716131-382A-4935-87AA-A6F25579B005}"/>
    <cellStyle name="Input 3" xfId="229" xr:uid="{00000000-0005-0000-0000-00003B010000}"/>
    <cellStyle name="Input 3 2" xfId="3374" xr:uid="{AE7F97B4-BD48-4809-8314-83793A4FC142}"/>
    <cellStyle name="Input 4" xfId="275" xr:uid="{00000000-0005-0000-0000-00003C010000}"/>
    <cellStyle name="Input 4 2" xfId="3381" xr:uid="{C871E969-AC23-499F-8C50-BC12C872095E}"/>
    <cellStyle name="Input 5" xfId="324" xr:uid="{00000000-0005-0000-0000-00003D010000}"/>
    <cellStyle name="Input 5 2" xfId="3390" xr:uid="{FD3297FA-F033-4D2B-A1B3-5F09BA893EE0}"/>
    <cellStyle name="Input 6" xfId="388" xr:uid="{00000000-0005-0000-0000-00003E010000}"/>
    <cellStyle name="Input 6 2" xfId="3413" xr:uid="{D531B6C6-E5CD-44DE-863D-34B1ED688526}"/>
    <cellStyle name="Input 7" xfId="459" xr:uid="{00000000-0005-0000-0000-00003F010000}"/>
    <cellStyle name="Input 7 2" xfId="3444" xr:uid="{76CDDAD9-3852-4AE9-A575-4C8431ED09DB}"/>
    <cellStyle name="Input 8" xfId="563" xr:uid="{00000000-0005-0000-0000-000040010000}"/>
    <cellStyle name="Input 8 2" xfId="3502" xr:uid="{86D8372E-8718-4AD1-947A-C217E48F9F2B}"/>
    <cellStyle name="Input 9" xfId="988" xr:uid="{7979286E-28E5-4DB1-ABF0-6FC70E9297BC}"/>
    <cellStyle name="Linked Cell" xfId="64" builtinId="24" customBuiltin="1"/>
    <cellStyle name="Linked Cell 2" xfId="184" xr:uid="{00000000-0005-0000-0000-000042010000}"/>
    <cellStyle name="Linked Cell 2 2" xfId="1296" xr:uid="{4BA08E7A-2977-4113-9957-DE06136457C5}"/>
    <cellStyle name="Linked Cell 2 3" xfId="1295" xr:uid="{6A6B1FDA-6976-4637-918B-7F881145FE14}"/>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Linked Cell 9" xfId="943" xr:uid="{383AA543-5FEB-4173-896E-27759E55D80C}"/>
    <cellStyle name="Neutral" xfId="65" builtinId="28" customBuiltin="1"/>
    <cellStyle name="Neutral 2" xfId="185" xr:uid="{00000000-0005-0000-0000-00004A010000}"/>
    <cellStyle name="Neutral 2 2" xfId="1298" xr:uid="{041E7A13-BE7D-4252-B8C7-7D878CF6CF55}"/>
    <cellStyle name="Neutral 2 3" xfId="1297" xr:uid="{0EBF437E-E014-4157-8CF0-AED8B99A2C3E}"/>
    <cellStyle name="Neutral 3" xfId="231" xr:uid="{00000000-0005-0000-0000-00004B010000}"/>
    <cellStyle name="Neutral 3 2" xfId="1299" xr:uid="{1A1E86A7-E928-4DDC-913D-AD9FA5604064}"/>
    <cellStyle name="Neutral 4" xfId="277" xr:uid="{00000000-0005-0000-0000-00004C010000}"/>
    <cellStyle name="Neutral 4 2" xfId="1782" xr:uid="{34CD3D16-B5E8-4A29-97B3-B49F6B1F7736}"/>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2 2" xfId="2230" xr:uid="{896B54DE-50A3-41E4-B4A9-A30A5FB376D4}"/>
    <cellStyle name="Normal 10 2 3" xfId="522" xr:uid="{00000000-0005-0000-0000-000055010000}"/>
    <cellStyle name="Normal 10 2 3 2" xfId="2206" xr:uid="{E09CD5EF-0DF6-4392-9655-B3F949A96223}"/>
    <cellStyle name="Normal 10 2 3 2 2" xfId="4696" xr:uid="{F9B49122-6B4A-49D4-B5A4-7F463CB81620}"/>
    <cellStyle name="Normal 10 3" xfId="521" xr:uid="{00000000-0005-0000-0000-000056010000}"/>
    <cellStyle name="Normal 10 3 2" xfId="2013" xr:uid="{7745E213-0E61-4785-870B-41F75C1D3115}"/>
    <cellStyle name="Normal 10 3 2 2" xfId="2851" xr:uid="{CDBC5013-947E-4494-8351-B2197DDEE8AC}"/>
    <cellStyle name="Normal 10 3 2 2 2" xfId="5286" xr:uid="{75B0DEFB-4516-4D49-BF52-10B777CDC4AD}"/>
    <cellStyle name="Normal 10 3 2 3" xfId="4530" xr:uid="{A9FF4842-AC76-487D-AEEB-3E2BB80AC6A0}"/>
    <cellStyle name="Normal 10 3 3" xfId="2374" xr:uid="{01E57F75-D9F3-4147-879B-2E2814D110F7}"/>
    <cellStyle name="Normal 10 3 3 2" xfId="4809" xr:uid="{5A2D8414-B7CE-4F9F-B3B7-804207C82906}"/>
    <cellStyle name="Normal 10 3 4" xfId="1301" xr:uid="{9A94F352-8BBC-488B-A76F-CF622501CF8A}"/>
    <cellStyle name="Normal 10 3 4 2" xfId="3939" xr:uid="{1CE9DD88-CFFF-40F0-B863-A6DE55819839}"/>
    <cellStyle name="Normal 10 4" xfId="1843" xr:uid="{29780475-1C47-48AC-A136-AFA6477CFBAE}"/>
    <cellStyle name="Normal 10 4 2" xfId="2681" xr:uid="{14409364-0323-41CD-8558-2125D0EA9CD0}"/>
    <cellStyle name="Normal 10 4 2 2" xfId="5116" xr:uid="{1A8352C3-0C3E-4287-B7A7-5F48FD6AC87F}"/>
    <cellStyle name="Normal 10 4 3" xfId="4360" xr:uid="{FB6B6C91-28C9-4C6B-88A8-14D45CFC03B8}"/>
    <cellStyle name="Normal 10 5" xfId="2229" xr:uid="{5AF3DE03-B4A8-43C7-BA7B-F058EF16009E}"/>
    <cellStyle name="Normal 10 5 2" xfId="4706" xr:uid="{D27E4892-E433-44EC-A39D-B830423510E8}"/>
    <cellStyle name="Normal 10 6" xfId="2373" xr:uid="{3A732DCF-C5B0-4F24-8E54-3873CBFF7EB4}"/>
    <cellStyle name="Normal 10 6 2" xfId="4808" xr:uid="{D4BAF86C-2A50-4EA2-B319-30EC2C3ACEA8}"/>
    <cellStyle name="Normal 10 7" xfId="1300" xr:uid="{11FFE916-F797-4BA2-8E61-AD503BC8B58D}"/>
    <cellStyle name="Normal 10 7 2" xfId="3938" xr:uid="{328D4A4B-958B-43B7-AA99-25289E3EC55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2 2 2" xfId="3800" xr:uid="{75D7499F-3A75-4544-B0AF-E8B2B4940C2E}"/>
    <cellStyle name="Normal 11 2 2 2 3" xfId="3591" xr:uid="{B36C3378-A6C2-418A-B69B-D6174FF14175}"/>
    <cellStyle name="Normal 11 2 2 3" xfId="762" xr:uid="{00000000-0005-0000-0000-00005C010000}"/>
    <cellStyle name="Normal 11 2 2 3 2" xfId="3695" xr:uid="{190049E9-F49B-435F-8A56-244C9AC2F64F}"/>
    <cellStyle name="Normal 11 2 2 4" xfId="2232" xr:uid="{B1237019-C641-42A9-AED3-1445FAECAC3F}"/>
    <cellStyle name="Normal 11 2 2 5" xfId="3481" xr:uid="{62D3EC59-F6B7-45CC-A97D-615615C34763}"/>
    <cellStyle name="Normal 11 2 3" xfId="605" xr:uid="{00000000-0005-0000-0000-00005D010000}"/>
    <cellStyle name="Normal 11 2 3 2" xfId="816" xr:uid="{00000000-0005-0000-0000-00005E010000}"/>
    <cellStyle name="Normal 11 2 3 2 2" xfId="3748" xr:uid="{6D1B7CC6-B275-467A-9D82-1D127A9A71BB}"/>
    <cellStyle name="Normal 11 2 3 3" xfId="2207" xr:uid="{BB019278-5D42-465A-A2EC-B9C667EA61E1}"/>
    <cellStyle name="Normal 11 2 3 3 2" xfId="4697" xr:uid="{9DB5D335-934D-43F7-A8A8-A60728AE17AA}"/>
    <cellStyle name="Normal 11 2 3 4" xfId="3539" xr:uid="{96489F8E-EBC9-48C1-A2D8-FF0AA30D0254}"/>
    <cellStyle name="Normal 11 2 4" xfId="710" xr:uid="{00000000-0005-0000-0000-00005F010000}"/>
    <cellStyle name="Normal 11 2 4 2" xfId="3643" xr:uid="{D36F6DEA-B9C9-4EF7-B3F8-5566CB451E6F}"/>
    <cellStyle name="Normal 11 2 5" xfId="1303" xr:uid="{536546D5-378C-4DD6-BE7F-78F86762F9EB}"/>
    <cellStyle name="Normal 11 2 6" xfId="3424" xr:uid="{CC6095AA-B25C-4BA1-A3A5-51BF8CE0736C}"/>
    <cellStyle name="Normal 11 3" xfId="475" xr:uid="{00000000-0005-0000-0000-000060010000}"/>
    <cellStyle name="Normal 11 3 2" xfId="631" xr:uid="{00000000-0005-0000-0000-000061010000}"/>
    <cellStyle name="Normal 11 3 2 2" xfId="842" xr:uid="{00000000-0005-0000-0000-000062010000}"/>
    <cellStyle name="Normal 11 3 2 2 2" xfId="3774" xr:uid="{3603CFDB-733E-41BB-BDE2-715ED9CC2039}"/>
    <cellStyle name="Normal 11 3 2 3" xfId="3565" xr:uid="{39F41154-1EF5-4247-83FA-F05BD4FB1975}"/>
    <cellStyle name="Normal 11 3 3" xfId="736" xr:uid="{00000000-0005-0000-0000-000063010000}"/>
    <cellStyle name="Normal 11 3 3 2" xfId="3669" xr:uid="{1AE8DAED-F6D0-490D-936A-2F2B666330B8}"/>
    <cellStyle name="Normal 11 3 4" xfId="1304" xr:uid="{359B6297-B3DD-403F-BDFF-8288E8BDBB3B}"/>
    <cellStyle name="Normal 11 3 5" xfId="3455" xr:uid="{8429BA1A-DA79-4D6F-8AA8-2240F89C5E99}"/>
    <cellStyle name="Normal 11 4" xfId="579" xr:uid="{00000000-0005-0000-0000-000064010000}"/>
    <cellStyle name="Normal 11 4 2" xfId="790" xr:uid="{00000000-0005-0000-0000-000065010000}"/>
    <cellStyle name="Normal 11 4 2 2" xfId="3722" xr:uid="{DD81BAD9-BC81-40E7-93E0-9A172635B669}"/>
    <cellStyle name="Normal 11 4 3" xfId="2231" xr:uid="{6BC8C81C-09D2-4FAC-BF98-12A324E869A3}"/>
    <cellStyle name="Normal 11 4 4" xfId="3513" xr:uid="{0CFF853E-6BE6-4B76-9370-16FE3EAF31E2}"/>
    <cellStyle name="Normal 11 5" xfId="684" xr:uid="{00000000-0005-0000-0000-000066010000}"/>
    <cellStyle name="Normal 11 5 2" xfId="2198" xr:uid="{C253D32C-3448-4783-ACE3-D463ADA6E348}"/>
    <cellStyle name="Normal 11 5 2 2" xfId="4689" xr:uid="{FBA028B7-207B-420E-AAB0-0A4644A299EE}"/>
    <cellStyle name="Normal 11 5 3" xfId="3617" xr:uid="{4EBC33AF-30E5-4AAD-83AD-3E20A4BF56CE}"/>
    <cellStyle name="Normal 11 6" xfId="1302" xr:uid="{75FD1AD2-165D-4662-9D50-EC185D54BE1E}"/>
    <cellStyle name="Normal 11 7" xfId="3388" xr:uid="{21F32BC0-5C99-47B7-BAFA-581DFE5B4C9A}"/>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2 2 2" xfId="3808" xr:uid="{F7ACE8FD-7B8F-4543-92A1-12499C4C3945}"/>
    <cellStyle name="Normal 12 2 2 2 3" xfId="3599" xr:uid="{BC2DA3EA-783D-4928-8F56-B1BBC87B71F0}"/>
    <cellStyle name="Normal 12 2 2 3" xfId="770" xr:uid="{00000000-0005-0000-0000-00006C010000}"/>
    <cellStyle name="Normal 12 2 2 3 2" xfId="3703" xr:uid="{8FE9E8AC-84B3-4801-B4E7-FCC76E21CB7B}"/>
    <cellStyle name="Normal 12 2 2 4" xfId="2234" xr:uid="{F3DA8E82-5C98-471A-B96F-B58C3C8E1248}"/>
    <cellStyle name="Normal 12 2 2 5" xfId="3489" xr:uid="{7836C0DF-32C4-4576-BBA7-DA10FD9D8725}"/>
    <cellStyle name="Normal 12 2 3" xfId="613" xr:uid="{00000000-0005-0000-0000-00006D010000}"/>
    <cellStyle name="Normal 12 2 3 2" xfId="824" xr:uid="{00000000-0005-0000-0000-00006E010000}"/>
    <cellStyle name="Normal 12 2 3 2 2" xfId="3756" xr:uid="{9360D084-DB5E-461E-A13E-B94846422529}"/>
    <cellStyle name="Normal 12 2 3 3" xfId="2208" xr:uid="{E23C1F4A-746B-4B1A-A788-66B8069A8956}"/>
    <cellStyle name="Normal 12 2 3 3 2" xfId="4698" xr:uid="{6A7EB0F5-A26F-47A8-8159-F35A1AF07441}"/>
    <cellStyle name="Normal 12 2 3 4" xfId="3547" xr:uid="{52397E20-CC62-498A-B6A0-0826383FD46D}"/>
    <cellStyle name="Normal 12 2 4" xfId="718" xr:uid="{00000000-0005-0000-0000-00006F010000}"/>
    <cellStyle name="Normal 12 2 4 2" xfId="3651" xr:uid="{4377522F-EF4E-4F7C-A2DB-C1DE3A3981D7}"/>
    <cellStyle name="Normal 12 2 5" xfId="1306" xr:uid="{1831F7C4-12E4-497E-BF82-A1659D30E57F}"/>
    <cellStyle name="Normal 12 2 6" xfId="3432" xr:uid="{5A5B4FC4-902A-42B2-BE09-986297FC41CB}"/>
    <cellStyle name="Normal 12 3" xfId="483" xr:uid="{00000000-0005-0000-0000-000070010000}"/>
    <cellStyle name="Normal 12 3 2" xfId="639" xr:uid="{00000000-0005-0000-0000-000071010000}"/>
    <cellStyle name="Normal 12 3 2 2" xfId="850" xr:uid="{00000000-0005-0000-0000-000072010000}"/>
    <cellStyle name="Normal 12 3 2 2 2" xfId="3782" xr:uid="{9AB9E4FD-B9EE-4121-97FB-A06DB2CE4D90}"/>
    <cellStyle name="Normal 12 3 2 3" xfId="3573" xr:uid="{052AC7BC-F5F0-41CF-A08F-674687894C4A}"/>
    <cellStyle name="Normal 12 3 3" xfId="744" xr:uid="{00000000-0005-0000-0000-000073010000}"/>
    <cellStyle name="Normal 12 3 3 2" xfId="3677" xr:uid="{039E7C73-ED79-4353-9FA4-D6553ECEE392}"/>
    <cellStyle name="Normal 12 3 4" xfId="2233" xr:uid="{FAB73BD6-5809-47BF-965B-F055B397A81A}"/>
    <cellStyle name="Normal 12 3 5" xfId="3463" xr:uid="{6DFEF45A-C88E-4864-A14C-1707B09394F8}"/>
    <cellStyle name="Normal 12 4" xfId="587" xr:uid="{00000000-0005-0000-0000-000074010000}"/>
    <cellStyle name="Normal 12 4 2" xfId="798" xr:uid="{00000000-0005-0000-0000-000075010000}"/>
    <cellStyle name="Normal 12 4 2 2" xfId="3730" xr:uid="{14B719D6-31CA-4AC0-BE84-98A62209700E}"/>
    <cellStyle name="Normal 12 4 3" xfId="2199" xr:uid="{D9B9E22E-5861-4F8B-BB01-B2659081A43F}"/>
    <cellStyle name="Normal 12 4 3 2" xfId="4690" xr:uid="{79EC065E-A40D-4ADF-BC32-E2A6CA5F3279}"/>
    <cellStyle name="Normal 12 4 4" xfId="3521" xr:uid="{E6DCE664-7B81-4BB0-96D8-E556F808F949}"/>
    <cellStyle name="Normal 12 5" xfId="692" xr:uid="{00000000-0005-0000-0000-000076010000}"/>
    <cellStyle name="Normal 12 5 2" xfId="3625" xr:uid="{042D9BA5-74C5-4D1B-A502-B75DD3DF655C}"/>
    <cellStyle name="Normal 12 6" xfId="1305" xr:uid="{C4A3F2F2-7C80-4D10-83C5-3EFEE42D01C3}"/>
    <cellStyle name="Normal 12 7" xfId="3401" xr:uid="{FD615071-B053-4D27-9D79-AE7C5E91031B}"/>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2 2 2" xfId="3809" xr:uid="{08671A7A-2614-4FE3-815C-6DB86F62AA90}"/>
    <cellStyle name="Normal 13 2 2 2 3" xfId="3600" xr:uid="{6B027815-F29D-4528-9D00-591E6DAB225F}"/>
    <cellStyle name="Normal 13 2 2 3" xfId="771" xr:uid="{00000000-0005-0000-0000-00007C010000}"/>
    <cellStyle name="Normal 13 2 2 3 2" xfId="3704" xr:uid="{480900A6-6E11-42DA-8995-42D40AC80A6F}"/>
    <cellStyle name="Normal 13 2 2 4" xfId="2236" xr:uid="{EBBC7A27-84C2-4C2F-9425-435EFD7E8B81}"/>
    <cellStyle name="Normal 13 2 2 5" xfId="3490" xr:uid="{054363DD-9AEE-4A48-B458-EE27B1AA6F9E}"/>
    <cellStyle name="Normal 13 2 3" xfId="614" xr:uid="{00000000-0005-0000-0000-00007D010000}"/>
    <cellStyle name="Normal 13 2 3 2" xfId="825" xr:uid="{00000000-0005-0000-0000-00007E010000}"/>
    <cellStyle name="Normal 13 2 3 2 2" xfId="3757" xr:uid="{212A62C1-91BC-4C8F-8CEF-B13677232AA8}"/>
    <cellStyle name="Normal 13 2 3 3" xfId="2209" xr:uid="{665B9D62-F24E-472E-A18C-0F64BA4CB6D0}"/>
    <cellStyle name="Normal 13 2 3 3 2" xfId="4699" xr:uid="{897C62F0-1C6D-4C62-A9B3-13F24DDCC9AC}"/>
    <cellStyle name="Normal 13 2 3 4" xfId="3548" xr:uid="{08998FEF-D1F1-4EFC-B200-EC43A4750FF9}"/>
    <cellStyle name="Normal 13 2 4" xfId="719" xr:uid="{00000000-0005-0000-0000-00007F010000}"/>
    <cellStyle name="Normal 13 2 4 2" xfId="3652" xr:uid="{DB90CBEF-23AE-44A5-80FC-B1AB38EF51CC}"/>
    <cellStyle name="Normal 13 2 5" xfId="1308" xr:uid="{A58B22DC-9888-4C88-9ECA-E0DD3B68AA00}"/>
    <cellStyle name="Normal 13 2 6" xfId="3433" xr:uid="{9DAC40AC-023F-4953-B347-53BFE505A5CA}"/>
    <cellStyle name="Normal 13 3" xfId="523" xr:uid="{00000000-0005-0000-0000-000080010000}"/>
    <cellStyle name="Normal 13 3 2" xfId="675" xr:uid="{00000000-0005-0000-0000-000081010000}"/>
    <cellStyle name="Normal 13 3 2 2" xfId="886" xr:uid="{00000000-0005-0000-0000-000082010000}"/>
    <cellStyle name="Normal 13 3 2 2 2" xfId="3818" xr:uid="{B2FBDCB7-5D37-49FC-9253-030316352042}"/>
    <cellStyle name="Normal 13 3 2 3" xfId="3609" xr:uid="{32FABA79-883D-48A7-B2DB-EADDCDFFF30C}"/>
    <cellStyle name="Normal 13 3 3" xfId="780" xr:uid="{00000000-0005-0000-0000-000083010000}"/>
    <cellStyle name="Normal 13 3 3 2" xfId="3713" xr:uid="{563BAFA8-E448-4988-9D77-6A27FBB054E0}"/>
    <cellStyle name="Normal 13 3 4" xfId="2235" xr:uid="{78B253D6-BC88-4CF8-AE7F-5ED6330192B5}"/>
    <cellStyle name="Normal 13 3 5" xfId="3499" xr:uid="{7076499B-C2F0-4E92-B55D-D00981F056EA}"/>
    <cellStyle name="Normal 13 4" xfId="484" xr:uid="{00000000-0005-0000-0000-000084010000}"/>
    <cellStyle name="Normal 13 4 2" xfId="640" xr:uid="{00000000-0005-0000-0000-000085010000}"/>
    <cellStyle name="Normal 13 4 2 2" xfId="851" xr:uid="{00000000-0005-0000-0000-000086010000}"/>
    <cellStyle name="Normal 13 4 2 2 2" xfId="3783" xr:uid="{3556B275-67DF-4571-815F-960EF9202EF7}"/>
    <cellStyle name="Normal 13 4 2 3" xfId="3574" xr:uid="{FAF93325-768C-4590-98BE-0D54BD48D814}"/>
    <cellStyle name="Normal 13 4 3" xfId="745" xr:uid="{00000000-0005-0000-0000-000087010000}"/>
    <cellStyle name="Normal 13 4 3 2" xfId="3678" xr:uid="{1FA6D115-9BE7-4B6D-B70C-18C91A04F987}"/>
    <cellStyle name="Normal 13 4 4" xfId="2200" xr:uid="{7C60ACB3-08A1-406A-AB5C-075E8198CC57}"/>
    <cellStyle name="Normal 13 4 4 2" xfId="4691" xr:uid="{C4DE25F9-CC0F-48A4-A56E-F1C0F7AE58ED}"/>
    <cellStyle name="Normal 13 4 5" xfId="3464" xr:uid="{5FA35FF7-8A6A-45AA-B59F-E5D0B0072134}"/>
    <cellStyle name="Normal 13 5" xfId="588" xr:uid="{00000000-0005-0000-0000-000088010000}"/>
    <cellStyle name="Normal 13 5 2" xfId="799" xr:uid="{00000000-0005-0000-0000-000089010000}"/>
    <cellStyle name="Normal 13 5 2 2" xfId="3731" xr:uid="{8644AD11-210A-42EF-9B5B-AF7F44B73F9C}"/>
    <cellStyle name="Normal 13 5 3" xfId="3522" xr:uid="{D0CC3A7A-A3AA-4FF0-8A96-71FEFD89F890}"/>
    <cellStyle name="Normal 13 6" xfId="693" xr:uid="{00000000-0005-0000-0000-00008A010000}"/>
    <cellStyle name="Normal 13 6 2" xfId="3626" xr:uid="{E61ABA0A-B330-4BFD-9C72-4155C0CEE475}"/>
    <cellStyle name="Normal 13 7" xfId="1307" xr:uid="{0823F6CE-9006-4667-A384-5A18B24F26C4}"/>
    <cellStyle name="Normal 13 8" xfId="3402" xr:uid="{B85AEF03-6F9D-48A1-8D81-D05BD24CDA0A}"/>
    <cellStyle name="Normal 14" xfId="350" xr:uid="{00000000-0005-0000-0000-00008B010000}"/>
    <cellStyle name="Normal 14 2" xfId="525" xr:uid="{00000000-0005-0000-0000-00008C010000}"/>
    <cellStyle name="Normal 14 2 2" xfId="2210" xr:uid="{0DD9191A-8CAB-49F9-B958-B41F80B9B104}"/>
    <cellStyle name="Normal 14 2 2 2" xfId="4700" xr:uid="{4E6C1D54-262F-4CAD-AD8B-BB6BA9031262}"/>
    <cellStyle name="Normal 14 3" xfId="2237" xr:uid="{872AA135-9884-44AC-9755-B1AFEC9A8283}"/>
    <cellStyle name="Normal 14 4" xfId="2201" xr:uid="{98C646ED-8A1A-46A3-89D7-0C10946966BA}"/>
    <cellStyle name="Normal 14 4 2" xfId="4692" xr:uid="{9EEBF99A-AE95-43FF-8905-F23CA47C230E}"/>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2 2 2" xfId="3817" xr:uid="{3C9A48A3-4420-4E39-8186-CE88FEB5476A}"/>
    <cellStyle name="Normal 15 2 2 2 3" xfId="2957" xr:uid="{E0387569-ACE5-4B09-B2B5-568300CC1555}"/>
    <cellStyle name="Normal 15 2 2 2 3 2" xfId="5392" xr:uid="{1949A3F0-89EF-4187-B028-D8F47F50D96D}"/>
    <cellStyle name="Normal 15 2 2 2 4" xfId="3608" xr:uid="{DA1CA481-F66F-4C2A-A293-5822BD6695E2}"/>
    <cellStyle name="Normal 15 2 2 3" xfId="779" xr:uid="{00000000-0005-0000-0000-000092010000}"/>
    <cellStyle name="Normal 15 2 2 3 2" xfId="3712" xr:uid="{BA996C26-CE78-4074-AF13-D7BEFDFA15B7}"/>
    <cellStyle name="Normal 15 2 2 4" xfId="2119" xr:uid="{FACAD500-77C1-497F-AA6B-1548A0E50F44}"/>
    <cellStyle name="Normal 15 2 2 4 2" xfId="4636" xr:uid="{D94930F4-9598-4046-9A56-7EE2FF8ECDB5}"/>
    <cellStyle name="Normal 15 2 2 5" xfId="3498" xr:uid="{E9594448-F445-4851-8753-3707764C88E2}"/>
    <cellStyle name="Normal 15 2 3" xfId="622" xr:uid="{00000000-0005-0000-0000-000093010000}"/>
    <cellStyle name="Normal 15 2 3 2" xfId="833" xr:uid="{00000000-0005-0000-0000-000094010000}"/>
    <cellStyle name="Normal 15 2 3 2 2" xfId="3765" xr:uid="{064CF673-2985-48A7-BC34-045482DD8BF3}"/>
    <cellStyle name="Normal 15 2 3 3" xfId="2376" xr:uid="{F6B08547-CBDB-4E30-84B3-15BCB12EF944}"/>
    <cellStyle name="Normal 15 2 3 3 2" xfId="4811" xr:uid="{F19067C9-4C98-4CD2-B02E-3A6B64ACFB1E}"/>
    <cellStyle name="Normal 15 2 3 4" xfId="3556" xr:uid="{1AC56A3A-ED37-4D3B-B0F7-94AE59ED0465}"/>
    <cellStyle name="Normal 15 2 4" xfId="727" xr:uid="{00000000-0005-0000-0000-000095010000}"/>
    <cellStyle name="Normal 15 2 4 2" xfId="3660" xr:uid="{E4423D4D-DDDC-4D47-A79E-D3834F25B2A8}"/>
    <cellStyle name="Normal 15 2 5" xfId="1310" xr:uid="{B1ACDB92-0B5B-4A74-B56B-82E695355E53}"/>
    <cellStyle name="Normal 15 2 5 2" xfId="3941" xr:uid="{E1A2D4D6-0D73-4B3A-8861-422CBF339342}"/>
    <cellStyle name="Normal 15 2 6" xfId="3441" xr:uid="{8A4A1F97-8D83-4507-B2E6-3E30FE36A56C}"/>
    <cellStyle name="Normal 15 3" xfId="492" xr:uid="{00000000-0005-0000-0000-000096010000}"/>
    <cellStyle name="Normal 15 3 2" xfId="648" xr:uid="{00000000-0005-0000-0000-000097010000}"/>
    <cellStyle name="Normal 15 3 2 2" xfId="859" xr:uid="{00000000-0005-0000-0000-000098010000}"/>
    <cellStyle name="Normal 15 3 2 2 2" xfId="3791" xr:uid="{88DBD3FF-D4F3-4F11-96C9-501CEF9F2ABA}"/>
    <cellStyle name="Normal 15 3 2 3" xfId="2787" xr:uid="{61851684-E9E0-43D1-AE13-D0AAF5A67777}"/>
    <cellStyle name="Normal 15 3 2 3 2" xfId="5222" xr:uid="{904C6574-44D4-4A08-B9E9-AD20F4CCABFF}"/>
    <cellStyle name="Normal 15 3 2 4" xfId="3582" xr:uid="{1124AB39-9A31-42EA-B2DF-C48B5A1499EB}"/>
    <cellStyle name="Normal 15 3 3" xfId="753" xr:uid="{00000000-0005-0000-0000-000099010000}"/>
    <cellStyle name="Normal 15 3 3 2" xfId="3686" xr:uid="{8D6737F4-5D31-45E5-B3B7-2CE4CC66F0DD}"/>
    <cellStyle name="Normal 15 3 4" xfId="1949" xr:uid="{E3E29C29-2977-4ADE-A2BC-351F8CE28D0D}"/>
    <cellStyle name="Normal 15 3 4 2" xfId="4466" xr:uid="{C8B32E0E-ECB0-474E-8417-86F7A927ABAE}"/>
    <cellStyle name="Normal 15 3 5" xfId="3472" xr:uid="{99CBEFD2-53AD-43E8-B61B-949E4A5210BA}"/>
    <cellStyle name="Normal 15 4" xfId="596" xr:uid="{00000000-0005-0000-0000-00009A010000}"/>
    <cellStyle name="Normal 15 4 2" xfId="807" xr:uid="{00000000-0005-0000-0000-00009B010000}"/>
    <cellStyle name="Normal 15 4 2 2" xfId="3739" xr:uid="{CB339ABD-9C13-4FE9-BAD9-FBE1222F67F5}"/>
    <cellStyle name="Normal 15 4 3" xfId="2250" xr:uid="{16D423AB-C584-47A5-8EB6-A13A83539A06}"/>
    <cellStyle name="Normal 15 4 3 2" xfId="4715" xr:uid="{1B418C50-4107-4630-8475-B15F5457E3C5}"/>
    <cellStyle name="Normal 15 4 4" xfId="3530" xr:uid="{FABDA8FA-703B-49F9-8957-3B3C759C2E43}"/>
    <cellStyle name="Normal 15 5" xfId="701" xr:uid="{00000000-0005-0000-0000-00009C010000}"/>
    <cellStyle name="Normal 15 5 2" xfId="2375" xr:uid="{D210574B-B941-466F-AE6F-1D16F5B7C128}"/>
    <cellStyle name="Normal 15 5 2 2" xfId="4810" xr:uid="{548AAD45-A45A-4530-8173-4CAB4B5447E2}"/>
    <cellStyle name="Normal 15 5 3" xfId="3634" xr:uid="{66D21796-EF58-4A27-BF1D-69A85A5F5723}"/>
    <cellStyle name="Normal 15 6" xfId="1309" xr:uid="{9269CDDA-494E-4B6C-B353-2DF34A2C7E51}"/>
    <cellStyle name="Normal 15 6 2" xfId="3940" xr:uid="{16C9D86E-4BE8-40D4-BD4D-EBB0D0399BC4}"/>
    <cellStyle name="Normal 15 7" xfId="3410" xr:uid="{F4616C54-6863-4789-A84D-A09A55AF2CCB}"/>
    <cellStyle name="Normal 16" xfId="353" xr:uid="{00000000-0005-0000-0000-00009D010000}"/>
    <cellStyle name="Normal 16 2" xfId="1312" xr:uid="{DFA8D8BF-5C62-4BD2-86D1-5A3AEBCF9724}"/>
    <cellStyle name="Normal 16 2 2" xfId="2120" xr:uid="{93CCDFDA-44FF-4039-B550-F612A566DAD0}"/>
    <cellStyle name="Normal 16 2 2 2" xfId="2958" xr:uid="{E3E4DBED-988B-4569-9AC9-430BECF5C2D2}"/>
    <cellStyle name="Normal 16 2 2 2 2" xfId="5393" xr:uid="{301BA111-A1FB-4C65-842A-4B19CE0CA061}"/>
    <cellStyle name="Normal 16 2 2 3" xfId="4637" xr:uid="{B83FEF0A-B120-4FD5-8437-59D9FDF443A3}"/>
    <cellStyle name="Normal 16 2 3" xfId="2378" xr:uid="{5F37D00A-41B4-4108-A70B-72EB3368C309}"/>
    <cellStyle name="Normal 16 2 3 2" xfId="4813" xr:uid="{52012FAC-52B7-4EB1-B70A-BD48BDD1D2E8}"/>
    <cellStyle name="Normal 16 2 4" xfId="3943" xr:uid="{1325E1E3-22BC-4586-B686-D0C8E748E1F6}"/>
    <cellStyle name="Normal 16 3" xfId="1950" xr:uid="{4C03A992-2D06-4BBB-83AB-E80333C81C71}"/>
    <cellStyle name="Normal 16 3 2" xfId="2788" xr:uid="{84112764-30AB-4764-A843-B48178873FFF}"/>
    <cellStyle name="Normal 16 3 2 2" xfId="5223" xr:uid="{48914835-A031-47B6-94E2-019989BED433}"/>
    <cellStyle name="Normal 16 3 3" xfId="4467" xr:uid="{92A9540D-7EF8-4281-B719-286311C352D8}"/>
    <cellStyle name="Normal 16 4" xfId="2377" xr:uid="{D44DFBB8-C2DF-4C80-95C7-AA091B75CCA1}"/>
    <cellStyle name="Normal 16 4 2" xfId="4812" xr:uid="{C387E5CA-6381-4973-9B99-2A597AD7F875}"/>
    <cellStyle name="Normal 16 5" xfId="1311" xr:uid="{D79D8932-4180-4FAF-BF13-F3546DA2C8DC}"/>
    <cellStyle name="Normal 16 5 2" xfId="3942" xr:uid="{5F2F03AC-5737-483F-A138-F44999ABEB8B}"/>
    <cellStyle name="Normal 165" xfId="2284" xr:uid="{B8C1ABD9-4EDC-4849-8C1E-1B841AA9516A}"/>
    <cellStyle name="Normal 165 2" xfId="4719" xr:uid="{2134C2C3-4CB6-423A-BFFB-02204DC26EA3}"/>
    <cellStyle name="Normal 168" xfId="2285" xr:uid="{9DB8BC59-033A-4D3A-9793-1A40E8FD21A2}"/>
    <cellStyle name="Normal 168 2" xfId="4720" xr:uid="{534BEE7F-B2C4-4497-A789-98A9EEF4EF2D}"/>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2 2 2" xfId="2959" xr:uid="{9F0A78E4-A6B7-41BC-B452-BBD502102970}"/>
    <cellStyle name="Normal 17 2 2 2 2 2" xfId="5394" xr:uid="{E89BF2BB-2BB7-4BE3-8741-B3545ABA1E75}"/>
    <cellStyle name="Normal 17 2 2 2 3" xfId="3792" xr:uid="{0B247C12-EEF4-40E2-9DA0-4E52B6C7D5D6}"/>
    <cellStyle name="Normal 17 2 2 3" xfId="2121" xr:uid="{33AA9152-B9EF-4F9C-9878-D7635051E323}"/>
    <cellStyle name="Normal 17 2 2 3 2" xfId="4638" xr:uid="{49E5FC20-3E4F-4D2C-BF07-7FBAEDC66B4B}"/>
    <cellStyle name="Normal 17 2 2 4" xfId="3583" xr:uid="{98F663D0-0EDB-4BF2-8992-4C3EE52F2D45}"/>
    <cellStyle name="Normal 17 2 3" xfId="754" xr:uid="{00000000-0005-0000-0000-0000A2010000}"/>
    <cellStyle name="Normal 17 2 3 2" xfId="2380" xr:uid="{69B432DD-A864-45EC-A6B7-D1DFA71D9ADF}"/>
    <cellStyle name="Normal 17 2 3 2 2" xfId="4815" xr:uid="{E92DFAAD-6FB1-4B25-BBD0-E565F09F740B}"/>
    <cellStyle name="Normal 17 2 3 3" xfId="3687" xr:uid="{65E19AF4-7EAD-4AFF-BD09-BCB5F2A84B7D}"/>
    <cellStyle name="Normal 17 2 4" xfId="1314" xr:uid="{D6A1770A-5520-4769-A95B-CF920564037F}"/>
    <cellStyle name="Normal 17 2 4 2" xfId="3945" xr:uid="{B30DF4DD-E61F-4F46-AD4A-701CF3197806}"/>
    <cellStyle name="Normal 17 2 5" xfId="3473" xr:uid="{E689616D-EB36-4967-9328-8C3D5BF58832}"/>
    <cellStyle name="Normal 17 3" xfId="597" xr:uid="{00000000-0005-0000-0000-0000A3010000}"/>
    <cellStyle name="Normal 17 3 2" xfId="808" xr:uid="{00000000-0005-0000-0000-0000A4010000}"/>
    <cellStyle name="Normal 17 3 2 2" xfId="2789" xr:uid="{9C97885F-EC3A-460F-B574-D10D4676B590}"/>
    <cellStyle name="Normal 17 3 2 2 2" xfId="5224" xr:uid="{9213338B-E9D8-402C-8394-91539927DAF2}"/>
    <cellStyle name="Normal 17 3 2 3" xfId="3740" xr:uid="{843409E5-BD94-43AB-94FD-FD70A9CB58BA}"/>
    <cellStyle name="Normal 17 3 3" xfId="1951" xr:uid="{0C529913-0AD0-4082-85CE-C6EC05C7D33D}"/>
    <cellStyle name="Normal 17 3 3 2" xfId="4468" xr:uid="{E5F50EF6-576F-490C-9E52-FCA892E80892}"/>
    <cellStyle name="Normal 17 3 4" xfId="3531" xr:uid="{A2561A19-115F-4A09-A21B-F409147989A5}"/>
    <cellStyle name="Normal 17 4" xfId="702" xr:uid="{00000000-0005-0000-0000-0000A5010000}"/>
    <cellStyle name="Normal 17 4 2" xfId="2379" xr:uid="{9C27CD71-70FB-4874-BE7D-383D249388BC}"/>
    <cellStyle name="Normal 17 4 2 2" xfId="4814" xr:uid="{E2C23106-CB8B-47DE-9F42-BBE8EF6A81CF}"/>
    <cellStyle name="Normal 17 4 3" xfId="3635" xr:uid="{F6BB82E0-06CD-4AF4-B85F-24ABEC3DD4E4}"/>
    <cellStyle name="Normal 17 5" xfId="1313" xr:uid="{2A8E8EB0-E351-41B4-B3ED-A9DE8ED5AFA5}"/>
    <cellStyle name="Normal 17 5 2" xfId="3944" xr:uid="{4492F707-6149-495F-8FC5-1CC1B98899F0}"/>
    <cellStyle name="Normal 17 6" xfId="3411" xr:uid="{AE8665FB-3ECC-452F-99C0-925F19291047}"/>
    <cellStyle name="Normal 18" xfId="424" xr:uid="{00000000-0005-0000-0000-0000A6010000}"/>
    <cellStyle name="Normal 18 2" xfId="1316" xr:uid="{4E4E855A-839A-40B7-83B5-F79856333CF8}"/>
    <cellStyle name="Normal 18 2 2" xfId="2122" xr:uid="{2AB32E39-A36A-4158-BD78-8BEC7CC3BB52}"/>
    <cellStyle name="Normal 18 2 2 2" xfId="2960" xr:uid="{15FF26EA-A3EA-4A5E-A814-55B796E72485}"/>
    <cellStyle name="Normal 18 2 2 2 2" xfId="5395" xr:uid="{62EB448F-7669-43C7-B848-B14FF15C6D83}"/>
    <cellStyle name="Normal 18 2 2 3" xfId="4639" xr:uid="{DB8D48F2-F732-4A51-94C2-E4257405C49B}"/>
    <cellStyle name="Normal 18 2 3" xfId="2382" xr:uid="{D74C2703-BCB4-424E-BFD4-4FFEED7732C1}"/>
    <cellStyle name="Normal 18 2 3 2" xfId="4817" xr:uid="{8CDE6BB5-FAAA-4826-917C-A9FB6F2F484B}"/>
    <cellStyle name="Normal 18 2 4" xfId="3947" xr:uid="{3865105E-4B9F-442A-BFEA-CC768221EC36}"/>
    <cellStyle name="Normal 18 3" xfId="1952" xr:uid="{6DDD70DF-9106-4F18-A395-3CDB68AAFC87}"/>
    <cellStyle name="Normal 18 3 2" xfId="2790" xr:uid="{1E990523-948E-4826-A0B1-8C611AB2E1FA}"/>
    <cellStyle name="Normal 18 3 2 2" xfId="5225" xr:uid="{19F911FF-7B1E-4206-9923-501D2DC3D2BD}"/>
    <cellStyle name="Normal 18 3 3" xfId="4469" xr:uid="{71EE2AB4-D8B7-4AA9-8303-3C951411F098}"/>
    <cellStyle name="Normal 18 4" xfId="2381" xr:uid="{2968BD70-1B29-40B6-8420-4CEDE7353D2B}"/>
    <cellStyle name="Normal 18 4 2" xfId="4816" xr:uid="{90B915B3-376C-481E-9934-822AE79BB255}"/>
    <cellStyle name="Normal 18 5" xfId="1315" xr:uid="{D3D87B67-D586-4984-96D1-48DD869CFCA4}"/>
    <cellStyle name="Normal 18 5 2" xfId="3946" xr:uid="{60E91AA6-D683-499E-A395-9A733B36681F}"/>
    <cellStyle name="Normal 19" xfId="519" xr:uid="{00000000-0005-0000-0000-0000A7010000}"/>
    <cellStyle name="Normal 19 2" xfId="1318" xr:uid="{381D507A-19EF-4A23-B78E-9433E68C2593}"/>
    <cellStyle name="Normal 19 2 2" xfId="2123" xr:uid="{FFECB7BB-8345-4B40-A374-AB42B8027EC4}"/>
    <cellStyle name="Normal 19 2 2 2" xfId="2961" xr:uid="{9A23A2E2-EA8C-47F8-A588-BE9DA63B851B}"/>
    <cellStyle name="Normal 19 2 2 2 2" xfId="5396" xr:uid="{B91DC0D4-B0F5-4A71-8EE2-7375C2FE2063}"/>
    <cellStyle name="Normal 19 2 2 3" xfId="4640" xr:uid="{2EF54178-05F6-42D5-B318-B46E8CD9966C}"/>
    <cellStyle name="Normal 19 2 3" xfId="2384" xr:uid="{CD542455-9614-4416-9C89-CC59F53D741A}"/>
    <cellStyle name="Normal 19 2 3 2" xfId="4819" xr:uid="{6B4E1648-CC67-40FE-A7F6-6A0126F1B637}"/>
    <cellStyle name="Normal 19 2 4" xfId="3949" xr:uid="{54E37618-FFC8-4D3D-A672-C9ADA5244711}"/>
    <cellStyle name="Normal 19 3" xfId="1953" xr:uid="{BA1D3E27-1356-44FA-AC9F-02773BD89958}"/>
    <cellStyle name="Normal 19 3 2" xfId="2791" xr:uid="{31CC1185-EAB4-4382-BD43-BC7F204D14B4}"/>
    <cellStyle name="Normal 19 3 2 2" xfId="5226" xr:uid="{83F6BB47-C23D-4A89-9AE1-53AB9DAF5D41}"/>
    <cellStyle name="Normal 19 3 3" xfId="4470" xr:uid="{1D98A2D9-011B-4A14-968E-8C4BB40F2797}"/>
    <cellStyle name="Normal 19 4" xfId="2383" xr:uid="{6A27CE8B-B996-4E34-AFCC-FB006C92EFC9}"/>
    <cellStyle name="Normal 19 4 2" xfId="4818" xr:uid="{5963CBD8-A5E6-4F0A-9CF2-88D23B3A16BC}"/>
    <cellStyle name="Normal 19 5" xfId="1317" xr:uid="{227A798D-C2BB-45E1-A183-962A3DAA4356}"/>
    <cellStyle name="Normal 19 5 2" xfId="3948" xr:uid="{DFA1CC99-7CAF-48D8-A55A-9A33064157AF}"/>
    <cellStyle name="Normal 2" xfId="66" xr:uid="{00000000-0005-0000-0000-0000A8010000}"/>
    <cellStyle name="Normal 2 10" xfId="1319" xr:uid="{D7D68F55-FC51-430F-A580-C3BB851B020A}"/>
    <cellStyle name="Normal 2 10 10 2" xfId="1320" xr:uid="{CAA4247B-2796-4BC2-BEBD-71D4D484C625}"/>
    <cellStyle name="Normal 2 11" xfId="1321" xr:uid="{9B9B63FE-993B-46FD-A281-450E73FF9B22}"/>
    <cellStyle name="Normal 2 11 2" xfId="1322" xr:uid="{21A96976-0428-4133-BA8F-127400EC8AEB}"/>
    <cellStyle name="Normal 2 11 2 2" xfId="2014" xr:uid="{7DD836DA-F140-4191-8FD1-9187B091B746}"/>
    <cellStyle name="Normal 2 11 2 2 2" xfId="2852" xr:uid="{1914154A-C586-4879-AEC8-05438BD915D8}"/>
    <cellStyle name="Normal 2 11 2 2 2 2" xfId="5287" xr:uid="{43ED6F18-F275-4B46-BEC5-76715AB7894B}"/>
    <cellStyle name="Normal 2 11 2 2 3" xfId="4531" xr:uid="{40B6A095-6515-4E5F-8AED-5AD04080B85E}"/>
    <cellStyle name="Normal 2 11 2 3" xfId="2386" xr:uid="{66ACB7DF-CF30-4668-88BF-408516A9A742}"/>
    <cellStyle name="Normal 2 11 2 3 2" xfId="4821" xr:uid="{A99BD8FD-E760-416E-9CD7-A66F6E8F7FAA}"/>
    <cellStyle name="Normal 2 11 2 4" xfId="3951" xr:uid="{0E567452-956A-4904-AFF8-550956D8BA52}"/>
    <cellStyle name="Normal 2 11 3" xfId="1844" xr:uid="{783999FE-24AD-42C4-9760-46E8091D4CD2}"/>
    <cellStyle name="Normal 2 11 3 2" xfId="2682" xr:uid="{9E8F8C7D-DE58-4371-AB40-92ABC3D5F7E4}"/>
    <cellStyle name="Normal 2 11 3 2 2" xfId="5117" xr:uid="{C52970B8-6F52-4CD1-86F4-F0DC5B0A2ACA}"/>
    <cellStyle name="Normal 2 11 3 3" xfId="4361" xr:uid="{106F619A-3B1B-4CD8-A917-CEBA823ACC97}"/>
    <cellStyle name="Normal 2 11 4" xfId="2385" xr:uid="{A7EAE794-DD64-4738-BA0D-3AEA1FAA70F9}"/>
    <cellStyle name="Normal 2 11 4 2" xfId="4820" xr:uid="{EFC0544F-EA8E-45E9-B391-74BEBDD6948A}"/>
    <cellStyle name="Normal 2 11 5" xfId="3950" xr:uid="{8992F2A1-5AF2-4A44-AC30-A41621146585}"/>
    <cellStyle name="Normal 2 2" xfId="520" xr:uid="{00000000-0005-0000-0000-0000A9010000}"/>
    <cellStyle name="Normal 2 2 2" xfId="1324" xr:uid="{440E61A6-D114-4498-8A62-FE4743CBC8CC}"/>
    <cellStyle name="Normal 2 2 2 2" xfId="1325" xr:uid="{8E056E6E-D4E3-4CBC-9272-2E3638B23D98}"/>
    <cellStyle name="Normal 2 2 2 2 2" xfId="1326" xr:uid="{69770E35-0877-49B9-81D8-2A032C2E79F8}"/>
    <cellStyle name="Normal 2 2 2 3" xfId="1327" xr:uid="{E51CD154-6EA8-4068-BA14-9F71DF347268}"/>
    <cellStyle name="Normal 2 2 2 4" xfId="1328" xr:uid="{DD1D02F3-CE0E-4B20-B3AE-563F45FFE7BF}"/>
    <cellStyle name="Normal 2 2 3" xfId="1329" xr:uid="{FC0B84B6-4649-46FC-85E3-C5F88C587510}"/>
    <cellStyle name="Normal 2 2 3 2" xfId="1330" xr:uid="{82ADC68B-C7AC-41C0-B429-D13DD9B8F563}"/>
    <cellStyle name="Normal 2 2 4" xfId="1331" xr:uid="{328300A0-5858-4DC5-B96F-958B287F1411}"/>
    <cellStyle name="Normal 2 2 5" xfId="1332" xr:uid="{42817161-C1BC-4B90-8F30-FAE9A81E16B9}"/>
    <cellStyle name="Normal 2 2 6" xfId="1323" xr:uid="{854D27E5-8DF0-418E-A52C-84028AF27982}"/>
    <cellStyle name="Normal 2 2_Incentive Updates" xfId="1333" xr:uid="{D7F518FA-12C8-44A8-A0E3-95BDAB53B643}"/>
    <cellStyle name="Normal 2 3" xfId="1334" xr:uid="{7571AE75-88E3-45DC-9CB3-5D72C835B3FF}"/>
    <cellStyle name="Normal 2 3 2" xfId="1335" xr:uid="{460C43DB-14EB-4636-9CF7-B7CDD97613A2}"/>
    <cellStyle name="Normal 2 4" xfId="1336" xr:uid="{3FBC9465-6E81-437F-907C-C44600243516}"/>
    <cellStyle name="Normal 2 4 2" xfId="1337" xr:uid="{FC69AB2D-2BFC-426B-9C87-BE5D4C8EDE56}"/>
    <cellStyle name="Normal 2 4 2 2" xfId="1338" xr:uid="{0072D93B-8B64-401C-9042-1127612E5758}"/>
    <cellStyle name="Normal 2 4 2 3" xfId="1339" xr:uid="{6DA3253F-651A-4AEF-9F3A-B004103C0ADD}"/>
    <cellStyle name="Normal 2 4 3" xfId="1340" xr:uid="{AC6B05D2-7196-404C-B643-1D3842063C9F}"/>
    <cellStyle name="Normal 2 5" xfId="1341" xr:uid="{54483A6D-6E48-422A-82BA-DD43A805E484}"/>
    <cellStyle name="Normal 2 6" xfId="1342" xr:uid="{B75F88DA-7D73-40CB-931B-3F82F4A295C8}"/>
    <cellStyle name="Normal 2 6 2" xfId="1343" xr:uid="{F22FFACB-72AA-476A-A68C-1FBFCFA15FCE}"/>
    <cellStyle name="Normal 2 7" xfId="1344" xr:uid="{F601867D-D49F-4AF5-BBED-2FBFC122E281}"/>
    <cellStyle name="Normal 2 7 2" xfId="1345" xr:uid="{CDF51051-7ED9-4527-A22E-0218C78A7C2E}"/>
    <cellStyle name="Normal 2 8" xfId="1346" xr:uid="{44212F5D-36BF-4DBC-AC3D-6F9196A9064F}"/>
    <cellStyle name="Normal 2 8 2" xfId="1347" xr:uid="{73CE16AF-8A7E-48D9-96C7-8C8DDE94F756}"/>
    <cellStyle name="Normal 2 9" xfId="1348" xr:uid="{6187A4AB-9843-4B4D-9CF4-041BFEC6CC28}"/>
    <cellStyle name="Normal 2_Incentive Updates" xfId="1349" xr:uid="{DF0D565E-D57C-412A-9FC4-D85F77571D78}"/>
    <cellStyle name="Normal 20" xfId="423" xr:uid="{00000000-0005-0000-0000-0000AA010000}"/>
    <cellStyle name="Normal 20 2" xfId="623" xr:uid="{00000000-0005-0000-0000-0000AB010000}"/>
    <cellStyle name="Normal 20 2 2" xfId="834" xr:uid="{00000000-0005-0000-0000-0000AC010000}"/>
    <cellStyle name="Normal 20 2 2 2" xfId="2962" xr:uid="{028CA2B7-A0E8-470B-BCEC-462FEE0979BB}"/>
    <cellStyle name="Normal 20 2 2 2 2" xfId="5397" xr:uid="{3DC3652D-B002-4353-BA6D-A2399D8FDE87}"/>
    <cellStyle name="Normal 20 2 2 3" xfId="2124" xr:uid="{169EB7EC-60EA-4449-8AAA-2BBA501DFD3C}"/>
    <cellStyle name="Normal 20 2 2 3 2" xfId="4641" xr:uid="{24AD87CB-CA1C-4127-BF94-7EEE0EB31DB0}"/>
    <cellStyle name="Normal 20 2 2 4" xfId="3766" xr:uid="{66E25F9E-5BEE-4F15-9528-5C77E952B8CE}"/>
    <cellStyle name="Normal 20 2 3" xfId="2388" xr:uid="{BB414916-797E-4DA0-B6E5-C48AF6F117D0}"/>
    <cellStyle name="Normal 20 2 3 2" xfId="4823" xr:uid="{2C04255B-0D5D-468A-8E96-064841BBB988}"/>
    <cellStyle name="Normal 20 2 4" xfId="1351" xr:uid="{38BAB4FA-DBFB-4A24-AC7F-71CFFD4EB269}"/>
    <cellStyle name="Normal 20 2 4 2" xfId="3953" xr:uid="{A59EE2CE-B76B-4452-BF23-7BD22CDAE0DC}"/>
    <cellStyle name="Normal 20 2 5" xfId="3557" xr:uid="{C10EAF16-4439-4F1E-A07D-176A43248214}"/>
    <cellStyle name="Normal 20 3" xfId="728" xr:uid="{00000000-0005-0000-0000-0000AD010000}"/>
    <cellStyle name="Normal 20 3 2" xfId="2792" xr:uid="{2289E143-5F1A-4D0E-9750-2160A421F150}"/>
    <cellStyle name="Normal 20 3 2 2" xfId="5227" xr:uid="{622881A6-6084-47E5-ADAF-8E2A8A089ED7}"/>
    <cellStyle name="Normal 20 3 3" xfId="1954" xr:uid="{72E24B07-FEC6-44DF-B30C-C6B1BF7B9765}"/>
    <cellStyle name="Normal 20 3 3 2" xfId="4471" xr:uid="{AA833831-B161-4D11-9B3C-E4953D11C5C2}"/>
    <cellStyle name="Normal 20 3 4" xfId="3661" xr:uid="{57286AE5-4C27-4B56-AF7C-94FA56B78C12}"/>
    <cellStyle name="Normal 20 4" xfId="2387" xr:uid="{D696C344-F064-451F-854E-ADBEC68ED8D4}"/>
    <cellStyle name="Normal 20 4 2" xfId="4822" xr:uid="{6B67119D-22CA-456B-B4B0-00FE7F75F049}"/>
    <cellStyle name="Normal 20 5" xfId="1350" xr:uid="{80F78A6F-7B63-4875-ABA9-ABF5ABAFA689}"/>
    <cellStyle name="Normal 20 5 2" xfId="3952" xr:uid="{065DBBD5-52F9-47E2-9CF3-956D7D0B107A}"/>
    <cellStyle name="Normal 20 6" xfId="3442" xr:uid="{4D0618BF-5EFA-4225-89B1-BD0372D48FDF}"/>
    <cellStyle name="Normal 206" xfId="3042" xr:uid="{53B73A54-29E0-42DD-9F71-0FA14AE14D91}"/>
    <cellStyle name="Normal 21" xfId="528" xr:uid="{00000000-0005-0000-0000-0000AE010000}"/>
    <cellStyle name="Normal 21 2" xfId="782" xr:uid="{00000000-0005-0000-0000-0000AF010000}"/>
    <cellStyle name="Normal 21 2 2" xfId="2125" xr:uid="{9DEEC1D2-5936-4006-AF1F-686B5651DD4F}"/>
    <cellStyle name="Normal 21 2 2 2" xfId="2963" xr:uid="{358C2762-F0D1-45DF-B49E-717DCEEFAEEC}"/>
    <cellStyle name="Normal 21 2 2 2 2" xfId="5398" xr:uid="{C2D4B118-C01F-4CEC-B9D7-26C04167F36D}"/>
    <cellStyle name="Normal 21 2 2 3" xfId="4642" xr:uid="{432C66DD-4C07-4DA9-8622-B122701246FE}"/>
    <cellStyle name="Normal 21 2 3" xfId="2390" xr:uid="{91CE1401-BE1F-45BF-A152-56FA5AFA48C7}"/>
    <cellStyle name="Normal 21 2 3 2" xfId="4825" xr:uid="{D413519D-DFA1-49B1-889C-8524820492A3}"/>
    <cellStyle name="Normal 21 2 4" xfId="1353" xr:uid="{7DD5D63B-E42A-45A2-8B1F-BFD010A2AFCD}"/>
    <cellStyle name="Normal 21 2 4 2" xfId="3955" xr:uid="{85AA1B57-890C-45CA-9278-CFA9236E8CED}"/>
    <cellStyle name="Normal 21 3" xfId="1955" xr:uid="{600D905C-D79A-48BF-97C0-7952719E8ECF}"/>
    <cellStyle name="Normal 21 3 2" xfId="2793" xr:uid="{64CB2E86-D41C-4B35-93AE-3ABD982EEEFE}"/>
    <cellStyle name="Normal 21 3 2 2" xfId="5228" xr:uid="{F2845472-DEAD-4F30-9D7D-5BD71B1A8D65}"/>
    <cellStyle name="Normal 21 3 3" xfId="4472" xr:uid="{9DBFDA4B-667A-4D05-9B5A-7850B69D7BC7}"/>
    <cellStyle name="Normal 21 4" xfId="2389" xr:uid="{1A457300-7421-4804-8D1C-D2C75AD26C19}"/>
    <cellStyle name="Normal 21 4 2" xfId="4824" xr:uid="{DF6C1792-2487-4802-AC84-020612F0C991}"/>
    <cellStyle name="Normal 21 5" xfId="1352" xr:uid="{C4E9EFBD-D3E7-4156-986A-830FD7DEB25D}"/>
    <cellStyle name="Normal 21 5 2" xfId="3954" xr:uid="{929CDAFB-7288-4D86-8E48-C31D084C434A}"/>
    <cellStyle name="Normal 22" xfId="676" xr:uid="{00000000-0005-0000-0000-0000B0010000}"/>
    <cellStyle name="Normal 22 2" xfId="887" xr:uid="{00000000-0005-0000-0000-0000B1010000}"/>
    <cellStyle name="Normal 22 2 2" xfId="2126" xr:uid="{94C050F5-A7B2-4C5E-86F8-E082A86A7FF2}"/>
    <cellStyle name="Normal 22 2 2 2" xfId="2964" xr:uid="{366B61FB-10FC-4B99-A0A9-E268DEB3DFD9}"/>
    <cellStyle name="Normal 22 2 2 2 2" xfId="5399" xr:uid="{E7A329D6-691C-4343-A9B2-286D6787B43C}"/>
    <cellStyle name="Normal 22 2 2 3" xfId="4643" xr:uid="{251CA35B-8CF2-4023-A071-601F50829A79}"/>
    <cellStyle name="Normal 22 2 3" xfId="2392" xr:uid="{E83A219D-4400-493C-8A05-E344A27580D9}"/>
    <cellStyle name="Normal 22 2 3 2" xfId="4827" xr:uid="{9D8743E9-12F0-4087-9382-923E72E329F8}"/>
    <cellStyle name="Normal 22 2 4" xfId="1355" xr:uid="{CAE9DF9A-0F53-4FD4-87E4-9FEBF4FCC933}"/>
    <cellStyle name="Normal 22 2 4 2" xfId="3957" xr:uid="{015B48EE-0DD1-4E4E-9D2F-B54BB0C62D82}"/>
    <cellStyle name="Normal 22 3" xfId="1956" xr:uid="{0A17F3A3-886B-42F6-A667-28C933F3176F}"/>
    <cellStyle name="Normal 22 3 2" xfId="2794" xr:uid="{A042C05D-6080-40D8-8BDB-AA3C083E144C}"/>
    <cellStyle name="Normal 22 3 2 2" xfId="5229" xr:uid="{9A48BDCC-470D-4B03-8493-3E58673D38BC}"/>
    <cellStyle name="Normal 22 3 3" xfId="4473" xr:uid="{B54FC859-A40E-47E7-BBED-5379690DB0DF}"/>
    <cellStyle name="Normal 22 4" xfId="2391" xr:uid="{8172BACF-4EBF-49DD-96A1-E3EF1FCD0A27}"/>
    <cellStyle name="Normal 22 4 2" xfId="4826" xr:uid="{298D82FD-E34C-4399-875C-086DB8786173}"/>
    <cellStyle name="Normal 22 5" xfId="1354" xr:uid="{7A2D3203-3B34-4E82-B9B3-C79CBECC613C}"/>
    <cellStyle name="Normal 22 5 2" xfId="3956" xr:uid="{524D7972-82A3-4DA5-96A6-5376C9C58D5C}"/>
    <cellStyle name="Normal 23" xfId="527" xr:uid="{00000000-0005-0000-0000-0000B2010000}"/>
    <cellStyle name="Normal 23 2" xfId="781" xr:uid="{00000000-0005-0000-0000-0000B3010000}"/>
    <cellStyle name="Normal 23 2 2" xfId="2127" xr:uid="{CE90156C-2C95-473B-A346-CEA87CF8F849}"/>
    <cellStyle name="Normal 23 2 2 2" xfId="2965" xr:uid="{BD159E88-6725-4195-B34A-8689FF04DB23}"/>
    <cellStyle name="Normal 23 2 2 2 2" xfId="5400" xr:uid="{AB5EF205-8DA9-45E1-8163-7F04988F3972}"/>
    <cellStyle name="Normal 23 2 2 3" xfId="4644" xr:uid="{43EFF616-7460-4FB4-9DD9-D5325474BE3E}"/>
    <cellStyle name="Normal 23 2 3" xfId="2394" xr:uid="{05B91AC1-61A5-4480-8FF3-DA4F87F269A4}"/>
    <cellStyle name="Normal 23 2 3 2" xfId="4829" xr:uid="{126CD790-CCA4-4B31-9D5C-CFBE05800D10}"/>
    <cellStyle name="Normal 23 2 4" xfId="1357" xr:uid="{9C686519-B3CD-43C4-9470-B4BE992CA98E}"/>
    <cellStyle name="Normal 23 2 4 2" xfId="3959" xr:uid="{E6647A56-A34A-4376-8141-73DBCA9B1101}"/>
    <cellStyle name="Normal 23 2 5" xfId="3714" xr:uid="{F3F96F2E-758B-4C79-B5F0-3081F1A8115E}"/>
    <cellStyle name="Normal 23 3" xfId="1957" xr:uid="{3EAB5E34-AC6D-4489-9CC0-584BBC157D23}"/>
    <cellStyle name="Normal 23 3 2" xfId="2795" xr:uid="{25292699-2F30-4E41-9A4B-AF7181E133EF}"/>
    <cellStyle name="Normal 23 3 2 2" xfId="5230" xr:uid="{ADE08D11-4937-4733-92A3-2A7760221EB7}"/>
    <cellStyle name="Normal 23 3 3" xfId="4474" xr:uid="{93A61AAC-24B5-4832-9F53-A9ED99038B0D}"/>
    <cellStyle name="Normal 23 4" xfId="2393" xr:uid="{CE0FBA6F-460C-4DA9-8588-806D4FDDF239}"/>
    <cellStyle name="Normal 23 4 2" xfId="4828" xr:uid="{FC892AF1-CB9F-43E2-A1A6-CC475625E231}"/>
    <cellStyle name="Normal 23 5" xfId="1356" xr:uid="{F9F1A23E-B674-4C89-A948-C50929D25E12}"/>
    <cellStyle name="Normal 23 5 2" xfId="3958" xr:uid="{839AD1A7-AE2F-42AD-9309-CAD1D673DF00}"/>
    <cellStyle name="Normal 23 6" xfId="3500" xr:uid="{8BBC8004-E123-43CA-BC29-BA8E9666221C}"/>
    <cellStyle name="Normal 24" xfId="888" xr:uid="{9C89C772-0D88-4EE7-B0FE-2578499CD212}"/>
    <cellStyle name="Normal 24 2" xfId="1359" xr:uid="{B0B9420A-D2BC-45A7-B9BB-5B3C47B1B2EC}"/>
    <cellStyle name="Normal 24 2 2" xfId="2128" xr:uid="{8786A9EC-945B-497F-9077-096EC9C8B23F}"/>
    <cellStyle name="Normal 24 2 2 2" xfId="2966" xr:uid="{18AD1764-F88B-4C64-BBFA-68DF585504C4}"/>
    <cellStyle name="Normal 24 2 2 2 2" xfId="5401" xr:uid="{C1EF9FE8-AF48-4956-9962-0B6F066F1BBC}"/>
    <cellStyle name="Normal 24 2 2 3" xfId="4645" xr:uid="{7B0F988D-EFBF-43F7-94CA-CD8A9BBDF8B8}"/>
    <cellStyle name="Normal 24 2 3" xfId="2396" xr:uid="{06B09A4F-BE22-49C8-9E00-950EAD5A6EB3}"/>
    <cellStyle name="Normal 24 2 3 2" xfId="4831" xr:uid="{FD97315B-DEB8-41FF-A8A9-9BAC74C7B44D}"/>
    <cellStyle name="Normal 24 2 4" xfId="3961" xr:uid="{83E4D351-34FD-4B93-BBB9-65D051438488}"/>
    <cellStyle name="Normal 24 3" xfId="1958" xr:uid="{5A078C6E-8CBC-420B-A4D5-B1BC2731A8C7}"/>
    <cellStyle name="Normal 24 3 2" xfId="2796" xr:uid="{29B42199-9B35-475C-826C-37C07583E2ED}"/>
    <cellStyle name="Normal 24 3 2 2" xfId="5231" xr:uid="{B205D298-8ACD-4CC1-BB6D-8EBFC9264B82}"/>
    <cellStyle name="Normal 24 3 3" xfId="4475" xr:uid="{86670CF5-BDF9-470A-9821-2D14E08F0CFE}"/>
    <cellStyle name="Normal 24 4" xfId="2395" xr:uid="{C1F5721B-0063-4118-8D42-FFDE4016C75E}"/>
    <cellStyle name="Normal 24 4 2" xfId="4830" xr:uid="{339AC804-8004-40B0-8D61-1671570175BF}"/>
    <cellStyle name="Normal 24 5" xfId="1358" xr:uid="{6610B6C5-9C18-4469-8A25-748B600F0E4A}"/>
    <cellStyle name="Normal 24 5 2" xfId="3960" xr:uid="{5E7D1F7C-9D4C-464B-B980-B4D4AA8142D3}"/>
    <cellStyle name="Normal 24 6" xfId="3819" xr:uid="{5964A967-47C5-4B65-B6F4-C23999056BC9}"/>
    <cellStyle name="Normal 25" xfId="892" xr:uid="{68006706-7F3A-4028-8E01-529886742ED7}"/>
    <cellStyle name="Normal 25 2" xfId="2967" xr:uid="{F82BFECA-AD3A-472B-925A-977DFB79C09B}"/>
    <cellStyle name="Normal 25 2 2" xfId="5402" xr:uid="{C9F53040-DB38-496B-BC14-DBDF5E0F4967}"/>
    <cellStyle name="Normal 25 3" xfId="3823" xr:uid="{2AB35E4E-E4B9-48A6-8AE7-B47E144414BB}"/>
    <cellStyle name="Normal 26" xfId="2129" xr:uid="{1C43A721-B051-4254-9E3D-D6AF18C32F81}"/>
    <cellStyle name="Normal 26 2" xfId="4646" xr:uid="{433911DF-0B34-46F9-8F71-7D92F0D55C3A}"/>
    <cellStyle name="Normal 27" xfId="2172" xr:uid="{36520028-2908-4756-BB66-0C08F2B9715E}"/>
    <cellStyle name="Normal 27 2" xfId="4673" xr:uid="{75A589F4-23B6-4A97-AAB9-BC542D03198B}"/>
    <cellStyle name="Normal 28" xfId="2143" xr:uid="{0966DCF3-83EC-4692-9616-FECEED1FC19D}"/>
    <cellStyle name="Normal 28 2" xfId="2269" xr:uid="{85436D53-DF83-4D9D-9232-9F47D4D8C51E}"/>
    <cellStyle name="Normal 28 2 2" xfId="4717" xr:uid="{968DF470-00E3-4225-A6BD-F3DCF717A1D6}"/>
    <cellStyle name="Normal 28 3" xfId="2981" xr:uid="{EB3B4E19-3EDC-4A54-9C43-3A726FCD7092}"/>
    <cellStyle name="Normal 29" xfId="2152" xr:uid="{A012791C-C781-4D42-9A1D-7431DF51D819}"/>
    <cellStyle name="Normal 29 2" xfId="2990" xr:uid="{5BF2F6E7-272B-4FBB-A748-5A7414CCE214}"/>
    <cellStyle name="Normal 3" xfId="146" xr:uid="{00000000-0005-0000-0000-0000B4010000}"/>
    <cellStyle name="Normal 3 2" xfId="192" xr:uid="{00000000-0005-0000-0000-0000B5010000}"/>
    <cellStyle name="Normal 3 2 2" xfId="1362" xr:uid="{E95BF138-EC8B-4126-BAA7-BAE315DE79F1}"/>
    <cellStyle name="Normal 3 2 3" xfId="1361" xr:uid="{E450A9F4-BF8A-471E-9C0C-2A21DA9EB966}"/>
    <cellStyle name="Normal 3 3" xfId="1363" xr:uid="{DE21BD80-D77D-4A5D-9E1B-FF501AD6D10D}"/>
    <cellStyle name="Normal 3 3 10" xfId="2398" xr:uid="{EE8A4F57-DAFC-4A5B-B2AB-B8BFA324BC1D}"/>
    <cellStyle name="Normal 3 3 10 2" xfId="4833" xr:uid="{E9E743AF-101E-4BD4-BC77-185743C15636}"/>
    <cellStyle name="Normal 3 3 11" xfId="3963" xr:uid="{A2A470E7-028B-4F73-9E65-BE53B6C355FC}"/>
    <cellStyle name="Normal 3 3 2" xfId="1364" xr:uid="{0F83188D-59F6-4F7A-AE49-7DC3F10550E6}"/>
    <cellStyle name="Normal 3 3 2 2" xfId="1365" xr:uid="{759834E5-12CC-47CE-A1C3-132783DEFB71}"/>
    <cellStyle name="Normal 3 3 2 2 2" xfId="1366" xr:uid="{F99A84C1-C501-4189-A6A3-A81994771517}"/>
    <cellStyle name="Normal 3 3 2 2 2 2" xfId="1367" xr:uid="{371D3141-20FA-4006-A815-1E1D435254BB}"/>
    <cellStyle name="Normal 3 3 2 2 2 2 2" xfId="1368" xr:uid="{A716884D-5D18-41E8-BD3B-948CE8769A36}"/>
    <cellStyle name="Normal 3 3 2 2 2 2 2 2" xfId="2019" xr:uid="{CC681084-04D9-4625-B9D0-6D28BA7DD76C}"/>
    <cellStyle name="Normal 3 3 2 2 2 2 2 2 2" xfId="2857" xr:uid="{F33313BF-A1C2-45DE-968A-10C828A47155}"/>
    <cellStyle name="Normal 3 3 2 2 2 2 2 2 2 2" xfId="5292" xr:uid="{CFA9E721-B1E2-457B-A137-430861CA0A2E}"/>
    <cellStyle name="Normal 3 3 2 2 2 2 2 2 3" xfId="4536" xr:uid="{12D5B55F-26D8-421E-B12D-48CF3F0F9BA0}"/>
    <cellStyle name="Normal 3 3 2 2 2 2 2 3" xfId="2403" xr:uid="{40FB1E3D-79C0-4741-90A1-776097BFC2BF}"/>
    <cellStyle name="Normal 3 3 2 2 2 2 2 3 2" xfId="4838" xr:uid="{954D6A02-AB05-41EA-940E-B5B22FFF3D97}"/>
    <cellStyle name="Normal 3 3 2 2 2 2 2 4" xfId="3968" xr:uid="{0FF2E7DB-0AE7-44C5-B21A-E3E4A33A8708}"/>
    <cellStyle name="Normal 3 3 2 2 2 2 3" xfId="1849" xr:uid="{D30F4E70-3860-463F-8105-71D29D781F0C}"/>
    <cellStyle name="Normal 3 3 2 2 2 2 3 2" xfId="2687" xr:uid="{C7CCC6EA-161F-4F25-AC1F-F1F82C3FB49D}"/>
    <cellStyle name="Normal 3 3 2 2 2 2 3 2 2" xfId="5122" xr:uid="{02450BBA-59F1-4FA5-ADC6-6BF4E67FDD45}"/>
    <cellStyle name="Normal 3 3 2 2 2 2 3 3" xfId="4366" xr:uid="{B0AB3D4B-F8E4-4784-8889-A7D3315AC492}"/>
    <cellStyle name="Normal 3 3 2 2 2 2 4" xfId="2402" xr:uid="{F74A138B-AB39-4613-8474-46BAEE1290CA}"/>
    <cellStyle name="Normal 3 3 2 2 2 2 4 2" xfId="4837" xr:uid="{D5B1A4DE-B468-4D85-B40E-7AABAF31CB2A}"/>
    <cellStyle name="Normal 3 3 2 2 2 2 5" xfId="3967" xr:uid="{DAF40205-9F53-4285-BD1E-5BCFF5DB6B1A}"/>
    <cellStyle name="Normal 3 3 2 2 2 3" xfId="1369" xr:uid="{D91A1FA0-A59F-4F1B-8CFD-9832E7F4E2FB}"/>
    <cellStyle name="Normal 3 3 2 2 2 3 2" xfId="1370" xr:uid="{804BBE95-326C-4AF0-A23E-F7A73099862D}"/>
    <cellStyle name="Normal 3 3 2 2 2 3 2 2" xfId="2020" xr:uid="{0439F8B8-494F-4333-83E6-2220EECF78ED}"/>
    <cellStyle name="Normal 3 3 2 2 2 3 2 2 2" xfId="2858" xr:uid="{17BD0197-01C1-4BC5-A33F-2E4CEF9DFF5D}"/>
    <cellStyle name="Normal 3 3 2 2 2 3 2 2 2 2" xfId="5293" xr:uid="{18BC12D3-3BA7-42C9-8040-D59DF97B2B9F}"/>
    <cellStyle name="Normal 3 3 2 2 2 3 2 2 3" xfId="4537" xr:uid="{40A24C32-DD81-44CC-A4B2-89555DBAFF27}"/>
    <cellStyle name="Normal 3 3 2 2 2 3 2 3" xfId="2405" xr:uid="{4559754D-F333-4590-A20D-56169282588D}"/>
    <cellStyle name="Normal 3 3 2 2 2 3 2 3 2" xfId="4840" xr:uid="{82E385C4-CB86-402C-93DD-18527BFB15FD}"/>
    <cellStyle name="Normal 3 3 2 2 2 3 2 4" xfId="3970" xr:uid="{608CFF42-4626-4B59-B2FA-6308A1A90D4B}"/>
    <cellStyle name="Normal 3 3 2 2 2 3 3" xfId="1850" xr:uid="{292991B7-DAE1-4619-8C3C-D5656DA5BD4D}"/>
    <cellStyle name="Normal 3 3 2 2 2 3 3 2" xfId="2688" xr:uid="{1A2507BD-0F97-4C8D-A19B-20D0D1BC7FE1}"/>
    <cellStyle name="Normal 3 3 2 2 2 3 3 2 2" xfId="5123" xr:uid="{1ED7135E-7376-485D-B265-E2A337F25770}"/>
    <cellStyle name="Normal 3 3 2 2 2 3 3 3" xfId="4367" xr:uid="{DF06B914-10D3-400A-AAFD-77140C8EF5F6}"/>
    <cellStyle name="Normal 3 3 2 2 2 3 4" xfId="2404" xr:uid="{B959B3A4-0E50-46BC-820E-F2B82706E62B}"/>
    <cellStyle name="Normal 3 3 2 2 2 3 4 2" xfId="4839" xr:uid="{305CF1F4-FC55-44E3-B57E-E250EC135791}"/>
    <cellStyle name="Normal 3 3 2 2 2 3 5" xfId="3969" xr:uid="{FA1B0713-2FE0-46F7-97F6-E7C8F6A38E74}"/>
    <cellStyle name="Normal 3 3 2 2 2 4" xfId="1371" xr:uid="{9798BBFF-3C80-40DE-B5A4-0C235F7E6AB3}"/>
    <cellStyle name="Normal 3 3 2 2 2 4 2" xfId="2018" xr:uid="{6B9627F1-F829-4665-A0A1-0020F9FF01FA}"/>
    <cellStyle name="Normal 3 3 2 2 2 4 2 2" xfId="2856" xr:uid="{EC658A6D-EE36-44D2-A719-293B0A8C7578}"/>
    <cellStyle name="Normal 3 3 2 2 2 4 2 2 2" xfId="5291" xr:uid="{82455E6E-E87E-467A-AFE5-1EA81F5654BD}"/>
    <cellStyle name="Normal 3 3 2 2 2 4 2 3" xfId="4535" xr:uid="{554B9AD2-11FF-4681-AE1B-C2FC957597C5}"/>
    <cellStyle name="Normal 3 3 2 2 2 4 3" xfId="2406" xr:uid="{9E5AC42B-93D4-476F-8ACC-76D522E6E32A}"/>
    <cellStyle name="Normal 3 3 2 2 2 4 3 2" xfId="4841" xr:uid="{B74B76D0-C944-4DFE-9815-958AFA602C7A}"/>
    <cellStyle name="Normal 3 3 2 2 2 4 4" xfId="3971" xr:uid="{668BF051-2D4C-4261-AFF0-32F5F80913E4}"/>
    <cellStyle name="Normal 3 3 2 2 2 5" xfId="1848" xr:uid="{74098714-4C35-41FA-93B3-AE0A5BB7F900}"/>
    <cellStyle name="Normal 3 3 2 2 2 5 2" xfId="2686" xr:uid="{1A0F5E51-98B6-4D35-AC28-8F667A72F635}"/>
    <cellStyle name="Normal 3 3 2 2 2 5 2 2" xfId="5121" xr:uid="{ADF72E62-6813-45FB-92CE-EF827B9E906D}"/>
    <cellStyle name="Normal 3 3 2 2 2 5 3" xfId="4365" xr:uid="{C9DECD88-B81C-446E-8232-50A83F5CDAF5}"/>
    <cellStyle name="Normal 3 3 2 2 2 6" xfId="2401" xr:uid="{9D6052A4-D843-4ECC-9177-706255903C7F}"/>
    <cellStyle name="Normal 3 3 2 2 2 6 2" xfId="4836" xr:uid="{6FB5D8F9-67FD-4C06-B17C-D6070F46D88F}"/>
    <cellStyle name="Normal 3 3 2 2 2 7" xfId="3966" xr:uid="{A53C0133-AC39-44C5-B2B3-ED2D28E2C105}"/>
    <cellStyle name="Normal 3 3 2 2 3" xfId="1372" xr:uid="{A234CFF2-1C2D-455C-B337-B8C750DFE4F6}"/>
    <cellStyle name="Normal 3 3 2 2 3 2" xfId="1373" xr:uid="{460CD82E-016B-4F11-9D12-547AC6328CB0}"/>
    <cellStyle name="Normal 3 3 2 2 3 2 2" xfId="2021" xr:uid="{F890D85A-D80D-459B-AC59-6DAA10193A57}"/>
    <cellStyle name="Normal 3 3 2 2 3 2 2 2" xfId="2859" xr:uid="{6131104A-87B9-4FF1-90C7-3B44282CE61F}"/>
    <cellStyle name="Normal 3 3 2 2 3 2 2 2 2" xfId="5294" xr:uid="{3F8B6A50-7956-4C01-9E22-1CB4857E688A}"/>
    <cellStyle name="Normal 3 3 2 2 3 2 2 3" xfId="4538" xr:uid="{C45F519F-553E-4229-8AAA-57D5BEB9372A}"/>
    <cellStyle name="Normal 3 3 2 2 3 2 3" xfId="2408" xr:uid="{6C1DC172-272F-49CE-ADFA-7E95F2EC58A4}"/>
    <cellStyle name="Normal 3 3 2 2 3 2 3 2" xfId="4843" xr:uid="{C2621FB6-C352-4DAD-893B-ABD309A979F6}"/>
    <cellStyle name="Normal 3 3 2 2 3 2 4" xfId="3973" xr:uid="{9506EA24-00CD-409B-8CD5-8AADA57E74A0}"/>
    <cellStyle name="Normal 3 3 2 2 3 3" xfId="1851" xr:uid="{B3750FF9-4B38-471A-B9D4-CA5F2D1DD922}"/>
    <cellStyle name="Normal 3 3 2 2 3 3 2" xfId="2689" xr:uid="{B82228E5-520A-4196-85D9-FC4EECF36A2C}"/>
    <cellStyle name="Normal 3 3 2 2 3 3 2 2" xfId="5124" xr:uid="{02CB4759-1A1F-447E-817E-A363013528A1}"/>
    <cellStyle name="Normal 3 3 2 2 3 3 3" xfId="4368" xr:uid="{6C80C46B-6C32-41A3-8964-001618F3A09F}"/>
    <cellStyle name="Normal 3 3 2 2 3 4" xfId="2407" xr:uid="{2AEE3396-13CD-4EE5-9772-8235453B8FBA}"/>
    <cellStyle name="Normal 3 3 2 2 3 4 2" xfId="4842" xr:uid="{42FA7CD7-297A-402A-B9D9-3E3821B25607}"/>
    <cellStyle name="Normal 3 3 2 2 3 5" xfId="3972" xr:uid="{26E5F368-C3AF-4A88-9ABA-F4E3F58BB82B}"/>
    <cellStyle name="Normal 3 3 2 2 4" xfId="1374" xr:uid="{558838AD-B891-49C0-A44B-54549CF34381}"/>
    <cellStyle name="Normal 3 3 2 2 4 2" xfId="1375" xr:uid="{5254FD7B-D465-46CE-B9A6-41ED4C2DA124}"/>
    <cellStyle name="Normal 3 3 2 2 4 2 2" xfId="2022" xr:uid="{78AF0C9B-DE1B-438A-8C88-36B13A71A532}"/>
    <cellStyle name="Normal 3 3 2 2 4 2 2 2" xfId="2860" xr:uid="{0992A183-4699-4881-AAB2-9F190CA9920F}"/>
    <cellStyle name="Normal 3 3 2 2 4 2 2 2 2" xfId="5295" xr:uid="{0A5726D0-E966-475E-B34D-715D01ED8405}"/>
    <cellStyle name="Normal 3 3 2 2 4 2 2 3" xfId="4539" xr:uid="{45C6BA72-DD46-4E64-A49F-DB90E8AE3492}"/>
    <cellStyle name="Normal 3 3 2 2 4 2 3" xfId="2410" xr:uid="{34A32F75-92FE-44F2-8106-8BDD3FF5E011}"/>
    <cellStyle name="Normal 3 3 2 2 4 2 3 2" xfId="4845" xr:uid="{B4823CA4-8841-4D81-80B9-4809FDDB6A11}"/>
    <cellStyle name="Normal 3 3 2 2 4 2 4" xfId="3975" xr:uid="{8FE0A741-16E9-4806-BCC4-08F6C4F00B60}"/>
    <cellStyle name="Normal 3 3 2 2 4 3" xfId="1852" xr:uid="{030906E1-6E0C-4E19-ACFF-939F40039A85}"/>
    <cellStyle name="Normal 3 3 2 2 4 3 2" xfId="2690" xr:uid="{6D7C394A-5C3F-49D1-8F47-53DD08AABC81}"/>
    <cellStyle name="Normal 3 3 2 2 4 3 2 2" xfId="5125" xr:uid="{5762E750-55A9-428B-BD8E-8C9F76AAB245}"/>
    <cellStyle name="Normal 3 3 2 2 4 3 3" xfId="4369" xr:uid="{78446DD8-0480-45AF-B5AF-6F2E573A5F12}"/>
    <cellStyle name="Normal 3 3 2 2 4 4" xfId="2409" xr:uid="{84FE2ADC-35B4-43CD-8801-3C1D49226BAD}"/>
    <cellStyle name="Normal 3 3 2 2 4 4 2" xfId="4844" xr:uid="{84CB5046-A96F-42A3-B303-752E9D276EDE}"/>
    <cellStyle name="Normal 3 3 2 2 4 5" xfId="3974" xr:uid="{04BCA264-9A83-477D-A22A-82238AB8A0AC}"/>
    <cellStyle name="Normal 3 3 2 2 5" xfId="1376" xr:uid="{694FFB08-A071-4D2C-B896-E6BFB2D9FDF2}"/>
    <cellStyle name="Normal 3 3 2 2 5 2" xfId="2017" xr:uid="{4B3319FF-960C-4C40-84D1-97CD0224EF26}"/>
    <cellStyle name="Normal 3 3 2 2 5 2 2" xfId="2855" xr:uid="{EDDECF2E-9D1B-442F-BA2A-E7CB97B041A6}"/>
    <cellStyle name="Normal 3 3 2 2 5 2 2 2" xfId="5290" xr:uid="{D88130DF-A6A0-4DE0-8881-735460D0E180}"/>
    <cellStyle name="Normal 3 3 2 2 5 2 3" xfId="4534" xr:uid="{C57FE845-C66D-4CF8-B183-DE31D31642AD}"/>
    <cellStyle name="Normal 3 3 2 2 5 3" xfId="2411" xr:uid="{F650DBB1-F924-47EC-8D81-C8A3D306BEA9}"/>
    <cellStyle name="Normal 3 3 2 2 5 3 2" xfId="4846" xr:uid="{6B4DAFEC-0F62-4CC5-8E16-815DF639F8EA}"/>
    <cellStyle name="Normal 3 3 2 2 5 4" xfId="3976" xr:uid="{941AB9E0-EF01-4B38-9CA9-91BEED1DD542}"/>
    <cellStyle name="Normal 3 3 2 2 6" xfId="1847" xr:uid="{22F26185-5F0B-4C2E-8B2A-8B3E209E212B}"/>
    <cellStyle name="Normal 3 3 2 2 6 2" xfId="2685" xr:uid="{6778674C-94B4-4062-9B1E-D8114BECF793}"/>
    <cellStyle name="Normal 3 3 2 2 6 2 2" xfId="5120" xr:uid="{5E63F638-1FB6-4CA7-858F-03B7F029F2D5}"/>
    <cellStyle name="Normal 3 3 2 2 6 3" xfId="4364" xr:uid="{3FB38D1E-DF73-4E22-AD76-311250C77A5C}"/>
    <cellStyle name="Normal 3 3 2 2 7" xfId="2400" xr:uid="{B8874235-9249-4B55-B278-615063BFD6A3}"/>
    <cellStyle name="Normal 3 3 2 2 7 2" xfId="4835" xr:uid="{7C26CE80-7CF3-4937-86F2-522C6C79800A}"/>
    <cellStyle name="Normal 3 3 2 2 8" xfId="3965" xr:uid="{4C837BF1-CB45-41C8-8883-8FEB38888E04}"/>
    <cellStyle name="Normal 3 3 2 3" xfId="1377" xr:uid="{9E646299-9071-47CE-875C-CB9F718A87E3}"/>
    <cellStyle name="Normal 3 3 2 3 2" xfId="1378" xr:uid="{5971A4E9-CE60-4BAF-848E-A2C0C974ABC8}"/>
    <cellStyle name="Normal 3 3 2 3 2 2" xfId="1379" xr:uid="{0C4EF543-A86D-49F0-9D60-37D86F9AC571}"/>
    <cellStyle name="Normal 3 3 2 3 2 2 2" xfId="2024" xr:uid="{622EBD24-C6BF-40A3-919C-C345CD80652F}"/>
    <cellStyle name="Normal 3 3 2 3 2 2 2 2" xfId="2862" xr:uid="{4DE4427F-4AD1-40D0-85BE-B1B7B66F1823}"/>
    <cellStyle name="Normal 3 3 2 3 2 2 2 2 2" xfId="5297" xr:uid="{BD07D6F2-3268-4BDA-AECB-A2E82C7FE5C6}"/>
    <cellStyle name="Normal 3 3 2 3 2 2 2 3" xfId="4541" xr:uid="{95522FD4-E085-4567-95D7-1C67AD99E6CD}"/>
    <cellStyle name="Normal 3 3 2 3 2 2 3" xfId="2414" xr:uid="{40D807B2-00B1-4DD6-9298-7633C57B9C3F}"/>
    <cellStyle name="Normal 3 3 2 3 2 2 3 2" xfId="4849" xr:uid="{ED3A7770-F8D8-4E8B-AB1C-0109A02A247A}"/>
    <cellStyle name="Normal 3 3 2 3 2 2 4" xfId="3979" xr:uid="{91E182AE-3ADA-4F89-8723-41125B523EF2}"/>
    <cellStyle name="Normal 3 3 2 3 2 3" xfId="1854" xr:uid="{CB6F9962-FE52-46B5-AC4B-0BF8780077E3}"/>
    <cellStyle name="Normal 3 3 2 3 2 3 2" xfId="2692" xr:uid="{30A03748-AF51-4C46-9815-FDB5E1BF8369}"/>
    <cellStyle name="Normal 3 3 2 3 2 3 2 2" xfId="5127" xr:uid="{FE573459-FFA6-456F-977E-1BE10A34A450}"/>
    <cellStyle name="Normal 3 3 2 3 2 3 3" xfId="4371" xr:uid="{90F8BBDC-4913-42AD-8954-D0D42B3BD625}"/>
    <cellStyle name="Normal 3 3 2 3 2 4" xfId="2413" xr:uid="{7A6D1666-9648-42A7-AC88-77972A58FBF3}"/>
    <cellStyle name="Normal 3 3 2 3 2 4 2" xfId="4848" xr:uid="{AC157069-8C19-4E77-A127-839C6252BD02}"/>
    <cellStyle name="Normal 3 3 2 3 2 5" xfId="3978" xr:uid="{6C583C14-8B6D-4159-BD95-E143BEA2F79A}"/>
    <cellStyle name="Normal 3 3 2 3 3" xfId="1380" xr:uid="{F6C2FBA6-EAF3-4873-AB26-5A40827081E1}"/>
    <cellStyle name="Normal 3 3 2 3 3 2" xfId="1381" xr:uid="{81E4CBD5-D859-45ED-92E5-0D4C865BEE2C}"/>
    <cellStyle name="Normal 3 3 2 3 3 2 2" xfId="2025" xr:uid="{05D37E65-D135-4D09-B980-81C8158AFF78}"/>
    <cellStyle name="Normal 3 3 2 3 3 2 2 2" xfId="2863" xr:uid="{7CED1F02-CB70-436E-B661-E06EDB06714E}"/>
    <cellStyle name="Normal 3 3 2 3 3 2 2 2 2" xfId="5298" xr:uid="{0BF82CD9-3991-4A34-828D-DC8F230ACB00}"/>
    <cellStyle name="Normal 3 3 2 3 3 2 2 3" xfId="4542" xr:uid="{EE5FFFED-74C5-4D69-842C-5E9FACE0DD85}"/>
    <cellStyle name="Normal 3 3 2 3 3 2 3" xfId="2416" xr:uid="{FCC0642B-1893-450F-B0D0-12F23CD024E9}"/>
    <cellStyle name="Normal 3 3 2 3 3 2 3 2" xfId="4851" xr:uid="{746E3F40-D99D-4BE1-8C2F-CA1CCC1E1FBF}"/>
    <cellStyle name="Normal 3 3 2 3 3 2 4" xfId="3981" xr:uid="{C222E611-3BD3-47CD-9503-1830EAF9FBE8}"/>
    <cellStyle name="Normal 3 3 2 3 3 3" xfId="1855" xr:uid="{FC30AD62-46E4-4415-9080-14FA74A8FD3B}"/>
    <cellStyle name="Normal 3 3 2 3 3 3 2" xfId="2693" xr:uid="{AD6C90D9-AC05-4EF0-AFF1-0640321E6AA6}"/>
    <cellStyle name="Normal 3 3 2 3 3 3 2 2" xfId="5128" xr:uid="{26CA5FB4-0B2F-4F99-A331-6408EC92D6CE}"/>
    <cellStyle name="Normal 3 3 2 3 3 3 3" xfId="4372" xr:uid="{A40F1059-4810-455E-8254-9575C5D9145C}"/>
    <cellStyle name="Normal 3 3 2 3 3 4" xfId="2415" xr:uid="{C64228C9-551A-4644-80FF-CFB09AA9E5AD}"/>
    <cellStyle name="Normal 3 3 2 3 3 4 2" xfId="4850" xr:uid="{639C9D9F-90CA-4320-AA94-2D36B6B2C69A}"/>
    <cellStyle name="Normal 3 3 2 3 3 5" xfId="3980" xr:uid="{4DDCCD19-BDF2-4397-A60C-6A316C892286}"/>
    <cellStyle name="Normal 3 3 2 3 4" xfId="1382" xr:uid="{9A8FAC42-F61A-4F8A-B54C-5F576BC2168C}"/>
    <cellStyle name="Normal 3 3 2 3 4 2" xfId="2023" xr:uid="{9FBB4BC7-0355-43DC-9F93-0171F73DB762}"/>
    <cellStyle name="Normal 3 3 2 3 4 2 2" xfId="2861" xr:uid="{9BA7ABA5-3356-4BB9-940C-39D82CAC4D5E}"/>
    <cellStyle name="Normal 3 3 2 3 4 2 2 2" xfId="5296" xr:uid="{BB7D5683-C5E9-436F-8674-CF94D727990F}"/>
    <cellStyle name="Normal 3 3 2 3 4 2 3" xfId="4540" xr:uid="{06C2B971-72A2-4AC5-9677-6E8C4DBDF261}"/>
    <cellStyle name="Normal 3 3 2 3 4 3" xfId="2417" xr:uid="{1B08934E-3BC1-4031-B3F4-1475FC4A1A33}"/>
    <cellStyle name="Normal 3 3 2 3 4 3 2" xfId="4852" xr:uid="{67DD652C-0998-4BE8-8514-9DB40450567D}"/>
    <cellStyle name="Normal 3 3 2 3 4 4" xfId="3982" xr:uid="{152B70FB-BF31-427F-B33B-0BF7371CA649}"/>
    <cellStyle name="Normal 3 3 2 3 5" xfId="1853" xr:uid="{9C65F635-5E9D-499D-9153-18F3A47E9B6E}"/>
    <cellStyle name="Normal 3 3 2 3 5 2" xfId="2691" xr:uid="{7727E666-B809-476D-B1C8-FABF24DFADB1}"/>
    <cellStyle name="Normal 3 3 2 3 5 2 2" xfId="5126" xr:uid="{90DDC1CC-7FBE-403B-9959-DB451923D97D}"/>
    <cellStyle name="Normal 3 3 2 3 5 3" xfId="4370" xr:uid="{BF331C17-CD4B-4A6C-8021-05C21D9FE6D4}"/>
    <cellStyle name="Normal 3 3 2 3 6" xfId="2412" xr:uid="{B9C594A7-0C53-4361-9AD9-65C2E7B033BB}"/>
    <cellStyle name="Normal 3 3 2 3 6 2" xfId="4847" xr:uid="{187750B3-692C-42E1-A49A-B4BDF222E179}"/>
    <cellStyle name="Normal 3 3 2 3 7" xfId="3977" xr:uid="{444555AC-528B-4049-895A-0E439ED8B1A9}"/>
    <cellStyle name="Normal 3 3 2 4" xfId="1383" xr:uid="{0F19C2C0-6E4D-4772-8918-8CA18A7B3711}"/>
    <cellStyle name="Normal 3 3 2 4 2" xfId="1384" xr:uid="{19D776C1-8855-4909-868A-0F9451498F46}"/>
    <cellStyle name="Normal 3 3 2 4 2 2" xfId="2026" xr:uid="{76412578-90D6-4D5E-8697-53219052C296}"/>
    <cellStyle name="Normal 3 3 2 4 2 2 2" xfId="2864" xr:uid="{5B52B92D-31BB-44EA-8328-7F035AF28FE1}"/>
    <cellStyle name="Normal 3 3 2 4 2 2 2 2" xfId="5299" xr:uid="{A33683F7-DA3F-414B-B231-97014C1DE06B}"/>
    <cellStyle name="Normal 3 3 2 4 2 2 3" xfId="4543" xr:uid="{CB0C3EAF-E883-4CEA-99FE-B34B65A7201F}"/>
    <cellStyle name="Normal 3 3 2 4 2 3" xfId="2419" xr:uid="{E1A1F1D1-F1F2-4C72-932B-4C6E7AE35F3F}"/>
    <cellStyle name="Normal 3 3 2 4 2 3 2" xfId="4854" xr:uid="{D2C03B6D-3EFD-4350-9497-C2C8329DF70A}"/>
    <cellStyle name="Normal 3 3 2 4 2 4" xfId="3984" xr:uid="{527D145A-A673-458C-87B1-0EE393FE69F8}"/>
    <cellStyle name="Normal 3 3 2 4 3" xfId="1856" xr:uid="{D1FEC553-A1B0-4DC3-A991-D91157B3F9DA}"/>
    <cellStyle name="Normal 3 3 2 4 3 2" xfId="2694" xr:uid="{7E416316-F6F2-495C-B81D-C65859CC9E40}"/>
    <cellStyle name="Normal 3 3 2 4 3 2 2" xfId="5129" xr:uid="{3D9EFB13-80E3-46A9-9C38-AF06AE376D21}"/>
    <cellStyle name="Normal 3 3 2 4 3 3" xfId="4373" xr:uid="{702ACB96-24C4-4B31-A47B-36F12C43A89A}"/>
    <cellStyle name="Normal 3 3 2 4 4" xfId="2418" xr:uid="{D5ECD61F-6467-4E80-95C9-5D4CB13401A4}"/>
    <cellStyle name="Normal 3 3 2 4 4 2" xfId="4853" xr:uid="{773EDEB5-FB7F-46D9-A806-090FB40BE244}"/>
    <cellStyle name="Normal 3 3 2 4 5" xfId="3983" xr:uid="{3DD5E243-70CF-46B5-9A75-87BBE6AF5F86}"/>
    <cellStyle name="Normal 3 3 2 5" xfId="1385" xr:uid="{12532105-58D3-49AF-9BC8-CDDDDDF81BC6}"/>
    <cellStyle name="Normal 3 3 2 5 2" xfId="1386" xr:uid="{49AB1983-DBDF-4870-ADA5-6D8EDF254443}"/>
    <cellStyle name="Normal 3 3 2 5 2 2" xfId="2027" xr:uid="{0BD12298-816D-4957-B9AB-7EB556C17262}"/>
    <cellStyle name="Normal 3 3 2 5 2 2 2" xfId="2865" xr:uid="{A430D704-F896-497A-88F4-A7A46619E113}"/>
    <cellStyle name="Normal 3 3 2 5 2 2 2 2" xfId="5300" xr:uid="{461B4B0F-7818-4C73-865A-D4F6AE0AA993}"/>
    <cellStyle name="Normal 3 3 2 5 2 2 3" xfId="4544" xr:uid="{1A2E0D5C-76CD-4E3D-BC1F-0B5D4E5D6AB4}"/>
    <cellStyle name="Normal 3 3 2 5 2 3" xfId="2421" xr:uid="{A238F1B8-F5A1-4B61-BE01-130FAB7EB180}"/>
    <cellStyle name="Normal 3 3 2 5 2 3 2" xfId="4856" xr:uid="{A5F1524A-77A2-40E2-93F4-6397AE469D64}"/>
    <cellStyle name="Normal 3 3 2 5 2 4" xfId="3986" xr:uid="{AAF868EB-BFC6-406E-BC83-CD0BB8017834}"/>
    <cellStyle name="Normal 3 3 2 5 3" xfId="1857" xr:uid="{E922040E-B319-4E1D-AB1A-3385045323B1}"/>
    <cellStyle name="Normal 3 3 2 5 3 2" xfId="2695" xr:uid="{4A7AA488-8438-4AB7-ACD2-7FFF3E3E804D}"/>
    <cellStyle name="Normal 3 3 2 5 3 2 2" xfId="5130" xr:uid="{D35B69BC-E0AA-464F-8220-C89AF0071AAD}"/>
    <cellStyle name="Normal 3 3 2 5 3 3" xfId="4374" xr:uid="{0F590E2F-0B8F-4BBD-BE32-3D157832F4C4}"/>
    <cellStyle name="Normal 3 3 2 5 4" xfId="2420" xr:uid="{BF628853-D550-4E12-A984-3F6B70FB361B}"/>
    <cellStyle name="Normal 3 3 2 5 4 2" xfId="4855" xr:uid="{9E117595-B52B-4FE7-8188-766E0F464C09}"/>
    <cellStyle name="Normal 3 3 2 5 5" xfId="3985" xr:uid="{E806296A-FA13-4174-A934-FAC45E240AD8}"/>
    <cellStyle name="Normal 3 3 2 6" xfId="1387" xr:uid="{5BB219D4-D48F-4498-B91C-A7F16D48247B}"/>
    <cellStyle name="Normal 3 3 2 6 2" xfId="2016" xr:uid="{9905FAB7-2B27-4EA8-AD42-55ED7182DC33}"/>
    <cellStyle name="Normal 3 3 2 6 2 2" xfId="2854" xr:uid="{7CEA0144-721C-45AB-9D0C-85E0D6F55EAA}"/>
    <cellStyle name="Normal 3 3 2 6 2 2 2" xfId="5289" xr:uid="{2C5FE015-E818-40B1-AA79-34CF34F52633}"/>
    <cellStyle name="Normal 3 3 2 6 2 3" xfId="4533" xr:uid="{E5CF073B-BA18-45A4-97A4-AB272141F422}"/>
    <cellStyle name="Normal 3 3 2 6 3" xfId="2422" xr:uid="{DF796354-4C57-412C-B9F4-627198409566}"/>
    <cellStyle name="Normal 3 3 2 6 3 2" xfId="4857" xr:uid="{A542B101-D715-436B-BE9F-DEDDC4581CB4}"/>
    <cellStyle name="Normal 3 3 2 6 4" xfId="3987" xr:uid="{DBFF707F-2829-4743-B7EC-716B2DAE501A}"/>
    <cellStyle name="Normal 3 3 2 7" xfId="1846" xr:uid="{6BDD0BF2-E45F-4E0A-BD10-A1E9C3B40713}"/>
    <cellStyle name="Normal 3 3 2 7 2" xfId="2684" xr:uid="{7B7DBCF5-5107-4509-8D53-EE9EA18B6B10}"/>
    <cellStyle name="Normal 3 3 2 7 2 2" xfId="5119" xr:uid="{FF0FB19D-FDF5-4BEC-92C8-B4447A380F25}"/>
    <cellStyle name="Normal 3 3 2 7 3" xfId="4363" xr:uid="{188DD831-92FC-4DAB-BB77-46DD82D11423}"/>
    <cellStyle name="Normal 3 3 2 8" xfId="2399" xr:uid="{E5E68E8B-5AB2-480E-8AA3-9EBFF56075C8}"/>
    <cellStyle name="Normal 3 3 2 8 2" xfId="4834" xr:uid="{03A5807C-CA3B-4371-A8D0-A71BE955F933}"/>
    <cellStyle name="Normal 3 3 2 9" xfId="3964" xr:uid="{EE98FE74-D3E2-4BEE-BA29-98104272FA1D}"/>
    <cellStyle name="Normal 3 3 3" xfId="1388" xr:uid="{0CC65822-6018-4AD3-BEED-50B108768825}"/>
    <cellStyle name="Normal 3 3 3 2" xfId="1389" xr:uid="{B345805B-BE29-4320-B23D-2CF59B80C1D1}"/>
    <cellStyle name="Normal 3 3 3 2 2" xfId="1390" xr:uid="{2E1CECD1-05D0-4658-AC67-93CF9F2E7544}"/>
    <cellStyle name="Normal 3 3 3 2 2 2" xfId="1391" xr:uid="{EF5E57FD-207F-4D76-9618-4DB94125D63F}"/>
    <cellStyle name="Normal 3 3 3 2 2 2 2" xfId="2030" xr:uid="{550C94AB-C523-4C67-9316-705C9A62EBEA}"/>
    <cellStyle name="Normal 3 3 3 2 2 2 2 2" xfId="2868" xr:uid="{E6A62025-7119-4CE5-B580-C5195A05AAF3}"/>
    <cellStyle name="Normal 3 3 3 2 2 2 2 2 2" xfId="5303" xr:uid="{C6A2EE3B-9F8C-491A-99E0-EDC66D68CF64}"/>
    <cellStyle name="Normal 3 3 3 2 2 2 2 3" xfId="4547" xr:uid="{389BC446-A80B-4FDA-B624-DFE5237BF46C}"/>
    <cellStyle name="Normal 3 3 3 2 2 2 3" xfId="2426" xr:uid="{395D0B2B-CC10-44EF-87F1-B6016282C20A}"/>
    <cellStyle name="Normal 3 3 3 2 2 2 3 2" xfId="4861" xr:uid="{9440481D-FF4F-4FEC-B6BD-931ACC6130E9}"/>
    <cellStyle name="Normal 3 3 3 2 2 2 4" xfId="3991" xr:uid="{31E09830-7B40-4E49-8601-ACC6AEF03538}"/>
    <cellStyle name="Normal 3 3 3 2 2 3" xfId="1860" xr:uid="{66A1C5AF-BE81-4661-ACEF-FA20ED04C7B2}"/>
    <cellStyle name="Normal 3 3 3 2 2 3 2" xfId="2698" xr:uid="{F798B1E1-E16A-41C9-9006-D8FA9D43D97E}"/>
    <cellStyle name="Normal 3 3 3 2 2 3 2 2" xfId="5133" xr:uid="{6A3E46B3-B3F8-4026-BBC1-A9AFD67D6351}"/>
    <cellStyle name="Normal 3 3 3 2 2 3 3" xfId="4377" xr:uid="{8F31EAF1-6906-45F9-B7B9-DA948DAE433B}"/>
    <cellStyle name="Normal 3 3 3 2 2 4" xfId="2425" xr:uid="{454470E2-1D82-43E9-876C-A18D007F2B3B}"/>
    <cellStyle name="Normal 3 3 3 2 2 4 2" xfId="4860" xr:uid="{A697C5EA-E1AA-4E1C-8195-6331829C6DAA}"/>
    <cellStyle name="Normal 3 3 3 2 2 5" xfId="3990" xr:uid="{9411DCE0-B1C2-41C6-BBF8-3CBF7B05EE26}"/>
    <cellStyle name="Normal 3 3 3 2 3" xfId="1392" xr:uid="{C0AEAA8D-ACF9-42AD-9D74-60113D77D974}"/>
    <cellStyle name="Normal 3 3 3 2 3 2" xfId="1393" xr:uid="{86B77B54-7DA7-4C48-ADF5-E9627230FD7C}"/>
    <cellStyle name="Normal 3 3 3 2 3 2 2" xfId="2031" xr:uid="{3BC38A8C-B6D4-49B4-850A-8D0277C90846}"/>
    <cellStyle name="Normal 3 3 3 2 3 2 2 2" xfId="2869" xr:uid="{4A4CF0BD-3E23-45FE-ACCA-8A46082EFB2F}"/>
    <cellStyle name="Normal 3 3 3 2 3 2 2 2 2" xfId="5304" xr:uid="{AE6AE019-4EB6-49EF-B952-BC3CBB9D3B4A}"/>
    <cellStyle name="Normal 3 3 3 2 3 2 2 3" xfId="4548" xr:uid="{8E2F33A5-68F4-4052-8353-0C32862DB887}"/>
    <cellStyle name="Normal 3 3 3 2 3 2 3" xfId="2428" xr:uid="{AD9E1390-C0F9-439D-942B-6C0CC94BAD72}"/>
    <cellStyle name="Normal 3 3 3 2 3 2 3 2" xfId="4863" xr:uid="{758CB285-FC5D-4C1B-B125-5B18D329966F}"/>
    <cellStyle name="Normal 3 3 3 2 3 2 4" xfId="3993" xr:uid="{A9830622-29F3-4DB5-A7A8-7985C50B9EED}"/>
    <cellStyle name="Normal 3 3 3 2 3 3" xfId="1861" xr:uid="{20541832-2B18-4F4B-A48D-B402CC58A4C1}"/>
    <cellStyle name="Normal 3 3 3 2 3 3 2" xfId="2699" xr:uid="{A8D329B8-30CE-4E9A-B2DA-179CAF57AFE0}"/>
    <cellStyle name="Normal 3 3 3 2 3 3 2 2" xfId="5134" xr:uid="{5AA61746-7643-44FD-B299-32233CFBB64D}"/>
    <cellStyle name="Normal 3 3 3 2 3 3 3" xfId="4378" xr:uid="{F334818A-E174-43A8-B1F0-5187E80F2A16}"/>
    <cellStyle name="Normal 3 3 3 2 3 4" xfId="2427" xr:uid="{ECA72615-EB3A-47CF-A092-0D2D656471F0}"/>
    <cellStyle name="Normal 3 3 3 2 3 4 2" xfId="4862" xr:uid="{F25C970F-8AF2-4BF9-A2BB-0A10116F2BF3}"/>
    <cellStyle name="Normal 3 3 3 2 3 5" xfId="3992" xr:uid="{E26E5103-39B2-4121-AB66-B669225264FD}"/>
    <cellStyle name="Normal 3 3 3 2 4" xfId="1394" xr:uid="{C2B78745-F30F-4956-B81F-AC5714F8853A}"/>
    <cellStyle name="Normal 3 3 3 2 4 2" xfId="2029" xr:uid="{6B1AA520-7702-4AE5-BD72-5CC570389C94}"/>
    <cellStyle name="Normal 3 3 3 2 4 2 2" xfId="2867" xr:uid="{943266A9-52E9-431F-B60B-257E8A8E28E7}"/>
    <cellStyle name="Normal 3 3 3 2 4 2 2 2" xfId="5302" xr:uid="{B5ECC629-A1B5-4359-93DE-AB7D11E95826}"/>
    <cellStyle name="Normal 3 3 3 2 4 2 3" xfId="4546" xr:uid="{F149AA8B-887F-45DB-84CC-06FD7CCBD622}"/>
    <cellStyle name="Normal 3 3 3 2 4 3" xfId="2429" xr:uid="{C935C4C2-0808-4228-B207-F70C348BF360}"/>
    <cellStyle name="Normal 3 3 3 2 4 3 2" xfId="4864" xr:uid="{812521F2-50B5-4EC0-AF06-3DB30EA31028}"/>
    <cellStyle name="Normal 3 3 3 2 4 4" xfId="3994" xr:uid="{F5C8DF2C-E506-4110-BA77-DC00197F2F2E}"/>
    <cellStyle name="Normal 3 3 3 2 5" xfId="1859" xr:uid="{FAA60FC3-FCDB-44F1-A024-494A1A71947A}"/>
    <cellStyle name="Normal 3 3 3 2 5 2" xfId="2697" xr:uid="{B2E6B3E8-4FFB-4B58-8340-BE41D06C4338}"/>
    <cellStyle name="Normal 3 3 3 2 5 2 2" xfId="5132" xr:uid="{F490E469-4BCF-4FCF-A470-13AD3FB14597}"/>
    <cellStyle name="Normal 3 3 3 2 5 3" xfId="4376" xr:uid="{9455BE75-D352-452B-936A-1C25D32E5FD2}"/>
    <cellStyle name="Normal 3 3 3 2 6" xfId="2424" xr:uid="{BD724376-33AB-46C7-8556-2ACBACC54D87}"/>
    <cellStyle name="Normal 3 3 3 2 6 2" xfId="4859" xr:uid="{57D990F2-9B13-44B1-971F-84A3B1FB7509}"/>
    <cellStyle name="Normal 3 3 3 2 7" xfId="3989" xr:uid="{BEB287E9-63E6-40B5-BD04-BB3775E59C72}"/>
    <cellStyle name="Normal 3 3 3 3" xfId="1395" xr:uid="{ABF5A777-E298-4F3F-81BF-6D81D22425DB}"/>
    <cellStyle name="Normal 3 3 3 3 2" xfId="1396" xr:uid="{023CBD84-C0DC-48AB-81D7-5DACAF5EA25A}"/>
    <cellStyle name="Normal 3 3 3 3 2 2" xfId="2032" xr:uid="{9C113D9A-1ADB-4654-B1D4-309365077908}"/>
    <cellStyle name="Normal 3 3 3 3 2 2 2" xfId="2870" xr:uid="{9FDB09DE-C31E-4202-B469-DF10A5E3A6A6}"/>
    <cellStyle name="Normal 3 3 3 3 2 2 2 2" xfId="5305" xr:uid="{991D45FB-314F-4AA5-9CB2-D4B871C2099E}"/>
    <cellStyle name="Normal 3 3 3 3 2 2 3" xfId="4549" xr:uid="{6AED4C29-00EF-4DAE-B391-D84A8633F9D6}"/>
    <cellStyle name="Normal 3 3 3 3 2 3" xfId="2431" xr:uid="{6736E1B7-5F31-40AE-B49A-6CE381573624}"/>
    <cellStyle name="Normal 3 3 3 3 2 3 2" xfId="4866" xr:uid="{356B823C-B1D9-4791-A219-5EA9D60B7650}"/>
    <cellStyle name="Normal 3 3 3 3 2 4" xfId="3996" xr:uid="{0FA178D6-BA45-4F8D-8010-A4D65657EC70}"/>
    <cellStyle name="Normal 3 3 3 3 3" xfId="1862" xr:uid="{BD96C497-2099-4EED-AB7E-A7F04C07BC08}"/>
    <cellStyle name="Normal 3 3 3 3 3 2" xfId="2700" xr:uid="{451C3D7B-96D5-4131-8F7E-A85808D0292A}"/>
    <cellStyle name="Normal 3 3 3 3 3 2 2" xfId="5135" xr:uid="{10DB7200-3D1A-49DF-AB27-566013AA5770}"/>
    <cellStyle name="Normal 3 3 3 3 3 3" xfId="4379" xr:uid="{E29B75B2-393B-452E-A9A2-16962696D0F7}"/>
    <cellStyle name="Normal 3 3 3 3 4" xfId="2430" xr:uid="{A5BCB04E-D70E-4BB0-B10A-BB65972E7B29}"/>
    <cellStyle name="Normal 3 3 3 3 4 2" xfId="4865" xr:uid="{819E1D14-1074-44DC-A92F-B776C73C8F2C}"/>
    <cellStyle name="Normal 3 3 3 3 5" xfId="3995" xr:uid="{52DB22B3-B095-49EC-B9EB-03C5FA58C378}"/>
    <cellStyle name="Normal 3 3 3 4" xfId="1397" xr:uid="{40BD5AE2-3EBE-4349-BF30-979A77A63EE8}"/>
    <cellStyle name="Normal 3 3 3 4 2" xfId="1398" xr:uid="{10EEEA97-B10D-4341-BCEB-067984293A34}"/>
    <cellStyle name="Normal 3 3 3 4 2 2" xfId="2033" xr:uid="{9CA62220-2C57-44C3-B214-04D21803E4E0}"/>
    <cellStyle name="Normal 3 3 3 4 2 2 2" xfId="2871" xr:uid="{01F7842F-B05F-4314-BC6B-1652097BA9A1}"/>
    <cellStyle name="Normal 3 3 3 4 2 2 2 2" xfId="5306" xr:uid="{1E9F2FA6-6BD3-4E18-948E-1761DCAA92CB}"/>
    <cellStyle name="Normal 3 3 3 4 2 2 3" xfId="4550" xr:uid="{D28CBA88-1C0B-425D-94B3-9195BD68AB92}"/>
    <cellStyle name="Normal 3 3 3 4 2 3" xfId="2433" xr:uid="{1BE9D149-0876-4D3B-9302-153A8DE0EE07}"/>
    <cellStyle name="Normal 3 3 3 4 2 3 2" xfId="4868" xr:uid="{2E7BFFD2-BFD8-40A9-9255-3C0DB530CBE9}"/>
    <cellStyle name="Normal 3 3 3 4 2 4" xfId="3998" xr:uid="{3D3EBB32-7C9C-4C1D-8C7E-14725521C0FE}"/>
    <cellStyle name="Normal 3 3 3 4 3" xfId="1863" xr:uid="{C570D1D8-2225-457A-96CB-A21D9BEE642B}"/>
    <cellStyle name="Normal 3 3 3 4 3 2" xfId="2701" xr:uid="{8014204A-1F6B-4B38-AC9F-BE6AD705BFF2}"/>
    <cellStyle name="Normal 3 3 3 4 3 2 2" xfId="5136" xr:uid="{38D29A9B-8BFC-4DA7-ADC8-8F4261F5CFF2}"/>
    <cellStyle name="Normal 3 3 3 4 3 3" xfId="4380" xr:uid="{AA2C09F5-9844-48CE-96F5-2822CEE9D204}"/>
    <cellStyle name="Normal 3 3 3 4 4" xfId="2432" xr:uid="{56DA3CAC-4A9A-4776-9A77-0D1CA609C84F}"/>
    <cellStyle name="Normal 3 3 3 4 4 2" xfId="4867" xr:uid="{AA037899-3F5C-4712-AB18-94844E8F98FC}"/>
    <cellStyle name="Normal 3 3 3 4 5" xfId="3997" xr:uid="{0886BDAB-C692-4970-BA48-A05E027F1F96}"/>
    <cellStyle name="Normal 3 3 3 5" xfId="1399" xr:uid="{2FD49DC2-8403-458F-9495-3E73A964CD30}"/>
    <cellStyle name="Normal 3 3 3 5 2" xfId="2028" xr:uid="{9D20D726-B842-45A3-B257-0F3C38CD7791}"/>
    <cellStyle name="Normal 3 3 3 5 2 2" xfId="2866" xr:uid="{6BE51D6A-5597-4B91-8E1A-C55BA69BC2B9}"/>
    <cellStyle name="Normal 3 3 3 5 2 2 2" xfId="5301" xr:uid="{BE8354C1-27F7-4B10-8577-30F4AA6EF530}"/>
    <cellStyle name="Normal 3 3 3 5 2 3" xfId="4545" xr:uid="{0E3F18AA-BD8A-49EA-8BAD-748C40E2B485}"/>
    <cellStyle name="Normal 3 3 3 5 3" xfId="2434" xr:uid="{CD7AC8E3-BFE9-4917-8755-91CA8F57B55C}"/>
    <cellStyle name="Normal 3 3 3 5 3 2" xfId="4869" xr:uid="{CD6941E3-08C3-4FAC-AC36-4F103519694A}"/>
    <cellStyle name="Normal 3 3 3 5 4" xfId="3999" xr:uid="{05415FA5-A476-470D-800A-49C8E2BBB891}"/>
    <cellStyle name="Normal 3 3 3 6" xfId="1858" xr:uid="{1F3B2A2B-BEE2-41A8-9892-7ADF7D2AC059}"/>
    <cellStyle name="Normal 3 3 3 6 2" xfId="2696" xr:uid="{EF5F2BC7-5C81-494B-A88A-8DFFC1203ACE}"/>
    <cellStyle name="Normal 3 3 3 6 2 2" xfId="5131" xr:uid="{2652E7DD-6D9C-43B2-8435-BA2F4A7D0934}"/>
    <cellStyle name="Normal 3 3 3 6 3" xfId="4375" xr:uid="{A03ADE6C-ECEB-4C9D-8597-F77A02A1796C}"/>
    <cellStyle name="Normal 3 3 3 7" xfId="2423" xr:uid="{56A04BB6-FB35-4914-91C2-D54F894C9F87}"/>
    <cellStyle name="Normal 3 3 3 7 2" xfId="4858" xr:uid="{BE0109C5-8080-498A-A191-4EDB1F10C686}"/>
    <cellStyle name="Normal 3 3 3 8" xfId="3988" xr:uid="{6025AE90-5BD1-4BF2-B1EA-3C9E9783F915}"/>
    <cellStyle name="Normal 3 3 4" xfId="1400" xr:uid="{29872488-CEAF-4C2C-93A6-44F222264F6A}"/>
    <cellStyle name="Normal 3 3 4 2" xfId="1401" xr:uid="{841D2281-2D89-4917-A61E-78EEE297ACD8}"/>
    <cellStyle name="Normal 3 3 4 2 2" xfId="1402" xr:uid="{78ABC845-D82D-4A48-AA17-B76E92CBFD5D}"/>
    <cellStyle name="Normal 3 3 4 2 2 2" xfId="2035" xr:uid="{FF942B22-9338-42F5-A179-4E56B1628873}"/>
    <cellStyle name="Normal 3 3 4 2 2 2 2" xfId="2873" xr:uid="{075A1E6F-0CC4-4401-9044-B22B7C274A5E}"/>
    <cellStyle name="Normal 3 3 4 2 2 2 2 2" xfId="5308" xr:uid="{CDA9CACB-A5A7-4BD9-BB5E-C3A3E3752C40}"/>
    <cellStyle name="Normal 3 3 4 2 2 2 3" xfId="4552" xr:uid="{1CE1B4F0-B1E5-4C6D-8368-291DE7ADF0ED}"/>
    <cellStyle name="Normal 3 3 4 2 2 3" xfId="2437" xr:uid="{0742E5C0-69C4-424A-8120-54366EAF181D}"/>
    <cellStyle name="Normal 3 3 4 2 2 3 2" xfId="4872" xr:uid="{2E8D8213-75AC-4C63-B6FF-87DD058CFDBB}"/>
    <cellStyle name="Normal 3 3 4 2 2 4" xfId="4002" xr:uid="{96695B27-E661-4EAE-A0BC-E7057E8662FD}"/>
    <cellStyle name="Normal 3 3 4 2 3" xfId="1865" xr:uid="{0E495B2C-90D0-4009-94EF-EC301167B00F}"/>
    <cellStyle name="Normal 3 3 4 2 3 2" xfId="2703" xr:uid="{7D48FB6B-431E-42FD-BAED-E41DA294F96D}"/>
    <cellStyle name="Normal 3 3 4 2 3 2 2" xfId="5138" xr:uid="{7EA30154-FAE9-43D5-8BBB-DCE6516F8D16}"/>
    <cellStyle name="Normal 3 3 4 2 3 3" xfId="4382" xr:uid="{106F64E7-0999-4E64-B966-133B967B2000}"/>
    <cellStyle name="Normal 3 3 4 2 4" xfId="2436" xr:uid="{B3C652F5-1485-4E28-B60E-A7C42A3E1AA0}"/>
    <cellStyle name="Normal 3 3 4 2 4 2" xfId="4871" xr:uid="{BBA05002-8547-45E6-92A3-7DA3C3E1BD91}"/>
    <cellStyle name="Normal 3 3 4 2 5" xfId="4001" xr:uid="{E6DBAC2A-CBD9-4C38-B5BA-B53E15E4804A}"/>
    <cellStyle name="Normal 3 3 4 3" xfId="1403" xr:uid="{A5592C36-CB1F-44FB-8C6A-FC65247DA472}"/>
    <cellStyle name="Normal 3 3 4 3 2" xfId="1404" xr:uid="{A0772FB0-1E0D-4BF8-B349-9B855F668DAA}"/>
    <cellStyle name="Normal 3 3 4 3 2 2" xfId="2036" xr:uid="{3062394D-17C7-4FF2-8E7E-D375DBF096C4}"/>
    <cellStyle name="Normal 3 3 4 3 2 2 2" xfId="2874" xr:uid="{ED0D24A5-8DA6-4355-A708-27020363E5F3}"/>
    <cellStyle name="Normal 3 3 4 3 2 2 2 2" xfId="5309" xr:uid="{64A8DD5D-61CD-4134-B53F-9D66EC9E8265}"/>
    <cellStyle name="Normal 3 3 4 3 2 2 3" xfId="4553" xr:uid="{1F80C74C-EEF9-4B28-991E-4A011753EF6E}"/>
    <cellStyle name="Normal 3 3 4 3 2 3" xfId="2439" xr:uid="{C1F648FC-3491-4D78-9A89-0ECCADFA62E1}"/>
    <cellStyle name="Normal 3 3 4 3 2 3 2" xfId="4874" xr:uid="{2D46E281-0A7B-4277-B615-D769A0AABBBB}"/>
    <cellStyle name="Normal 3 3 4 3 2 4" xfId="4004" xr:uid="{FA78B8FD-0E93-4D2F-AD29-C9AFB555B93D}"/>
    <cellStyle name="Normal 3 3 4 3 3" xfId="1866" xr:uid="{9F15135D-A294-49DC-8E42-0AE9EA58360F}"/>
    <cellStyle name="Normal 3 3 4 3 3 2" xfId="2704" xr:uid="{5027414D-5065-4A3F-8B0C-84A7DA1A1E80}"/>
    <cellStyle name="Normal 3 3 4 3 3 2 2" xfId="5139" xr:uid="{4B3A4620-B19C-4500-91BC-D4D78AC89A5F}"/>
    <cellStyle name="Normal 3 3 4 3 3 3" xfId="4383" xr:uid="{42EA3D69-2AF8-4984-8445-FE7682362371}"/>
    <cellStyle name="Normal 3 3 4 3 4" xfId="2438" xr:uid="{E9C082EB-1113-4281-A477-9A8EB0A9C642}"/>
    <cellStyle name="Normal 3 3 4 3 4 2" xfId="4873" xr:uid="{D1B224F0-C220-408E-A9CC-951D8A0F9039}"/>
    <cellStyle name="Normal 3 3 4 3 5" xfId="4003" xr:uid="{BAEAE8A4-92CA-4D39-917C-0712B538FEE1}"/>
    <cellStyle name="Normal 3 3 4 4" xfId="1405" xr:uid="{665917CD-2E1F-4E26-B8FF-F7C883159E4C}"/>
    <cellStyle name="Normal 3 3 4 4 2" xfId="2034" xr:uid="{79D50425-2DD0-4864-A2E2-1C7AB1809674}"/>
    <cellStyle name="Normal 3 3 4 4 2 2" xfId="2872" xr:uid="{094525CE-C14F-488B-A871-9C3B16D6254A}"/>
    <cellStyle name="Normal 3 3 4 4 2 2 2" xfId="5307" xr:uid="{67E188FD-A467-41F9-A404-8708BC9BD2C8}"/>
    <cellStyle name="Normal 3 3 4 4 2 3" xfId="4551" xr:uid="{5FD7498E-45C3-469C-B481-3800972CD594}"/>
    <cellStyle name="Normal 3 3 4 4 3" xfId="2440" xr:uid="{62050D8D-BE12-41D5-828E-0359566B4F78}"/>
    <cellStyle name="Normal 3 3 4 4 3 2" xfId="4875" xr:uid="{FE8020A5-E1CB-42DB-B143-987C1FA799F5}"/>
    <cellStyle name="Normal 3 3 4 4 4" xfId="4005" xr:uid="{9EE4D275-7ACF-4027-9F44-6EC4030A2CFE}"/>
    <cellStyle name="Normal 3 3 4 5" xfId="1864" xr:uid="{2BA38CFC-E470-433E-89DB-19B166968F03}"/>
    <cellStyle name="Normal 3 3 4 5 2" xfId="2702" xr:uid="{D2EC385D-B0D6-4FC8-8141-96DAF805DFCE}"/>
    <cellStyle name="Normal 3 3 4 5 2 2" xfId="5137" xr:uid="{7F725ECD-6F11-48ED-8F44-0A568D00CD6F}"/>
    <cellStyle name="Normal 3 3 4 5 3" xfId="4381" xr:uid="{0F80D9B4-F7FC-4A2B-9C6B-2EE56E1D1917}"/>
    <cellStyle name="Normal 3 3 4 6" xfId="2435" xr:uid="{A8FFF776-9E46-423C-9D14-26A7E5F83A0D}"/>
    <cellStyle name="Normal 3 3 4 6 2" xfId="4870" xr:uid="{61A98453-D359-4660-90F8-D8AAC76A79A1}"/>
    <cellStyle name="Normal 3 3 4 7" xfId="4000" xr:uid="{9778C4BF-EAED-40DA-93A1-3BFA90CBCD5F}"/>
    <cellStyle name="Normal 3 3 5" xfId="1406" xr:uid="{64513D89-4C41-427E-80C6-2EFE86A03ECA}"/>
    <cellStyle name="Normal 3 3 5 2" xfId="1407" xr:uid="{A31384D3-45D7-4925-8E49-5F2347F08324}"/>
    <cellStyle name="Normal 3 3 5 2 2" xfId="2037" xr:uid="{C3B00606-65B8-407F-9E6C-CCB43FB6F67F}"/>
    <cellStyle name="Normal 3 3 5 2 2 2" xfId="2875" xr:uid="{4167371A-27A7-4570-A701-9D0A70377591}"/>
    <cellStyle name="Normal 3 3 5 2 2 2 2" xfId="5310" xr:uid="{5D001594-6455-46D7-AC75-0E1D7DBCC1EE}"/>
    <cellStyle name="Normal 3 3 5 2 2 3" xfId="4554" xr:uid="{A4A71CCD-357D-418E-9843-234203213E44}"/>
    <cellStyle name="Normal 3 3 5 2 3" xfId="2442" xr:uid="{E66ADC8B-3B10-4BB5-8FD0-A017042AFC0E}"/>
    <cellStyle name="Normal 3 3 5 2 3 2" xfId="4877" xr:uid="{263465DB-33FD-4B57-8E1A-0F003ACF9737}"/>
    <cellStyle name="Normal 3 3 5 2 4" xfId="4007" xr:uid="{82618909-4CE7-466C-ABDE-081D7DF8A914}"/>
    <cellStyle name="Normal 3 3 5 3" xfId="1867" xr:uid="{81E0B588-9032-4944-91A5-3CA4A913426A}"/>
    <cellStyle name="Normal 3 3 5 3 2" xfId="2705" xr:uid="{E8FCBC92-FD4E-4BFF-9C7E-B3D16879693F}"/>
    <cellStyle name="Normal 3 3 5 3 2 2" xfId="5140" xr:uid="{E6EA6B0E-F7FE-4F6E-AF32-F33C59B72194}"/>
    <cellStyle name="Normal 3 3 5 3 3" xfId="4384" xr:uid="{8A5FA0B7-37E6-4F1F-A6B9-3EF7DABAA0F3}"/>
    <cellStyle name="Normal 3 3 5 4" xfId="2441" xr:uid="{B52838F8-FAEC-4C00-9B0E-CE2CB7FE4336}"/>
    <cellStyle name="Normal 3 3 5 4 2" xfId="4876" xr:uid="{BF11BA40-B360-4951-8CB0-83E7F7D06BAF}"/>
    <cellStyle name="Normal 3 3 5 5" xfId="4006" xr:uid="{09C50C48-2449-40E1-880E-6AA976330DDF}"/>
    <cellStyle name="Normal 3 3 6" xfId="1408" xr:uid="{FD3D6FCF-34A8-411A-8BE3-AFE7EC5716BB}"/>
    <cellStyle name="Normal 3 3 6 2" xfId="1409" xr:uid="{33737B73-3DE7-4A4C-BF5E-DCBA06100E7C}"/>
    <cellStyle name="Normal 3 3 6 2 2" xfId="2038" xr:uid="{9B8E0CC8-EC71-4EC1-87CB-A41937DC0C15}"/>
    <cellStyle name="Normal 3 3 6 2 2 2" xfId="2876" xr:uid="{38ACBA66-E1B2-4311-B31C-A6D19EFCEBAA}"/>
    <cellStyle name="Normal 3 3 6 2 2 2 2" xfId="5311" xr:uid="{AACC7517-FC02-47F9-BE82-2079831E27FD}"/>
    <cellStyle name="Normal 3 3 6 2 2 3" xfId="4555" xr:uid="{E268A843-69D5-415B-BC80-1992184E3619}"/>
    <cellStyle name="Normal 3 3 6 2 3" xfId="2444" xr:uid="{0B02FB7B-0676-4846-917E-9A93708FC029}"/>
    <cellStyle name="Normal 3 3 6 2 3 2" xfId="4879" xr:uid="{F909157F-98B5-41A7-AEF1-24D10C3A2915}"/>
    <cellStyle name="Normal 3 3 6 2 4" xfId="4009" xr:uid="{89DBD383-7F8F-4681-A986-AC3098BE95FB}"/>
    <cellStyle name="Normal 3 3 6 3" xfId="1868" xr:uid="{C5F39B25-5D2C-413F-8414-B90A7BC79881}"/>
    <cellStyle name="Normal 3 3 6 3 2" xfId="2706" xr:uid="{9771CDAC-AFD3-44AE-8B19-809F349A09BF}"/>
    <cellStyle name="Normal 3 3 6 3 2 2" xfId="5141" xr:uid="{A0939E39-24EC-4CD7-AF14-7442033417A6}"/>
    <cellStyle name="Normal 3 3 6 3 3" xfId="4385" xr:uid="{E16CEC21-4528-4F45-AAC5-EEC6E0AA0EB2}"/>
    <cellStyle name="Normal 3 3 6 4" xfId="2443" xr:uid="{4F9DFD65-C4EE-4042-A278-F91E2C27438C}"/>
    <cellStyle name="Normal 3 3 6 4 2" xfId="4878" xr:uid="{AF717E19-4357-417E-BC06-7133B057DBEF}"/>
    <cellStyle name="Normal 3 3 6 5" xfId="4008" xr:uid="{1BF2D357-7D01-49B5-A21A-B46E4A3FB8DB}"/>
    <cellStyle name="Normal 3 3 7" xfId="1410" xr:uid="{177FE0B9-15D3-4FD6-914A-15C5437B15A0}"/>
    <cellStyle name="Normal 3 3 7 2" xfId="2015" xr:uid="{F656B6F6-85C5-42B1-ADE5-D49436BB353F}"/>
    <cellStyle name="Normal 3 3 7 2 2" xfId="2853" xr:uid="{6DEEBB2A-9D42-4E8B-8833-01F69C7B1044}"/>
    <cellStyle name="Normal 3 3 7 2 2 2" xfId="5288" xr:uid="{284E1A21-61D9-4317-A2D4-CC9B946B549B}"/>
    <cellStyle name="Normal 3 3 7 2 3" xfId="4532" xr:uid="{EF9CDBA5-1E6D-417D-AB8B-D40CE9EB2CD7}"/>
    <cellStyle name="Normal 3 3 7 3" xfId="2445" xr:uid="{156F23E1-9503-4B67-88E7-A811E1B5605D}"/>
    <cellStyle name="Normal 3 3 7 3 2" xfId="4880" xr:uid="{F9AFEA38-455E-43B7-B076-2528CA9DCBB8}"/>
    <cellStyle name="Normal 3 3 7 4" xfId="4010" xr:uid="{AB765D11-6BEE-4E2C-B2C4-5D287FE75B99}"/>
    <cellStyle name="Normal 3 3 8" xfId="1845" xr:uid="{DA1D3347-50FA-4D55-ABF4-28F5780F8EA0}"/>
    <cellStyle name="Normal 3 3 8 2" xfId="2683" xr:uid="{5E2BB102-164E-41E0-88EC-8331CAEA81A9}"/>
    <cellStyle name="Normal 3 3 8 2 2" xfId="5118" xr:uid="{4C62DD1D-F18A-44A6-A0E1-16C25C044664}"/>
    <cellStyle name="Normal 3 3 8 3" xfId="4362" xr:uid="{D1D6D89F-1C97-455D-8E52-A8FD8AE11F22}"/>
    <cellStyle name="Normal 3 3 9" xfId="2238" xr:uid="{67223093-6D55-4D10-866E-FB3A7E3C7A67}"/>
    <cellStyle name="Normal 3 3 9 2" xfId="4707" xr:uid="{8338E768-8237-4084-804A-EC5363B9F671}"/>
    <cellStyle name="Normal 3 4" xfId="1411" xr:uid="{E07EF025-6392-49B2-9524-0A7ADE9084F0}"/>
    <cellStyle name="Normal 3 5" xfId="1412" xr:uid="{8026D960-26CA-4BC8-A610-A5D73AB6F664}"/>
    <cellStyle name="Normal 3 5 2" xfId="1971" xr:uid="{3154FD98-1B66-4C88-98CB-F4B1522EAB50}"/>
    <cellStyle name="Normal 3 5 2 2" xfId="2809" xr:uid="{2E0D4192-9ACF-48EF-9FD3-862E0A94A21D}"/>
    <cellStyle name="Normal 3 5 2 2 2" xfId="5244" xr:uid="{AED631CC-97DF-4FC6-9B56-7F9FB3B2EC55}"/>
    <cellStyle name="Normal 3 5 2 3" xfId="4488" xr:uid="{535FBF8D-F77F-45ED-8136-F7DE7C828532}"/>
    <cellStyle name="Normal 3 5 3" xfId="2446" xr:uid="{D38533AA-7E60-4E2D-AE8F-5A21B02C7634}"/>
    <cellStyle name="Normal 3 5 3 2" xfId="4881" xr:uid="{FC9D4409-FFFD-45D3-AF45-89AB52CD2AF7}"/>
    <cellStyle name="Normal 3 5 4" xfId="4011" xr:uid="{4737EB5C-F06E-426A-808C-83B347CDE900}"/>
    <cellStyle name="Normal 3 6" xfId="1801" xr:uid="{AE5E5130-66D7-4456-96BB-04C887517A71}"/>
    <cellStyle name="Normal 3 6 2" xfId="2639" xr:uid="{9213465F-866C-46DC-9C94-DB086527884F}"/>
    <cellStyle name="Normal 3 6 2 2" xfId="5074" xr:uid="{F39775D5-5720-4F7B-9220-21181BECE1AD}"/>
    <cellStyle name="Normal 3 6 3" xfId="4318" xr:uid="{7638B34C-35F9-4624-A7D3-72AE3FCA2DBE}"/>
    <cellStyle name="Normal 3 7" xfId="2211" xr:uid="{01937FA9-C02D-43C7-B759-5DDCE3B77C71}"/>
    <cellStyle name="Normal 3 7 2" xfId="4701" xr:uid="{475CDF7F-1A87-423E-A876-DBABB37692DF}"/>
    <cellStyle name="Normal 3 8" xfId="2397" xr:uid="{4338B9C6-E7A0-455D-ADC3-4BFC1BC16ACF}"/>
    <cellStyle name="Normal 3 8 2" xfId="4832" xr:uid="{B0FC8700-B769-4F37-973C-18327EA4414A}"/>
    <cellStyle name="Normal 3 9" xfId="1360" xr:uid="{5339F9A2-E26C-4C7D-90CA-10A5E8068A28}"/>
    <cellStyle name="Normal 3 9 2" xfId="3962" xr:uid="{E47513EC-51EE-43F5-BFED-1706AF1ADD5E}"/>
    <cellStyle name="Normal 3_Incentive Updates" xfId="1413" xr:uid="{D3969A28-EB85-48D9-A55B-CC6D1D915F03}"/>
    <cellStyle name="Normal 30" xfId="2147" xr:uid="{EB1984AC-E7FA-4B85-9234-FEE0C0E6AA76}"/>
    <cellStyle name="Normal 30 2" xfId="2985" xr:uid="{A4A65E60-3D86-4347-B063-CB420775C93C}"/>
    <cellStyle name="Normal 31" xfId="2145" xr:uid="{9E1FD06A-92B1-4BC3-AE96-68F7FDAD8592}"/>
    <cellStyle name="Normal 31 2" xfId="2983" xr:uid="{3D273932-F43B-47FA-8F1D-7F9613B06AD4}"/>
    <cellStyle name="Normal 32" xfId="2150" xr:uid="{03C2B7E3-C312-434F-8F76-F1FFC81F706A}"/>
    <cellStyle name="Normal 32 2" xfId="2988" xr:uid="{B1DFB432-A4CC-489B-B342-98994B5D2767}"/>
    <cellStyle name="Normal 33" xfId="2154" xr:uid="{042BD4E1-9248-479D-8C5D-89ED33091B80}"/>
    <cellStyle name="Normal 33 2" xfId="2992" xr:uid="{B19EE2B7-0C89-419B-995F-01171C156584}"/>
    <cellStyle name="Normal 34" xfId="2153" xr:uid="{CF125725-C3AF-4B34-8F89-0C467B16FB7D}"/>
    <cellStyle name="Normal 34 2" xfId="2991" xr:uid="{0B467CEE-6FD7-45CD-A12E-650A0734F8F4}"/>
    <cellStyle name="Normal 35" xfId="2146" xr:uid="{F5D06E54-BA2A-400B-A84A-5CD98C31B4F9}"/>
    <cellStyle name="Normal 35 2" xfId="2984" xr:uid="{388D8C0C-E63F-4709-A903-47F6ABD4CDB7}"/>
    <cellStyle name="Normal 36" xfId="2151" xr:uid="{03659B4D-6997-4EFB-9244-36F68ABC88B3}"/>
    <cellStyle name="Normal 36 2" xfId="2989" xr:uid="{0E83AC94-A1A9-4F48-AAB2-87BA2B73223D}"/>
    <cellStyle name="Normal 37" xfId="2148" xr:uid="{6A183786-AA4E-45EC-BAD5-CFB09C0F7207}"/>
    <cellStyle name="Normal 37 2" xfId="2986" xr:uid="{32482FB2-AA1D-497B-AF4F-DE1EADC35E2B}"/>
    <cellStyle name="Normal 38" xfId="2158" xr:uid="{A433DD2E-9D42-4B32-8AAC-F4B99489AF18}"/>
    <cellStyle name="Normal 38 2" xfId="2996" xr:uid="{2452C8FB-CE97-480B-A0DF-2F0F7BFE5BDA}"/>
    <cellStyle name="Normal 39" xfId="2157" xr:uid="{2AC46E4D-5C15-4AA9-B9B6-262370DE1DC3}"/>
    <cellStyle name="Normal 39 2" xfId="2995" xr:uid="{80B78F04-9D59-4146-A533-50BE7AC792A5}"/>
    <cellStyle name="Normal 4" xfId="148" xr:uid="{00000000-0005-0000-0000-0000B6010000}"/>
    <cellStyle name="Normal 4 10" xfId="1415" xr:uid="{1BE2DF3A-E8D6-4A04-BB77-CA534FA64D29}"/>
    <cellStyle name="Normal 4 10 2" xfId="1416" xr:uid="{D87BE5EF-8098-4794-8A61-9C6EFFE50B0F}"/>
    <cellStyle name="Normal 4 10 2 2" xfId="2040" xr:uid="{474797E6-3EC6-4C7B-9A42-765732C8F2D7}"/>
    <cellStyle name="Normal 4 10 2 2 2" xfId="2878" xr:uid="{25C34643-D2EF-4B7B-811D-D68C0902B9FF}"/>
    <cellStyle name="Normal 4 10 2 2 2 2" xfId="5313" xr:uid="{719114A0-9D91-44B3-AD74-E2C285DE08EE}"/>
    <cellStyle name="Normal 4 10 2 2 3" xfId="4557" xr:uid="{12851DEE-FADA-40DE-8B79-808EB7352A45}"/>
    <cellStyle name="Normal 4 10 2 3" xfId="2449" xr:uid="{4B095C41-63D4-4635-BDCD-4D41C3409B55}"/>
    <cellStyle name="Normal 4 10 2 3 2" xfId="4884" xr:uid="{E14372BF-44DF-4C73-AF99-7C09E42D0EEF}"/>
    <cellStyle name="Normal 4 10 2 4" xfId="4014" xr:uid="{6068F74A-2D0E-475A-BCB3-560F97E6D2D0}"/>
    <cellStyle name="Normal 4 10 3" xfId="1870" xr:uid="{3503F00A-77CF-4E5D-A299-366FE81EB8FB}"/>
    <cellStyle name="Normal 4 10 3 2" xfId="2708" xr:uid="{EFE79BC0-E857-4949-A78F-ACA9D043128F}"/>
    <cellStyle name="Normal 4 10 3 2 2" xfId="5143" xr:uid="{269A4F99-D996-4F43-88F5-9FB8676534C0}"/>
    <cellStyle name="Normal 4 10 3 3" xfId="4387" xr:uid="{5E7753AC-7974-4960-8764-F3525C36CEFF}"/>
    <cellStyle name="Normal 4 10 4" xfId="2448" xr:uid="{801B24CB-8456-444F-90B3-2A48340AB901}"/>
    <cellStyle name="Normal 4 10 4 2" xfId="4883" xr:uid="{0547582D-CA10-403F-9653-1FE316E9C24E}"/>
    <cellStyle name="Normal 4 10 5" xfId="4013" xr:uid="{47B423A3-6C87-4724-AE3E-3C2A03A72B30}"/>
    <cellStyle name="Normal 4 11" xfId="1417" xr:uid="{E31DF5AA-71E0-403C-AB87-D036CC23DCCA}"/>
    <cellStyle name="Normal 4 11 2" xfId="1418" xr:uid="{BE232B32-7EE7-4C04-9611-CF485921CEEE}"/>
    <cellStyle name="Normal 4 11 2 2" xfId="2039" xr:uid="{8B88AE50-0BB1-4921-A78D-9059D8DC5341}"/>
    <cellStyle name="Normal 4 11 2 2 2" xfId="2877" xr:uid="{CDB89B80-33AF-4B7E-BF50-E20696542D13}"/>
    <cellStyle name="Normal 4 11 2 2 2 2" xfId="5312" xr:uid="{B19CD8B0-6D81-4757-9F9E-E2CEB4A0A8AE}"/>
    <cellStyle name="Normal 4 11 2 2 3" xfId="4556" xr:uid="{BAC5408D-A7D0-49EA-959E-55955D4FAA83}"/>
    <cellStyle name="Normal 4 11 2 3" xfId="2451" xr:uid="{F991B8BE-CBF8-4CD0-918B-1071E4D70F19}"/>
    <cellStyle name="Normal 4 11 2 3 2" xfId="4886" xr:uid="{A4BCA45A-EB0B-4052-AEBC-BA2BC685EFCC}"/>
    <cellStyle name="Normal 4 11 2 4" xfId="4016" xr:uid="{1D66AEBF-BA8D-4A5C-A041-FC1B861FA249}"/>
    <cellStyle name="Normal 4 11 3" xfId="1869" xr:uid="{9D21628D-F37E-4D0D-891C-BFFFEB29BE14}"/>
    <cellStyle name="Normal 4 11 3 2" xfId="2707" xr:uid="{981A7E47-6ACB-4EE8-8461-AA96CF9A6637}"/>
    <cellStyle name="Normal 4 11 3 2 2" xfId="5142" xr:uid="{696D8BC5-2493-4591-80EA-6D5909F79210}"/>
    <cellStyle name="Normal 4 11 3 3" xfId="4386" xr:uid="{993F8755-F726-4AD6-A33F-4FFBBEDD9189}"/>
    <cellStyle name="Normal 4 11 4" xfId="2450" xr:uid="{4E7992CB-C4B0-4510-8EA8-EA0FDCAD0976}"/>
    <cellStyle name="Normal 4 11 4 2" xfId="4885" xr:uid="{942B3467-EA58-4755-AD80-7E3B3AB1E734}"/>
    <cellStyle name="Normal 4 11 5" xfId="4015" xr:uid="{3E83B5D5-700B-45AF-AE2E-6A98ADC66D48}"/>
    <cellStyle name="Normal 4 12" xfId="1419" xr:uid="{C2675D15-315A-4588-A442-F1834919F03C}"/>
    <cellStyle name="Normal 4 12 2" xfId="1972" xr:uid="{458578E6-801C-4E86-805E-3BDF025052D2}"/>
    <cellStyle name="Normal 4 12 2 2" xfId="2810" xr:uid="{915344BF-27CF-4D64-909E-A52F371A4AB0}"/>
    <cellStyle name="Normal 4 12 2 2 2" xfId="5245" xr:uid="{018E0805-E0F1-4BA3-BFA2-7FA2F2366DC6}"/>
    <cellStyle name="Normal 4 12 2 3" xfId="4489" xr:uid="{841F1D21-B2B1-413D-A7E2-EE2CB24A3E02}"/>
    <cellStyle name="Normal 4 12 3" xfId="2452" xr:uid="{1F5BB8FA-3E8D-4099-8305-C1C385E1F88C}"/>
    <cellStyle name="Normal 4 12 3 2" xfId="4887" xr:uid="{56B84EFB-A44B-44B7-A25D-CF15D4DC0416}"/>
    <cellStyle name="Normal 4 12 4" xfId="4017" xr:uid="{EA11F2E1-539D-4391-AF74-3309F43F2F3D}"/>
    <cellStyle name="Normal 4 13" xfId="1802" xr:uid="{57F4B076-F719-4377-A171-ED751CA88326}"/>
    <cellStyle name="Normal 4 13 2" xfId="2640" xr:uid="{212FB2C4-E530-4B5D-AB8C-984984C0182B}"/>
    <cellStyle name="Normal 4 13 2 2" xfId="5075" xr:uid="{1CE43B8A-0EF4-44B0-883D-F0232764FB97}"/>
    <cellStyle name="Normal 4 13 3" xfId="4319" xr:uid="{40790331-AE13-462F-BC88-BCDB1B9F1B87}"/>
    <cellStyle name="Normal 4 14" xfId="2212" xr:uid="{C6763DA5-5318-4333-A471-9CCB44A4CC81}"/>
    <cellStyle name="Normal 4 14 2" xfId="4702" xr:uid="{6E104FC1-3AC7-4501-8C2C-346CAB50C0B7}"/>
    <cellStyle name="Normal 4 15" xfId="2447" xr:uid="{C0BECD78-7F86-4D73-9846-7A445EFEAD39}"/>
    <cellStyle name="Normal 4 15 2" xfId="4882" xr:uid="{7C18B373-1066-4032-8D72-C879597BBB08}"/>
    <cellStyle name="Normal 4 16" xfId="1414" xr:uid="{B496AEFD-17AA-4AEA-9CBA-0888E904FC39}"/>
    <cellStyle name="Normal 4 16 2" xfId="4012" xr:uid="{896D612F-9991-46A7-9400-F5434A3278D1}"/>
    <cellStyle name="Normal 4 2" xfId="526" xr:uid="{00000000-0005-0000-0000-0000B7010000}"/>
    <cellStyle name="Normal 4 2 2" xfId="1421" xr:uid="{3E8B6682-E608-4994-9D5F-DA6519C99EC7}"/>
    <cellStyle name="Normal 4 2 3" xfId="1422" xr:uid="{F2F23754-5CA1-4989-ACC3-228BFED9D049}"/>
    <cellStyle name="Normal 4 2 3 2" xfId="2041" xr:uid="{5FC90356-4814-4BCE-ABA7-C126D29F3832}"/>
    <cellStyle name="Normal 4 2 3 2 2" xfId="2879" xr:uid="{5337AD9B-8649-4117-BCF7-0C0FBB4F1DED}"/>
    <cellStyle name="Normal 4 2 3 2 2 2" xfId="5314" xr:uid="{F5B3A855-4774-43CB-9A7C-5BE3826906BF}"/>
    <cellStyle name="Normal 4 2 3 2 3" xfId="4558" xr:uid="{144A87C3-9719-4754-A902-C2F8B72A9FF5}"/>
    <cellStyle name="Normal 4 2 3 3" xfId="2454" xr:uid="{86B853D3-0648-425E-9A2D-D413211D119B}"/>
    <cellStyle name="Normal 4 2 3 3 2" xfId="4889" xr:uid="{B0F713C0-B098-4BD7-91A2-B576D63D1231}"/>
    <cellStyle name="Normal 4 2 3 4" xfId="4019" xr:uid="{469A8274-1778-44DC-AC1A-B3F5D027D04D}"/>
    <cellStyle name="Normal 4 2 4" xfId="1871" xr:uid="{D5863288-E899-4115-9C51-94A6218A7911}"/>
    <cellStyle name="Normal 4 2 4 2" xfId="2709" xr:uid="{9B31484D-2940-4239-BF0A-50C171192BDD}"/>
    <cellStyle name="Normal 4 2 4 2 2" xfId="5144" xr:uid="{2FCF1EAE-DFE2-40C3-B1DC-4D5412BBAE5E}"/>
    <cellStyle name="Normal 4 2 4 3" xfId="4388" xr:uid="{E9718130-ADD9-4B9E-9381-F97D99741792}"/>
    <cellStyle name="Normal 4 2 5" xfId="2239" xr:uid="{8BFA4B12-02EB-4D46-A543-A51021E5129A}"/>
    <cellStyle name="Normal 4 2 5 2" xfId="4708" xr:uid="{0E69F372-B876-4F2D-86B6-FC24C7CDD8E6}"/>
    <cellStyle name="Normal 4 2 6" xfId="2453" xr:uid="{C333BE56-60BC-4572-80D4-B630E3BD9236}"/>
    <cellStyle name="Normal 4 2 6 2" xfId="4888" xr:uid="{39A7FF67-6B2E-47B2-ACF5-6072066B76C0}"/>
    <cellStyle name="Normal 4 2 7" xfId="1420" xr:uid="{E22DB21D-3CCA-4A75-A6DB-1CEA16C08A21}"/>
    <cellStyle name="Normal 4 2 7 2" xfId="4018" xr:uid="{62A93309-6712-461C-B190-68DCD848436B}"/>
    <cellStyle name="Normal 4 3" xfId="1423" xr:uid="{90783ECF-349C-42B6-AAA5-43F8608AB97B}"/>
    <cellStyle name="Normal 4 3 2" xfId="1424" xr:uid="{C27E44D1-6BE5-48B5-A78E-0D78C4CF7F7D}"/>
    <cellStyle name="Normal 4 3 2 2" xfId="1425" xr:uid="{0895EE86-050C-4FFF-9535-C26B32CD2FD1}"/>
    <cellStyle name="Normal 4 3 2 2 2" xfId="2042" xr:uid="{FDB59BB0-6168-4614-A64F-7A3CCA0F015C}"/>
    <cellStyle name="Normal 4 3 2 2 2 2" xfId="2880" xr:uid="{D63EE033-C852-42C7-AEAB-DC476DD0DB4D}"/>
    <cellStyle name="Normal 4 3 2 2 2 2 2" xfId="5315" xr:uid="{BE7CFFCD-B926-4BE2-ACF4-B2676A970AA9}"/>
    <cellStyle name="Normal 4 3 2 2 2 3" xfId="4559" xr:uid="{A8DCB4D2-BCE3-488F-8ADD-B3333623B1D3}"/>
    <cellStyle name="Normal 4 3 2 2 3" xfId="2456" xr:uid="{5742E25E-E816-49DC-9F0C-ACEAFBB57BAB}"/>
    <cellStyle name="Normal 4 3 2 2 3 2" xfId="4891" xr:uid="{1710859E-04CB-41FB-8B95-67189F57FF30}"/>
    <cellStyle name="Normal 4 3 2 2 4" xfId="4021" xr:uid="{B58CD651-67D6-4202-9812-7005862BF350}"/>
    <cellStyle name="Normal 4 3 2 3" xfId="1872" xr:uid="{B4856B71-0879-4DFB-889D-D0845C997D55}"/>
    <cellStyle name="Normal 4 3 2 3 2" xfId="2710" xr:uid="{0CB65072-B25B-46A3-AF23-36DCA7580F4E}"/>
    <cellStyle name="Normal 4 3 2 3 2 2" xfId="5145" xr:uid="{D5C3B2A6-AA33-4DCC-BCCC-C3667356F220}"/>
    <cellStyle name="Normal 4 3 2 3 3" xfId="4389" xr:uid="{0A6F1E10-624E-4C5B-A27C-08CD3D23923B}"/>
    <cellStyle name="Normal 4 3 2 4" xfId="2455" xr:uid="{0362333F-8C70-45AF-AA44-FD0EA3CAB068}"/>
    <cellStyle name="Normal 4 3 2 4 2" xfId="4890" xr:uid="{DB2D5FDF-BD53-48A6-956F-9ECE89CCF3E0}"/>
    <cellStyle name="Normal 4 3 2 5" xfId="4020" xr:uid="{54E6F5FD-EADB-4157-A16F-2675B686B8A7}"/>
    <cellStyle name="Normal 4 4" xfId="1426" xr:uid="{10F48314-4B1F-4599-910F-536433DC0892}"/>
    <cellStyle name="Normal 4 4 2" xfId="1427" xr:uid="{26EC271B-8E79-4315-B147-A60AC4AAC0A4}"/>
    <cellStyle name="Normal 4 5" xfId="1428" xr:uid="{B575BC4C-51F0-477C-A197-6F2E726F71F5}"/>
    <cellStyle name="Normal 4 6" xfId="1429" xr:uid="{466E2276-04EB-494A-AE89-748BACB6583D}"/>
    <cellStyle name="Normal 4 6 2" xfId="1430" xr:uid="{50D3746E-3BD7-432E-8FC2-D9AC50EC4458}"/>
    <cellStyle name="Normal 4 6 2 2" xfId="1431" xr:uid="{62E76B8F-C830-4A60-B406-940C85D31F3D}"/>
    <cellStyle name="Normal 4 6 2 2 2" xfId="1432" xr:uid="{9813F9E8-7FF1-417C-9A54-9BC5858777AA}"/>
    <cellStyle name="Normal 4 6 2 2 2 2" xfId="2045" xr:uid="{56EBC6B3-0CB4-4206-AE23-2656F6850B15}"/>
    <cellStyle name="Normal 4 6 2 2 2 2 2" xfId="2883" xr:uid="{20B62EEB-78F3-4681-8434-1906138694AD}"/>
    <cellStyle name="Normal 4 6 2 2 2 2 2 2" xfId="5318" xr:uid="{CD74940A-1210-4902-830F-1FDF8EAD5CCE}"/>
    <cellStyle name="Normal 4 6 2 2 2 2 3" xfId="4562" xr:uid="{93927BC9-A06E-4636-B70B-127807266E1D}"/>
    <cellStyle name="Normal 4 6 2 2 2 3" xfId="2460" xr:uid="{4131F70C-5FD2-4D6C-BDA2-041357C18EFF}"/>
    <cellStyle name="Normal 4 6 2 2 2 3 2" xfId="4895" xr:uid="{8BB2F9B5-B27D-4ED7-9B43-CD71B629FB50}"/>
    <cellStyle name="Normal 4 6 2 2 2 4" xfId="4025" xr:uid="{5BD34746-D110-46C0-A3B3-8224C6607C53}"/>
    <cellStyle name="Normal 4 6 2 2 3" xfId="1875" xr:uid="{54234563-2460-401B-9890-2B1A84C8A454}"/>
    <cellStyle name="Normal 4 6 2 2 3 2" xfId="2713" xr:uid="{1D6EC568-6CE7-4772-A4CC-8DEA4D51AADC}"/>
    <cellStyle name="Normal 4 6 2 2 3 2 2" xfId="5148" xr:uid="{BCE00C4E-FB55-4966-BE5D-16F505410B5D}"/>
    <cellStyle name="Normal 4 6 2 2 3 3" xfId="4392" xr:uid="{FAB2241A-8873-4766-ABB8-30ABF093999A}"/>
    <cellStyle name="Normal 4 6 2 2 4" xfId="2459" xr:uid="{973FEA00-9FB0-4775-AAC5-C2E643486BBB}"/>
    <cellStyle name="Normal 4 6 2 2 4 2" xfId="4894" xr:uid="{04240FB5-C27A-42B4-83C9-2298CA7EF1D5}"/>
    <cellStyle name="Normal 4 6 2 2 5" xfId="4024" xr:uid="{F096323C-5FF2-4AC9-BDEF-E95E14FF6A5C}"/>
    <cellStyle name="Normal 4 6 2 3" xfId="1433" xr:uid="{3083BE82-C028-4BEA-A637-B71F770E252F}"/>
    <cellStyle name="Normal 4 6 2 3 2" xfId="1434" xr:uid="{C7D544F5-8882-4C01-8F25-0DBFEFD4C1F8}"/>
    <cellStyle name="Normal 4 6 2 3 2 2" xfId="2046" xr:uid="{C0735A62-52FF-4678-A2A6-EBB18CE58F08}"/>
    <cellStyle name="Normal 4 6 2 3 2 2 2" xfId="2884" xr:uid="{4FE45C9F-FEBA-4DAF-9DDC-F192B407A60A}"/>
    <cellStyle name="Normal 4 6 2 3 2 2 2 2" xfId="5319" xr:uid="{C208CA13-3114-4D8E-B28F-4CF04462D9B5}"/>
    <cellStyle name="Normal 4 6 2 3 2 2 3" xfId="4563" xr:uid="{3D15BEB3-7053-4817-93F8-121707D4CA10}"/>
    <cellStyle name="Normal 4 6 2 3 2 3" xfId="2462" xr:uid="{1E3B1081-89B0-4822-AAE3-103D4D835651}"/>
    <cellStyle name="Normal 4 6 2 3 2 3 2" xfId="4897" xr:uid="{122146DC-964E-4CA6-8AB5-0E637BBCAB78}"/>
    <cellStyle name="Normal 4 6 2 3 2 4" xfId="4027" xr:uid="{21E68CBC-D217-43A4-B700-56094F58849A}"/>
    <cellStyle name="Normal 4 6 2 3 3" xfId="1876" xr:uid="{DE07F520-FA4C-4D4B-96F4-795A6B558887}"/>
    <cellStyle name="Normal 4 6 2 3 3 2" xfId="2714" xr:uid="{70C31B90-BBB6-4817-949C-DA2E3A0ED760}"/>
    <cellStyle name="Normal 4 6 2 3 3 2 2" xfId="5149" xr:uid="{B51F2859-ED5D-4806-841E-F8E485598FBD}"/>
    <cellStyle name="Normal 4 6 2 3 3 3" xfId="4393" xr:uid="{8D6825B3-0965-47DD-8C90-D8A6EFA5F9B5}"/>
    <cellStyle name="Normal 4 6 2 3 4" xfId="2461" xr:uid="{BE2315A9-A79D-4D58-AF9E-B002EF2EDB3E}"/>
    <cellStyle name="Normal 4 6 2 3 4 2" xfId="4896" xr:uid="{C63BCD25-DBDC-49AC-BA11-D9820809E420}"/>
    <cellStyle name="Normal 4 6 2 3 5" xfId="4026" xr:uid="{1A9362D9-7AA9-43DE-941F-F8E5E149EBE9}"/>
    <cellStyle name="Normal 4 6 2 4" xfId="1435" xr:uid="{7685870A-C047-4C99-A0BF-1701062D3354}"/>
    <cellStyle name="Normal 4 6 2 4 2" xfId="2044" xr:uid="{798DA74D-08DF-4DED-8B9C-1C1506BC42ED}"/>
    <cellStyle name="Normal 4 6 2 4 2 2" xfId="2882" xr:uid="{9BC80D4D-FA01-4E59-B917-70D765CA0989}"/>
    <cellStyle name="Normal 4 6 2 4 2 2 2" xfId="5317" xr:uid="{C47E416D-7055-4168-AC8F-75A3BF239000}"/>
    <cellStyle name="Normal 4 6 2 4 2 3" xfId="4561" xr:uid="{B7C2E245-5453-418B-9BF5-185A7EAF3D10}"/>
    <cellStyle name="Normal 4 6 2 4 3" xfId="2463" xr:uid="{63FE4BDB-C9BD-4503-9D20-D208D220B406}"/>
    <cellStyle name="Normal 4 6 2 4 3 2" xfId="4898" xr:uid="{A5077B30-1F46-4E2F-B166-7FAC0844CF60}"/>
    <cellStyle name="Normal 4 6 2 4 4" xfId="4028" xr:uid="{0CFCDC1E-5BE4-461A-86D0-07D4964EF215}"/>
    <cellStyle name="Normal 4 6 2 5" xfId="1874" xr:uid="{973D753B-4B02-424F-B827-B46D26EA69ED}"/>
    <cellStyle name="Normal 4 6 2 5 2" xfId="2712" xr:uid="{CB97BAA2-3859-4EA1-9439-8586C8258A66}"/>
    <cellStyle name="Normal 4 6 2 5 2 2" xfId="5147" xr:uid="{EF09B441-62DE-41AD-9513-FD62418A4BBD}"/>
    <cellStyle name="Normal 4 6 2 5 3" xfId="4391" xr:uid="{61D018AD-7B81-465A-8629-0C7FF7BED436}"/>
    <cellStyle name="Normal 4 6 2 6" xfId="2458" xr:uid="{AA81057F-D192-404A-A8E8-9071E5A4ADE6}"/>
    <cellStyle name="Normal 4 6 2 6 2" xfId="4893" xr:uid="{10558653-832F-420D-9D5B-B9EC151A291A}"/>
    <cellStyle name="Normal 4 6 2 7" xfId="4023" xr:uid="{BF1FD5BF-6D48-44AE-A296-D0215D5C3682}"/>
    <cellStyle name="Normal 4 6 3" xfId="1436" xr:uid="{A88E3927-5C89-483F-843D-84143B845777}"/>
    <cellStyle name="Normal 4 6 3 2" xfId="1437" xr:uid="{C587A701-EC3B-4F1D-ADED-CB54A56D5151}"/>
    <cellStyle name="Normal 4 6 3 2 2" xfId="2047" xr:uid="{BDC8E6A6-F802-440A-93AB-FE2AC2FAF50B}"/>
    <cellStyle name="Normal 4 6 3 2 2 2" xfId="2885" xr:uid="{75ABF46E-A8C1-4135-B512-D0117323D769}"/>
    <cellStyle name="Normal 4 6 3 2 2 2 2" xfId="5320" xr:uid="{C32D534B-5787-484A-817C-F3F2A6A40055}"/>
    <cellStyle name="Normal 4 6 3 2 2 3" xfId="4564" xr:uid="{F706264E-E4C1-4F91-95EA-BFA6D65A96C1}"/>
    <cellStyle name="Normal 4 6 3 2 3" xfId="2465" xr:uid="{5A2DBE64-45DA-4212-A44A-54DB40C37055}"/>
    <cellStyle name="Normal 4 6 3 2 3 2" xfId="4900" xr:uid="{61F742CB-04DB-4464-9F85-AFAB39FC0BBA}"/>
    <cellStyle name="Normal 4 6 3 2 4" xfId="4030" xr:uid="{8256C4AD-F679-4712-84B0-670DD9908C17}"/>
    <cellStyle name="Normal 4 6 3 3" xfId="1877" xr:uid="{5BBE7A73-9613-4479-9A5B-E8417AD7049E}"/>
    <cellStyle name="Normal 4 6 3 3 2" xfId="2715" xr:uid="{AD255259-EF28-4D48-98CF-3BC0804EAC48}"/>
    <cellStyle name="Normal 4 6 3 3 2 2" xfId="5150" xr:uid="{1D99E74D-766E-40E5-A771-3A52F40F7134}"/>
    <cellStyle name="Normal 4 6 3 3 3" xfId="4394" xr:uid="{D3F18292-5A86-4AB1-A5A6-3F9E481A7C3B}"/>
    <cellStyle name="Normal 4 6 3 4" xfId="2464" xr:uid="{03FBC877-9BFA-4D45-BAA9-8CE6AC874AA9}"/>
    <cellStyle name="Normal 4 6 3 4 2" xfId="4899" xr:uid="{53409D70-B45A-4775-8E73-0E2922E18E91}"/>
    <cellStyle name="Normal 4 6 3 5" xfId="4029" xr:uid="{8C1E8B8B-7492-41E0-8F16-63AB36D2E01A}"/>
    <cellStyle name="Normal 4 6 4" xfId="1438" xr:uid="{3ADE5F29-6162-4CC6-9939-5A7759483DF6}"/>
    <cellStyle name="Normal 4 6 4 2" xfId="1439" xr:uid="{9C956B0A-D923-4F46-A4EE-8CF25CA52E25}"/>
    <cellStyle name="Normal 4 6 4 2 2" xfId="2048" xr:uid="{FCDD54C5-DBD0-4047-B921-955540F9F95A}"/>
    <cellStyle name="Normal 4 6 4 2 2 2" xfId="2886" xr:uid="{00422412-2BBA-470E-83E7-05F8FBF0AEEF}"/>
    <cellStyle name="Normal 4 6 4 2 2 2 2" xfId="5321" xr:uid="{439FC446-7D45-44ED-82C8-A5FB559245BE}"/>
    <cellStyle name="Normal 4 6 4 2 2 3" xfId="4565" xr:uid="{824FA100-1D34-4969-801F-47E22C067E5B}"/>
    <cellStyle name="Normal 4 6 4 2 3" xfId="2467" xr:uid="{A55FA090-2633-4C7E-8203-1CA3C44A89A3}"/>
    <cellStyle name="Normal 4 6 4 2 3 2" xfId="4902" xr:uid="{71E46671-27D0-4B74-BBF4-AF96CA15768F}"/>
    <cellStyle name="Normal 4 6 4 2 4" xfId="4032" xr:uid="{B6073619-C6AA-4E33-8A91-826F68341C65}"/>
    <cellStyle name="Normal 4 6 4 3" xfId="1878" xr:uid="{B10AD301-133D-48CF-938B-C8FD426F1AD5}"/>
    <cellStyle name="Normal 4 6 4 3 2" xfId="2716" xr:uid="{4EA15C64-6731-4FE6-BC33-93FE40CCD1A8}"/>
    <cellStyle name="Normal 4 6 4 3 2 2" xfId="5151" xr:uid="{C2561033-5E89-494D-B6BB-622822F57F7D}"/>
    <cellStyle name="Normal 4 6 4 3 3" xfId="4395" xr:uid="{13B87717-E6D9-4596-A098-65F59874B98D}"/>
    <cellStyle name="Normal 4 6 4 4" xfId="2466" xr:uid="{B4F27700-57BA-437C-8C0B-C5D0300DDAA7}"/>
    <cellStyle name="Normal 4 6 4 4 2" xfId="4901" xr:uid="{E6B6E6E8-E0B3-4DF0-84AD-FA16A6856107}"/>
    <cellStyle name="Normal 4 6 4 5" xfId="4031" xr:uid="{5757C5BE-6F3D-4FE1-9F3B-364BD56BEA42}"/>
    <cellStyle name="Normal 4 6 5" xfId="1440" xr:uid="{5529D59E-F711-47D2-9E2F-294B7FD0334F}"/>
    <cellStyle name="Normal 4 6 5 2" xfId="2043" xr:uid="{681AB269-9F92-4940-9D75-996C5C906CD5}"/>
    <cellStyle name="Normal 4 6 5 2 2" xfId="2881" xr:uid="{0EFB0F9E-DEF2-45D7-BA4F-62EAD558C49A}"/>
    <cellStyle name="Normal 4 6 5 2 2 2" xfId="5316" xr:uid="{5FABCF2F-9763-475D-BA93-03D031AA71C1}"/>
    <cellStyle name="Normal 4 6 5 2 3" xfId="4560" xr:uid="{036422C0-13C9-4323-B554-2F32109732F3}"/>
    <cellStyle name="Normal 4 6 5 3" xfId="2468" xr:uid="{B9DD7042-CEBF-4012-AE3D-17A97F0A0875}"/>
    <cellStyle name="Normal 4 6 5 3 2" xfId="4903" xr:uid="{04669035-AA24-471E-A8EA-5B35B9ECE7AF}"/>
    <cellStyle name="Normal 4 6 5 4" xfId="4033" xr:uid="{3268616B-37C1-41E1-8A8A-25A9CA7F45AF}"/>
    <cellStyle name="Normal 4 6 6" xfId="1873" xr:uid="{838CBE68-CE96-46A0-A151-4D4BDB6F83D1}"/>
    <cellStyle name="Normal 4 6 6 2" xfId="2711" xr:uid="{93232B3B-1A78-44A2-B8C2-634FCE164D55}"/>
    <cellStyle name="Normal 4 6 6 2 2" xfId="5146" xr:uid="{0E288EB3-0F0E-448E-A2DE-E67DE7427D0E}"/>
    <cellStyle name="Normal 4 6 6 3" xfId="4390" xr:uid="{1C2D5689-F1A9-4788-B8B0-5798895A6DC9}"/>
    <cellStyle name="Normal 4 6 7" xfId="2457" xr:uid="{334A6610-4525-4AC8-9493-8278EF16AB75}"/>
    <cellStyle name="Normal 4 6 7 2" xfId="4892" xr:uid="{3213FACD-F68B-4182-B01C-1E25F711EEFD}"/>
    <cellStyle name="Normal 4 6 8" xfId="4022" xr:uid="{3F0EE19F-820F-49E8-B779-A9EE03DFFBB4}"/>
    <cellStyle name="Normal 4 7" xfId="1441" xr:uid="{6D19813C-0D74-4697-A469-8F01DF008D81}"/>
    <cellStyle name="Normal 4 7 2" xfId="1442" xr:uid="{274E7570-A075-4788-8F6A-8FB84F3AB1D0}"/>
    <cellStyle name="Normal 4 7 2 2" xfId="1443" xr:uid="{49075640-5CC0-4858-A839-DAD3AE47394C}"/>
    <cellStyle name="Normal 4 7 2 2 2" xfId="2050" xr:uid="{F67F6F0A-C25E-444C-9183-61A059FA4560}"/>
    <cellStyle name="Normal 4 7 2 2 2 2" xfId="2888" xr:uid="{F88DE09E-C882-44D1-A310-2879C3E48B40}"/>
    <cellStyle name="Normal 4 7 2 2 2 2 2" xfId="5323" xr:uid="{22115814-EC69-4094-8338-EB18F43B0C25}"/>
    <cellStyle name="Normal 4 7 2 2 2 3" xfId="4567" xr:uid="{484C0353-77B2-4652-B691-6231BCE8845F}"/>
    <cellStyle name="Normal 4 7 2 2 3" xfId="2471" xr:uid="{2D85F0FD-ADEF-4301-9452-92D8FE5FA373}"/>
    <cellStyle name="Normal 4 7 2 2 3 2" xfId="4906" xr:uid="{E0E1DBE1-132B-4375-9B6C-FE13D9F3BCE1}"/>
    <cellStyle name="Normal 4 7 2 2 4" xfId="4036" xr:uid="{2944148E-CAAB-44CF-8F88-295C8FCC4386}"/>
    <cellStyle name="Normal 4 7 2 3" xfId="1880" xr:uid="{6FEFBFD5-CC97-466A-B966-7B4E1850B3D1}"/>
    <cellStyle name="Normal 4 7 2 3 2" xfId="2718" xr:uid="{F6B2717C-439A-4755-A364-40BF2D0B1407}"/>
    <cellStyle name="Normal 4 7 2 3 2 2" xfId="5153" xr:uid="{64793ACA-938C-416B-B491-FA0636FB035E}"/>
    <cellStyle name="Normal 4 7 2 3 3" xfId="4397" xr:uid="{E95CF95F-F2E3-400C-823B-D19673E5F257}"/>
    <cellStyle name="Normal 4 7 2 4" xfId="2470" xr:uid="{50920F58-4314-4D57-9B6B-CB597468B788}"/>
    <cellStyle name="Normal 4 7 2 4 2" xfId="4905" xr:uid="{E76C06AA-8864-4268-AE42-98DE847F0C23}"/>
    <cellStyle name="Normal 4 7 2 5" xfId="4035" xr:uid="{73884499-37A9-49B7-AFCB-2301AAEEE436}"/>
    <cellStyle name="Normal 4 7 3" xfId="1444" xr:uid="{2AE194A7-D00B-488E-B731-0FE33B4FD571}"/>
    <cellStyle name="Normal 4 7 3 2" xfId="1445" xr:uid="{618288DF-54D5-4610-B0CF-C29A5805B2F9}"/>
    <cellStyle name="Normal 4 7 3 2 2" xfId="2051" xr:uid="{8165C4DD-70B1-4FAB-AE0C-B582DC57CAE4}"/>
    <cellStyle name="Normal 4 7 3 2 2 2" xfId="2889" xr:uid="{2DD9CC5E-DB69-4339-A930-53B05FE5308C}"/>
    <cellStyle name="Normal 4 7 3 2 2 2 2" xfId="5324" xr:uid="{7AAFE9E8-80EE-4FB9-A5F5-189E97A86C3F}"/>
    <cellStyle name="Normal 4 7 3 2 2 3" xfId="4568" xr:uid="{A7A4E4F7-9323-4283-8B32-315CEFED7FD9}"/>
    <cellStyle name="Normal 4 7 3 2 3" xfId="2473" xr:uid="{56CB45A4-C19F-4A14-B173-32A3FE35A135}"/>
    <cellStyle name="Normal 4 7 3 2 3 2" xfId="4908" xr:uid="{DB6AE911-78F0-4524-B149-A2465A84B277}"/>
    <cellStyle name="Normal 4 7 3 2 4" xfId="4038" xr:uid="{77E27D78-D974-4D30-8F21-9DE45E76A12A}"/>
    <cellStyle name="Normal 4 7 3 3" xfId="1881" xr:uid="{887B1CAF-DD4A-4EFF-A2FE-74C301FD3862}"/>
    <cellStyle name="Normal 4 7 3 3 2" xfId="2719" xr:uid="{B9855D14-C8A6-4D54-BF05-6E25B47E7C26}"/>
    <cellStyle name="Normal 4 7 3 3 2 2" xfId="5154" xr:uid="{B134FB12-1BF8-41C2-82CC-CAEFEE7AB882}"/>
    <cellStyle name="Normal 4 7 3 3 3" xfId="4398" xr:uid="{D9506790-4B3D-49A8-A91B-4CFD436DF499}"/>
    <cellStyle name="Normal 4 7 3 4" xfId="2472" xr:uid="{B3822C67-3739-47E2-85A7-B8AABAD7E22B}"/>
    <cellStyle name="Normal 4 7 3 4 2" xfId="4907" xr:uid="{56086B24-366F-4BF1-B7B5-968AEFF8DE53}"/>
    <cellStyle name="Normal 4 7 3 5" xfId="4037" xr:uid="{9C0A4BC8-090B-4E23-A2E6-200122297B5C}"/>
    <cellStyle name="Normal 4 7 4" xfId="1446" xr:uid="{7DFE28CB-EE08-478B-911A-69CF0808316E}"/>
    <cellStyle name="Normal 4 7 4 2" xfId="2049" xr:uid="{80DB77B7-EE3A-4E07-83BB-841CEBC0F2AA}"/>
    <cellStyle name="Normal 4 7 4 2 2" xfId="2887" xr:uid="{75A459BA-04D7-4A05-91BF-AC7A86F972AB}"/>
    <cellStyle name="Normal 4 7 4 2 2 2" xfId="5322" xr:uid="{3F06D13A-C637-4DE1-A4B7-D7CD0E9B7E61}"/>
    <cellStyle name="Normal 4 7 4 2 3" xfId="4566" xr:uid="{C85C73B2-2BF8-4775-864C-E828EEC068D7}"/>
    <cellStyle name="Normal 4 7 4 3" xfId="2474" xr:uid="{ADB7D63D-4593-483F-B1DF-7A81208DE749}"/>
    <cellStyle name="Normal 4 7 4 3 2" xfId="4909" xr:uid="{D36E8B7C-B32C-4EED-B83F-8BD46143B92D}"/>
    <cellStyle name="Normal 4 7 4 4" xfId="4039" xr:uid="{09CED49F-6017-4FCE-BA6A-347D10F711E5}"/>
    <cellStyle name="Normal 4 7 5" xfId="1879" xr:uid="{09DACF4E-CEC4-4F23-BD12-C72385493460}"/>
    <cellStyle name="Normal 4 7 5 2" xfId="2717" xr:uid="{AE198D66-DCE2-4C5F-A8C7-6DFC4CC274CE}"/>
    <cellStyle name="Normal 4 7 5 2 2" xfId="5152" xr:uid="{78DFE5B4-8B4E-43FA-9A8F-DD59DE241DD8}"/>
    <cellStyle name="Normal 4 7 5 3" xfId="4396" xr:uid="{0E971057-20BE-4C20-9505-51D690ECD0F1}"/>
    <cellStyle name="Normal 4 7 6" xfId="2469" xr:uid="{0DA17CEE-83E9-4663-A93D-B87A3F0DE97A}"/>
    <cellStyle name="Normal 4 7 6 2" xfId="4904" xr:uid="{9E977966-1D76-40A8-9B53-16023BB46549}"/>
    <cellStyle name="Normal 4 7 7" xfId="4034" xr:uid="{E0955BE2-1421-4414-A10E-F0D2828501DC}"/>
    <cellStyle name="Normal 4 8" xfId="1447" xr:uid="{2ED07110-A5A3-4EB3-B373-0E0DDC685D3D}"/>
    <cellStyle name="Normal 4 8 2" xfId="1448" xr:uid="{67B9D659-7A5E-41E7-9A39-1098728ACBE9}"/>
    <cellStyle name="Normal 4 8 2 2" xfId="2052" xr:uid="{2C003BAB-7666-432E-B707-7E461A18D46B}"/>
    <cellStyle name="Normal 4 8 2 2 2" xfId="2890" xr:uid="{D7A26C00-C765-4CFE-B6CF-9FB452E4CE61}"/>
    <cellStyle name="Normal 4 8 2 2 2 2" xfId="5325" xr:uid="{D07A1274-CD1D-4A74-A2DC-0C7F017BCC23}"/>
    <cellStyle name="Normal 4 8 2 2 3" xfId="4569" xr:uid="{36500285-0CB5-4F34-AE22-C7741BA56B8C}"/>
    <cellStyle name="Normal 4 8 2 3" xfId="2476" xr:uid="{F0D04844-AD76-43F4-A23E-5F6D3DFE9EFC}"/>
    <cellStyle name="Normal 4 8 2 3 2" xfId="4911" xr:uid="{073F8336-0CFB-46C3-8AB1-EBC1E64C2063}"/>
    <cellStyle name="Normal 4 8 2 4" xfId="4041" xr:uid="{18ADB92A-2848-4131-A249-3FE0087D6A5A}"/>
    <cellStyle name="Normal 4 8 3" xfId="1882" xr:uid="{B704E103-0C78-4F51-A269-B219C8C5EACD}"/>
    <cellStyle name="Normal 4 8 3 2" xfId="2720" xr:uid="{358CE768-6715-4304-9F6D-E28762CF3F7B}"/>
    <cellStyle name="Normal 4 8 3 2 2" xfId="5155" xr:uid="{632DE23F-B9AF-4C58-B600-68F8D6492C69}"/>
    <cellStyle name="Normal 4 8 3 3" xfId="4399" xr:uid="{7421A8A0-ADEE-4900-9B3D-4D9D5B0F9919}"/>
    <cellStyle name="Normal 4 8 4" xfId="2475" xr:uid="{C0E8D20C-B9AE-41A3-BC22-9F97F8E30C41}"/>
    <cellStyle name="Normal 4 8 4 2" xfId="4910" xr:uid="{5494FE82-818B-467A-B573-E19A61E348A1}"/>
    <cellStyle name="Normal 4 8 5" xfId="4040" xr:uid="{4E87491C-58D8-490A-AF30-19FA716F5950}"/>
    <cellStyle name="Normal 4 9" xfId="1449" xr:uid="{F50D522F-3BBC-4F7F-AC36-B4D258D52C94}"/>
    <cellStyle name="Normal 4 9 2" xfId="1450" xr:uid="{E50B2F15-0EE9-4132-B483-E875A267060C}"/>
    <cellStyle name="Normal 4 9 2 2" xfId="2053" xr:uid="{4D38DCA1-DAA3-43D8-A950-00420BB0580C}"/>
    <cellStyle name="Normal 4 9 2 2 2" xfId="2891" xr:uid="{4B07E216-A787-4B6A-B437-9901F2F1CD21}"/>
    <cellStyle name="Normal 4 9 2 2 2 2" xfId="5326" xr:uid="{48541D40-2B62-4B17-A6B5-BD4BEC8822A3}"/>
    <cellStyle name="Normal 4 9 2 2 3" xfId="4570" xr:uid="{707D115E-EAC7-4AE8-9A41-0A92B9E3A208}"/>
    <cellStyle name="Normal 4 9 2 3" xfId="2478" xr:uid="{F4C734D3-5096-482B-8689-A913EE72ECB8}"/>
    <cellStyle name="Normal 4 9 2 3 2" xfId="4913" xr:uid="{07BDD20E-C372-4725-BE77-0345DBEB0CB7}"/>
    <cellStyle name="Normal 4 9 2 4" xfId="4043" xr:uid="{19A0311B-301A-4885-BC1D-9287F77F327F}"/>
    <cellStyle name="Normal 4 9 3" xfId="1883" xr:uid="{3A33CAD0-CC6D-4D5D-B42C-78BF7D0C51F5}"/>
    <cellStyle name="Normal 4 9 3 2" xfId="2721" xr:uid="{4A5C4AF6-2976-4AF4-9B65-7342A5EA4388}"/>
    <cellStyle name="Normal 4 9 3 2 2" xfId="5156" xr:uid="{BA534A4A-4FBB-47BA-A51E-76B3178910CE}"/>
    <cellStyle name="Normal 4 9 3 3" xfId="4400" xr:uid="{CB6CE08E-C652-4998-8786-1061855C9F8C}"/>
    <cellStyle name="Normal 4 9 4" xfId="2477" xr:uid="{35FF2734-CDF3-4E47-8BFE-33CDDDC85BF2}"/>
    <cellStyle name="Normal 4 9 4 2" xfId="4912" xr:uid="{0A1E9949-DDC5-40EF-89BD-50A959B2A503}"/>
    <cellStyle name="Normal 4 9 5" xfId="4042" xr:uid="{A110DD3B-0993-4C66-A139-7FA743BCE779}"/>
    <cellStyle name="Normal 40" xfId="2156" xr:uid="{833ACCC3-0708-4F38-B5E0-0B9F66D5EBA7}"/>
    <cellStyle name="Normal 40 2" xfId="2994" xr:uid="{69A37F8E-DE01-4AE6-B7C3-1DF7B3E3EE64}"/>
    <cellStyle name="Normal 41" xfId="2149" xr:uid="{2B9A42E2-903D-48DD-BF60-2A19576B5168}"/>
    <cellStyle name="Normal 41 2" xfId="2987" xr:uid="{0B71EFD9-3953-49C0-971B-19D4EB98154E}"/>
    <cellStyle name="Normal 42" xfId="2144" xr:uid="{DF71B3CC-026C-44F0-A8F4-948A502706E2}"/>
    <cellStyle name="Normal 42 2" xfId="2982" xr:uid="{E3C4B33F-96FF-4BC0-A976-2966B9C60F20}"/>
    <cellStyle name="Normal 43" xfId="2155" xr:uid="{E1578A36-AA72-4DC6-8C0B-4E02C3D0531C}"/>
    <cellStyle name="Normal 43 2" xfId="2993" xr:uid="{AFE3399E-1251-4877-8772-AB791F792E7A}"/>
    <cellStyle name="Normal 44" xfId="2186" xr:uid="{1F8C26B9-A588-4817-A695-426AA1A34679}"/>
    <cellStyle name="Normal 44 2" xfId="2997" xr:uid="{BEF0AA77-3B1E-46CC-9DC2-37E39241F1ED}"/>
    <cellStyle name="Normal 45" xfId="2191" xr:uid="{9E042CA5-78F0-4346-B081-248E2D156C3E}"/>
    <cellStyle name="Normal 45 2" xfId="3002" xr:uid="{F3F3DBD2-0344-46C9-ADF8-44F87F78915C}"/>
    <cellStyle name="Normal 46" xfId="2189" xr:uid="{C84B86F2-5536-4D55-B6BF-08A2C79C1A1C}"/>
    <cellStyle name="Normal 46 2" xfId="3000" xr:uid="{2A04F1D6-9172-4205-A554-828D6ECD54D8}"/>
    <cellStyle name="Normal 47" xfId="2192" xr:uid="{A37F5F94-2903-4268-8BA8-F6476126BEB2}"/>
    <cellStyle name="Normal 47 2" xfId="3003" xr:uid="{C85E3F99-4FB6-472C-A65F-5E012A96BFC9}"/>
    <cellStyle name="Normal 48" xfId="2188" xr:uid="{AEDFD02D-CF88-4B59-BB2E-817D36BAFFD0}"/>
    <cellStyle name="Normal 48 2" xfId="2999" xr:uid="{D6FE34E5-0A59-460C-8409-EA9AFBF09CD5}"/>
    <cellStyle name="Normal 49" xfId="2190" xr:uid="{4255AAE2-EE31-4421-BA56-F2082C8EB45E}"/>
    <cellStyle name="Normal 49 2" xfId="3001" xr:uid="{66ABD6D1-F2F8-4CA8-B245-A21BB1356B62}"/>
    <cellStyle name="Normal 5" xfId="147" xr:uid="{00000000-0005-0000-0000-0000B8010000}"/>
    <cellStyle name="Normal 5 10" xfId="2214" xr:uid="{FC419888-3464-43B7-BD60-05DDA4C02CDF}"/>
    <cellStyle name="Normal 5 10 2" xfId="4704" xr:uid="{2EAA99BF-9730-407C-9B8B-50096216FFC8}"/>
    <cellStyle name="Normal 5 11" xfId="2479" xr:uid="{C26C9D8F-F8AF-4EBB-9229-6D8E12FDC96C}"/>
    <cellStyle name="Normal 5 11 2" xfId="4914" xr:uid="{BA6C05E7-FFBD-4071-AD66-088D41B77BEA}"/>
    <cellStyle name="Normal 5 12" xfId="1451" xr:uid="{37A0B83C-AF6A-4FA9-9082-8F525E6BF3AC}"/>
    <cellStyle name="Normal 5 12 2" xfId="4044" xr:uid="{98135312-A6EB-4396-A499-881BD8E6AB71}"/>
    <cellStyle name="Normal 5 13" xfId="3366" xr:uid="{68083BC7-707A-4431-BB6B-10C35827BF9C}"/>
    <cellStyle name="Normal 5 2" xfId="238" xr:uid="{00000000-0005-0000-0000-0000B9010000}"/>
    <cellStyle name="Normal 5 2 10" xfId="1452" xr:uid="{B345E12F-17F1-4A0B-8BC7-874CE4D3D51B}"/>
    <cellStyle name="Normal 5 2 10 2" xfId="4045" xr:uid="{824C530E-9339-4872-8529-1FCAA262ACBD}"/>
    <cellStyle name="Normal 5 2 11" xfId="3378" xr:uid="{7A2874FF-E016-4BE9-9FBE-500CC83121D5}"/>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2 2 2" xfId="2895" xr:uid="{C22E4965-62E4-4B55-8EE5-7F6547E6DEE8}"/>
    <cellStyle name="Normal 5 2 2 2 2 2 2 2 2 2" xfId="5330" xr:uid="{B882B195-3C14-46E9-B04D-2B6B8FD07629}"/>
    <cellStyle name="Normal 5 2 2 2 2 2 2 2 3" xfId="3807" xr:uid="{2B6BFB72-2E83-4937-8C40-C0F7F7FA529B}"/>
    <cellStyle name="Normal 5 2 2 2 2 2 2 3" xfId="2057" xr:uid="{204ACA08-09E5-46E2-AEBA-105B0418E9C9}"/>
    <cellStyle name="Normal 5 2 2 2 2 2 2 3 2" xfId="4574" xr:uid="{E58B8DC7-654D-4594-AC9E-76ABC305E332}"/>
    <cellStyle name="Normal 5 2 2 2 2 2 2 4" xfId="3598" xr:uid="{AE6306E9-711D-418B-837E-F1A8AD7686C1}"/>
    <cellStyle name="Normal 5 2 2 2 2 2 3" xfId="769" xr:uid="{00000000-0005-0000-0000-0000C0010000}"/>
    <cellStyle name="Normal 5 2 2 2 2 2 3 2" xfId="2484" xr:uid="{6C79D472-4AB0-4D02-851E-40CE9EFCE663}"/>
    <cellStyle name="Normal 5 2 2 2 2 2 3 2 2" xfId="4919" xr:uid="{D4B2ED2E-0976-479F-B33F-19DB5B4F19CA}"/>
    <cellStyle name="Normal 5 2 2 2 2 2 3 3" xfId="3702" xr:uid="{7BABD59C-A01D-4F69-8A3E-E9AF17DC463F}"/>
    <cellStyle name="Normal 5 2 2 2 2 2 4" xfId="1456" xr:uid="{C9665ABD-B1B5-4347-A3E7-DD7E5A7C7A5D}"/>
    <cellStyle name="Normal 5 2 2 2 2 2 4 2" xfId="4049" xr:uid="{E3F9C28E-59AD-4BAD-9CDA-1B5328FBD9A6}"/>
    <cellStyle name="Normal 5 2 2 2 2 2 5" xfId="3488" xr:uid="{8B8CB446-55E6-47B3-B869-F11141FFA538}"/>
    <cellStyle name="Normal 5 2 2 2 2 3" xfId="612" xr:uid="{00000000-0005-0000-0000-0000C1010000}"/>
    <cellStyle name="Normal 5 2 2 2 2 3 2" xfId="823" xr:uid="{00000000-0005-0000-0000-0000C2010000}"/>
    <cellStyle name="Normal 5 2 2 2 2 3 2 2" xfId="2725" xr:uid="{5DFEC5AC-B65F-4415-ACD7-2F6FCA3936ED}"/>
    <cellStyle name="Normal 5 2 2 2 2 3 2 2 2" xfId="5160" xr:uid="{259C6B6B-9DD8-4A7D-B0C5-9BD8E74695AA}"/>
    <cellStyle name="Normal 5 2 2 2 2 3 2 3" xfId="3755" xr:uid="{2AAE0E7D-64EC-4EF1-997E-3635065BD232}"/>
    <cellStyle name="Normal 5 2 2 2 2 3 3" xfId="1887" xr:uid="{26117F46-18A8-4F58-BEE2-F6FDB9AE8D26}"/>
    <cellStyle name="Normal 5 2 2 2 2 3 3 2" xfId="4404" xr:uid="{C63EADEC-E82B-4A5C-A935-49CC868A2209}"/>
    <cellStyle name="Normal 5 2 2 2 2 3 4" xfId="3546" xr:uid="{777AF9A5-3FC5-48AF-958C-F579AE3569C1}"/>
    <cellStyle name="Normal 5 2 2 2 2 4" xfId="717" xr:uid="{00000000-0005-0000-0000-0000C3010000}"/>
    <cellStyle name="Normal 5 2 2 2 2 4 2" xfId="2483" xr:uid="{789506B2-52C1-49F9-9775-70EF8C7B4FDA}"/>
    <cellStyle name="Normal 5 2 2 2 2 4 2 2" xfId="4918" xr:uid="{25132616-5660-4F87-9CFA-C785F7C6B280}"/>
    <cellStyle name="Normal 5 2 2 2 2 4 3" xfId="3650" xr:uid="{A865DAF0-520F-479B-88BE-23057AA4BBC3}"/>
    <cellStyle name="Normal 5 2 2 2 2 5" xfId="1455" xr:uid="{63AC2AE2-E42C-4DAB-A09E-6711B6615F81}"/>
    <cellStyle name="Normal 5 2 2 2 2 5 2" xfId="4048" xr:uid="{E68A12E5-574F-45B0-A044-ED4F17618C42}"/>
    <cellStyle name="Normal 5 2 2 2 2 6" xfId="3431" xr:uid="{9D3D9BF3-7A8A-4490-AA14-3026F4AC633E}"/>
    <cellStyle name="Normal 5 2 2 2 3" xfId="482" xr:uid="{00000000-0005-0000-0000-0000C4010000}"/>
    <cellStyle name="Normal 5 2 2 2 3 2" xfId="638" xr:uid="{00000000-0005-0000-0000-0000C5010000}"/>
    <cellStyle name="Normal 5 2 2 2 3 2 2" xfId="849" xr:uid="{00000000-0005-0000-0000-0000C6010000}"/>
    <cellStyle name="Normal 5 2 2 2 3 2 2 2" xfId="2896" xr:uid="{959B8AF7-DD1E-43C6-A5B3-7C8E4A9A246E}"/>
    <cellStyle name="Normal 5 2 2 2 3 2 2 2 2" xfId="5331" xr:uid="{1B0E69CB-C21C-42DC-9CA3-BC1D63635F67}"/>
    <cellStyle name="Normal 5 2 2 2 3 2 2 3" xfId="2058" xr:uid="{DEACB3E0-9634-482A-AF7B-C51926D36A7C}"/>
    <cellStyle name="Normal 5 2 2 2 3 2 2 3 2" xfId="4575" xr:uid="{58F59814-8424-423D-BAF2-5712CA83A18E}"/>
    <cellStyle name="Normal 5 2 2 2 3 2 2 4" xfId="3781" xr:uid="{FBF1CD49-4155-45A9-A5A6-9489AF58AE3D}"/>
    <cellStyle name="Normal 5 2 2 2 3 2 3" xfId="2486" xr:uid="{CFEF161E-9FE0-49C0-9167-5D529D218C4E}"/>
    <cellStyle name="Normal 5 2 2 2 3 2 3 2" xfId="4921" xr:uid="{3B06A147-3496-469E-A72A-67FFDFB0D65C}"/>
    <cellStyle name="Normal 5 2 2 2 3 2 4" xfId="1458" xr:uid="{EE2EEC5F-D162-4254-BA76-EF8DB7EEB619}"/>
    <cellStyle name="Normal 5 2 2 2 3 2 4 2" xfId="4051" xr:uid="{D1699A3E-230F-4973-911D-2B874D460FF9}"/>
    <cellStyle name="Normal 5 2 2 2 3 2 5" xfId="3572" xr:uid="{90238EAD-5EAD-491B-B323-4678CCC96BF5}"/>
    <cellStyle name="Normal 5 2 2 2 3 3" xfId="743" xr:uid="{00000000-0005-0000-0000-0000C7010000}"/>
    <cellStyle name="Normal 5 2 2 2 3 3 2" xfId="2726" xr:uid="{B82F4081-33CB-4FDF-B6C5-5A6E5CD3D714}"/>
    <cellStyle name="Normal 5 2 2 2 3 3 2 2" xfId="5161" xr:uid="{CC42FAAC-1DAC-48EF-952A-910D2FC5755F}"/>
    <cellStyle name="Normal 5 2 2 2 3 3 3" xfId="1888" xr:uid="{DBF11B20-66BB-43EA-923A-FE1F2F6CB409}"/>
    <cellStyle name="Normal 5 2 2 2 3 3 3 2" xfId="4405" xr:uid="{12230D17-3F9C-4D36-84DF-769D3E9BE415}"/>
    <cellStyle name="Normal 5 2 2 2 3 3 4" xfId="3676" xr:uid="{BAB7A0D7-3034-4DA7-ADA9-2FFA735C8B20}"/>
    <cellStyle name="Normal 5 2 2 2 3 4" xfId="2485" xr:uid="{9C9EE4C6-EA6A-42BD-A6BE-2FCD5C39F369}"/>
    <cellStyle name="Normal 5 2 2 2 3 4 2" xfId="4920" xr:uid="{00A65839-AC84-4A7C-A522-E398EDF65C38}"/>
    <cellStyle name="Normal 5 2 2 2 3 5" xfId="1457" xr:uid="{1AB55730-1E42-403B-84F2-4CE6AD2FF437}"/>
    <cellStyle name="Normal 5 2 2 2 3 5 2" xfId="4050" xr:uid="{79343096-ACF7-4977-8523-1D193E4600CB}"/>
    <cellStyle name="Normal 5 2 2 2 3 6" xfId="3462" xr:uid="{90E25793-11D8-4B4C-9194-4AFE4D0C871B}"/>
    <cellStyle name="Normal 5 2 2 2 4" xfId="586" xr:uid="{00000000-0005-0000-0000-0000C8010000}"/>
    <cellStyle name="Normal 5 2 2 2 4 2" xfId="797" xr:uid="{00000000-0005-0000-0000-0000C9010000}"/>
    <cellStyle name="Normal 5 2 2 2 4 2 2" xfId="2894" xr:uid="{8721304C-C15F-46F5-8634-0110A42D9BE6}"/>
    <cellStyle name="Normal 5 2 2 2 4 2 2 2" xfId="5329" xr:uid="{5D53B101-0374-4CF6-AB27-D84F8A5720E2}"/>
    <cellStyle name="Normal 5 2 2 2 4 2 3" xfId="2056" xr:uid="{A36E88A1-E9CB-44FA-BDAE-1B1978155031}"/>
    <cellStyle name="Normal 5 2 2 2 4 2 3 2" xfId="4573" xr:uid="{469CC77D-5BD6-4DB6-8AA3-65F7119EF7B5}"/>
    <cellStyle name="Normal 5 2 2 2 4 2 4" xfId="3729" xr:uid="{60CDB703-2BC2-49AA-888D-8756D22DDC48}"/>
    <cellStyle name="Normal 5 2 2 2 4 3" xfId="2487" xr:uid="{2F7BBA1E-0AB5-4668-B292-F68A8FAE0D7B}"/>
    <cellStyle name="Normal 5 2 2 2 4 3 2" xfId="4922" xr:uid="{EBC477ED-7397-4F73-9418-17C7E8478D3D}"/>
    <cellStyle name="Normal 5 2 2 2 4 4" xfId="1459" xr:uid="{80C1D847-F105-49C0-BA8B-657ED51C3749}"/>
    <cellStyle name="Normal 5 2 2 2 4 4 2" xfId="4052" xr:uid="{29E4B5C3-05C5-4052-8B90-8A9A59FE8EB6}"/>
    <cellStyle name="Normal 5 2 2 2 4 5" xfId="3520" xr:uid="{4520C424-7DFB-49F3-8451-E121F4B3D64B}"/>
    <cellStyle name="Normal 5 2 2 2 5" xfId="691" xr:uid="{00000000-0005-0000-0000-0000CA010000}"/>
    <cellStyle name="Normal 5 2 2 2 5 2" xfId="2724" xr:uid="{9C6486A8-FD0D-466C-A810-27D0C5EC064A}"/>
    <cellStyle name="Normal 5 2 2 2 5 2 2" xfId="5159" xr:uid="{7CA9D2BC-9587-4FC7-9A52-A3F0DDE5832A}"/>
    <cellStyle name="Normal 5 2 2 2 5 3" xfId="1886" xr:uid="{0C098C09-004B-419C-B53D-AA179EDE2FE0}"/>
    <cellStyle name="Normal 5 2 2 2 5 3 2" xfId="4403" xr:uid="{65248DC2-3A47-4852-ADE0-43D0781278D2}"/>
    <cellStyle name="Normal 5 2 2 2 5 4" xfId="3624" xr:uid="{A2E2E20E-C58A-4ED9-8F4F-761D2342AFCD}"/>
    <cellStyle name="Normal 5 2 2 2 6" xfId="2482" xr:uid="{6A5F0431-D6B8-4361-AC16-4E0E19434E81}"/>
    <cellStyle name="Normal 5 2 2 2 6 2" xfId="4917" xr:uid="{CE3D85D0-9861-41CB-9DE5-57F63FD37D29}"/>
    <cellStyle name="Normal 5 2 2 2 7" xfId="1454" xr:uid="{716D35EE-6F6E-4F2A-8711-9B21DE7CEA3D}"/>
    <cellStyle name="Normal 5 2 2 2 7 2" xfId="4047" xr:uid="{8436EEED-4B50-47AB-931D-789BCA3B26A6}"/>
    <cellStyle name="Normal 5 2 2 2 8" xfId="3400" xr:uid="{117AD9E3-7B9A-4025-9907-D715521E1E2A}"/>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2 2 2" xfId="3816" xr:uid="{D3CED024-50D6-43B5-BAC8-86F59B5E8700}"/>
    <cellStyle name="Normal 5 2 2 3 2 2 2 3" xfId="2897" xr:uid="{FD99C5EC-B4FD-4E60-82F5-B14BFFBA1920}"/>
    <cellStyle name="Normal 5 2 2 3 2 2 2 3 2" xfId="5332" xr:uid="{E2895CA9-09D2-404C-AAC2-7038C9B5EE77}"/>
    <cellStyle name="Normal 5 2 2 3 2 2 2 4" xfId="3607" xr:uid="{6E0E5B58-79F3-493C-84A0-58D869FDA727}"/>
    <cellStyle name="Normal 5 2 2 3 2 2 3" xfId="778" xr:uid="{00000000-0005-0000-0000-0000D0010000}"/>
    <cellStyle name="Normal 5 2 2 3 2 2 3 2" xfId="3711" xr:uid="{85CE1A1F-8F38-423A-B6E0-B425548F6CD2}"/>
    <cellStyle name="Normal 5 2 2 3 2 2 4" xfId="2059" xr:uid="{C639309B-B139-4ABB-8EA4-B9A48EBB2EEC}"/>
    <cellStyle name="Normal 5 2 2 3 2 2 4 2" xfId="4576" xr:uid="{9B57CDAE-1CB7-4A24-81D5-6EB47608003B}"/>
    <cellStyle name="Normal 5 2 2 3 2 2 5" xfId="3497" xr:uid="{D87EB986-41B4-4739-B715-160210582542}"/>
    <cellStyle name="Normal 5 2 2 3 2 3" xfId="621" xr:uid="{00000000-0005-0000-0000-0000D1010000}"/>
    <cellStyle name="Normal 5 2 2 3 2 3 2" xfId="832" xr:uid="{00000000-0005-0000-0000-0000D2010000}"/>
    <cellStyle name="Normal 5 2 2 3 2 3 2 2" xfId="3764" xr:uid="{BE30B3DF-2D08-4DA9-BC3A-0B7155040515}"/>
    <cellStyle name="Normal 5 2 2 3 2 3 3" xfId="2489" xr:uid="{9CFC7D29-396E-41FD-B4EE-1A0F7DD76644}"/>
    <cellStyle name="Normal 5 2 2 3 2 3 3 2" xfId="4924" xr:uid="{9113A60B-5656-40A7-808B-6278FA7899F7}"/>
    <cellStyle name="Normal 5 2 2 3 2 3 4" xfId="3555" xr:uid="{942D044B-0B1B-480C-83BC-0CCDC90B1296}"/>
    <cellStyle name="Normal 5 2 2 3 2 4" xfId="726" xr:uid="{00000000-0005-0000-0000-0000D3010000}"/>
    <cellStyle name="Normal 5 2 2 3 2 4 2" xfId="3659" xr:uid="{E22746E2-50F2-4C67-BE04-8E2DFD877A4A}"/>
    <cellStyle name="Normal 5 2 2 3 2 5" xfId="1461" xr:uid="{8C7F834B-B769-43A6-B67B-4DB9B911AB61}"/>
    <cellStyle name="Normal 5 2 2 3 2 5 2" xfId="4054" xr:uid="{F9324A4D-8C26-434A-A0FB-008FADB9D294}"/>
    <cellStyle name="Normal 5 2 2 3 2 6" xfId="3440" xr:uid="{B547A23C-8EDA-4BBF-B35E-C58B3250BDE8}"/>
    <cellStyle name="Normal 5 2 2 3 3" xfId="491" xr:uid="{00000000-0005-0000-0000-0000D4010000}"/>
    <cellStyle name="Normal 5 2 2 3 3 2" xfId="647" xr:uid="{00000000-0005-0000-0000-0000D5010000}"/>
    <cellStyle name="Normal 5 2 2 3 3 2 2" xfId="858" xr:uid="{00000000-0005-0000-0000-0000D6010000}"/>
    <cellStyle name="Normal 5 2 2 3 3 2 2 2" xfId="3790" xr:uid="{521FDC9B-04BE-4121-AFE2-63343361177C}"/>
    <cellStyle name="Normal 5 2 2 3 3 2 3" xfId="2727" xr:uid="{19CDFF11-7329-4AA1-9CBD-D750DB859E14}"/>
    <cellStyle name="Normal 5 2 2 3 3 2 3 2" xfId="5162" xr:uid="{36BD0FFF-4ED9-4DE8-B6CC-9180D4EC531E}"/>
    <cellStyle name="Normal 5 2 2 3 3 2 4" xfId="3581" xr:uid="{80EC74A9-A969-46E9-B087-72D678859F5F}"/>
    <cellStyle name="Normal 5 2 2 3 3 3" xfId="752" xr:uid="{00000000-0005-0000-0000-0000D7010000}"/>
    <cellStyle name="Normal 5 2 2 3 3 3 2" xfId="3685" xr:uid="{18755D40-EDC4-4C63-8F1C-64B2B5B79954}"/>
    <cellStyle name="Normal 5 2 2 3 3 4" xfId="1889" xr:uid="{8E38AF2D-15BE-4F4A-AD05-A70A49C70939}"/>
    <cellStyle name="Normal 5 2 2 3 3 4 2" xfId="4406" xr:uid="{C09C4194-CD3F-489A-A6CD-1B94C2EA2EF9}"/>
    <cellStyle name="Normal 5 2 2 3 3 5" xfId="3471" xr:uid="{7B36600F-49C3-4DCB-8627-0ECD2303CD0C}"/>
    <cellStyle name="Normal 5 2 2 3 4" xfId="595" xr:uid="{00000000-0005-0000-0000-0000D8010000}"/>
    <cellStyle name="Normal 5 2 2 3 4 2" xfId="806" xr:uid="{00000000-0005-0000-0000-0000D9010000}"/>
    <cellStyle name="Normal 5 2 2 3 4 2 2" xfId="3738" xr:uid="{0B43E596-105C-4AFB-92C4-284470C43713}"/>
    <cellStyle name="Normal 5 2 2 3 4 3" xfId="2488" xr:uid="{E0152DFB-6ECB-4ECA-85F6-5345BDB0D48F}"/>
    <cellStyle name="Normal 5 2 2 3 4 3 2" xfId="4923" xr:uid="{EB4E49FC-5CF7-491B-A1F9-0829F3683809}"/>
    <cellStyle name="Normal 5 2 2 3 4 4" xfId="3529" xr:uid="{6897B63D-8E8C-450F-827D-CF30492558F0}"/>
    <cellStyle name="Normal 5 2 2 3 5" xfId="700" xr:uid="{00000000-0005-0000-0000-0000DA010000}"/>
    <cellStyle name="Normal 5 2 2 3 5 2" xfId="3633" xr:uid="{D4B63850-C3DE-428D-9F43-1C17BBD0CCB4}"/>
    <cellStyle name="Normal 5 2 2 3 6" xfId="1460" xr:uid="{CE596074-7EF5-49B9-96D2-20D4AD617E7F}"/>
    <cellStyle name="Normal 5 2 2 3 6 2" xfId="4053" xr:uid="{79A55C5F-B415-43C1-B9F0-DFC331902371}"/>
    <cellStyle name="Normal 5 2 2 3 7" xfId="3409" xr:uid="{03644E33-BEBC-4FF4-9243-9D824235F204}"/>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2 2 2" xfId="2898" xr:uid="{8E1B9D7B-44A9-4872-975E-687590BAA135}"/>
    <cellStyle name="Normal 5 2 2 4 2 2 2 2 2" xfId="5333" xr:uid="{38B55BFB-FFF0-449A-8DD0-20845E3CF96B}"/>
    <cellStyle name="Normal 5 2 2 4 2 2 2 3" xfId="3799" xr:uid="{235E3133-FAC2-42FF-810D-457D0E925FF2}"/>
    <cellStyle name="Normal 5 2 2 4 2 2 3" xfId="2060" xr:uid="{A613A8DD-12E4-4476-9BC8-68B3598AEBFD}"/>
    <cellStyle name="Normal 5 2 2 4 2 2 3 2" xfId="4577" xr:uid="{864C769A-8AEB-42BE-90B4-ACC779A31E49}"/>
    <cellStyle name="Normal 5 2 2 4 2 2 4" xfId="3590" xr:uid="{3332B737-AD15-4BEA-8986-D6868AFF7321}"/>
    <cellStyle name="Normal 5 2 2 4 2 3" xfId="761" xr:uid="{00000000-0005-0000-0000-0000DF010000}"/>
    <cellStyle name="Normal 5 2 2 4 2 3 2" xfId="2491" xr:uid="{EC29C2D2-F545-47EB-8F97-24FBB613D7EB}"/>
    <cellStyle name="Normal 5 2 2 4 2 3 2 2" xfId="4926" xr:uid="{9E89E6E8-4324-4CB4-8362-83B7CC755667}"/>
    <cellStyle name="Normal 5 2 2 4 2 3 3" xfId="3694" xr:uid="{0B75829B-6B3A-463C-B1E7-5B27A2A95D3D}"/>
    <cellStyle name="Normal 5 2 2 4 2 4" xfId="1463" xr:uid="{55773854-0F61-4763-8936-45520294D14C}"/>
    <cellStyle name="Normal 5 2 2 4 2 4 2" xfId="4056" xr:uid="{6AE5FB35-B317-4145-B67E-A4460781AB08}"/>
    <cellStyle name="Normal 5 2 2 4 2 5" xfId="3480" xr:uid="{FE936D7E-2A95-4195-8A61-B2CB66651FB2}"/>
    <cellStyle name="Normal 5 2 2 4 3" xfId="604" xr:uid="{00000000-0005-0000-0000-0000E0010000}"/>
    <cellStyle name="Normal 5 2 2 4 3 2" xfId="815" xr:uid="{00000000-0005-0000-0000-0000E1010000}"/>
    <cellStyle name="Normal 5 2 2 4 3 2 2" xfId="2728" xr:uid="{D873E091-CA3D-4277-9DD5-8510F3F3B477}"/>
    <cellStyle name="Normal 5 2 2 4 3 2 2 2" xfId="5163" xr:uid="{A2AE0BD9-0C70-48B7-9687-28026C340D9D}"/>
    <cellStyle name="Normal 5 2 2 4 3 2 3" xfId="3747" xr:uid="{CF97BED2-CD09-42FB-90C3-7DF613BD86F3}"/>
    <cellStyle name="Normal 5 2 2 4 3 3" xfId="1890" xr:uid="{14B122AF-6F28-430B-B68F-4A9C0B1D9364}"/>
    <cellStyle name="Normal 5 2 2 4 3 3 2" xfId="4407" xr:uid="{9A45687B-C70F-4910-ACFE-2F91344D62FC}"/>
    <cellStyle name="Normal 5 2 2 4 3 4" xfId="3538" xr:uid="{C057A4E5-636A-42D7-AD83-6DA21C8439C9}"/>
    <cellStyle name="Normal 5 2 2 4 4" xfId="709" xr:uid="{00000000-0005-0000-0000-0000E2010000}"/>
    <cellStyle name="Normal 5 2 2 4 4 2" xfId="2490" xr:uid="{DBAE2489-BA0B-4A10-B155-43E4BFF94EB8}"/>
    <cellStyle name="Normal 5 2 2 4 4 2 2" xfId="4925" xr:uid="{C6F847A3-E0E6-4932-B678-04A0A07A8378}"/>
    <cellStyle name="Normal 5 2 2 4 4 3" xfId="3642" xr:uid="{28C24A7C-4194-4165-BEDC-E1969F90051B}"/>
    <cellStyle name="Normal 5 2 2 4 5" xfId="1462" xr:uid="{53C56C6B-3807-42CD-AEE7-ED48643937CE}"/>
    <cellStyle name="Normal 5 2 2 4 5 2" xfId="4055" xr:uid="{8F40AA86-ADF7-45E5-8624-D3EFA5EAB17E}"/>
    <cellStyle name="Normal 5 2 2 4 6" xfId="3423" xr:uid="{45E9B84F-3AFA-4B9E-9C3F-9A2407635CAD}"/>
    <cellStyle name="Normal 5 2 2 5" xfId="474" xr:uid="{00000000-0005-0000-0000-0000E3010000}"/>
    <cellStyle name="Normal 5 2 2 5 2" xfId="630" xr:uid="{00000000-0005-0000-0000-0000E4010000}"/>
    <cellStyle name="Normal 5 2 2 5 2 2" xfId="841" xr:uid="{00000000-0005-0000-0000-0000E5010000}"/>
    <cellStyle name="Normal 5 2 2 5 2 2 2" xfId="2893" xr:uid="{9445987F-4A7F-46D4-90C3-60AAF6744221}"/>
    <cellStyle name="Normal 5 2 2 5 2 2 2 2" xfId="5328" xr:uid="{E2A5D8E5-4C4E-48AA-B99D-2333EE3DA40E}"/>
    <cellStyle name="Normal 5 2 2 5 2 2 3" xfId="3773" xr:uid="{C2307E29-ECC0-4E3F-B94C-9603A4933EAB}"/>
    <cellStyle name="Normal 5 2 2 5 2 3" xfId="2055" xr:uid="{98CFCF67-5644-4BA8-A8F8-8598294E4793}"/>
    <cellStyle name="Normal 5 2 2 5 2 3 2" xfId="4572" xr:uid="{434E401A-1EAE-45AA-9D1A-325DFC193911}"/>
    <cellStyle name="Normal 5 2 2 5 2 4" xfId="3564" xr:uid="{B1B03B6B-DC4B-4666-B481-05B419AA58A9}"/>
    <cellStyle name="Normal 5 2 2 5 3" xfId="735" xr:uid="{00000000-0005-0000-0000-0000E6010000}"/>
    <cellStyle name="Normal 5 2 2 5 3 2" xfId="2492" xr:uid="{55BCA6B3-668C-4329-9ADF-75153BD35FF5}"/>
    <cellStyle name="Normal 5 2 2 5 3 2 2" xfId="4927" xr:uid="{B2E617E2-6180-419C-B88B-BFB34B2CCCAF}"/>
    <cellStyle name="Normal 5 2 2 5 3 3" xfId="3668" xr:uid="{2D4BD89F-9AD9-4C7A-8C87-9B0D9729FE4E}"/>
    <cellStyle name="Normal 5 2 2 5 4" xfId="1464" xr:uid="{A943F9D7-3D30-4727-9D44-FCF0EC3B98DB}"/>
    <cellStyle name="Normal 5 2 2 5 4 2" xfId="4057" xr:uid="{8350EE27-C2CC-4F9A-8713-E37D5875CE53}"/>
    <cellStyle name="Normal 5 2 2 5 5" xfId="3454" xr:uid="{3A8CBA75-CF47-41AD-9277-6FCD93EC0562}"/>
    <cellStyle name="Normal 5 2 2 6" xfId="578" xr:uid="{00000000-0005-0000-0000-0000E7010000}"/>
    <cellStyle name="Normal 5 2 2 6 2" xfId="789" xr:uid="{00000000-0005-0000-0000-0000E8010000}"/>
    <cellStyle name="Normal 5 2 2 6 2 2" xfId="2723" xr:uid="{76F91FA2-98DD-4FC3-97C5-CFD981FFA9C0}"/>
    <cellStyle name="Normal 5 2 2 6 2 2 2" xfId="5158" xr:uid="{D6CD9AD9-4FD4-485D-B96E-84E8A30BCC67}"/>
    <cellStyle name="Normal 5 2 2 6 2 3" xfId="3721" xr:uid="{F57D9C80-4B6E-452E-8866-27DD34928E59}"/>
    <cellStyle name="Normal 5 2 2 6 3" xfId="1885" xr:uid="{19BF3FEB-DC84-4FEA-8C73-22B10A623EDD}"/>
    <cellStyle name="Normal 5 2 2 6 3 2" xfId="4402" xr:uid="{D9B79410-A5A5-4503-B186-3E7130410C81}"/>
    <cellStyle name="Normal 5 2 2 6 4" xfId="3512" xr:uid="{C1F5853A-1449-4B2E-B833-FB64DF28023F}"/>
    <cellStyle name="Normal 5 2 2 7" xfId="683" xr:uid="{00000000-0005-0000-0000-0000E9010000}"/>
    <cellStyle name="Normal 5 2 2 7 2" xfId="2481" xr:uid="{E4E7EE13-FDF7-4EF5-ABD8-C1FCB2D1DA56}"/>
    <cellStyle name="Normal 5 2 2 7 2 2" xfId="4916" xr:uid="{5BD57E08-F7FF-4530-A5A1-7EB725998F20}"/>
    <cellStyle name="Normal 5 2 2 7 3" xfId="3616" xr:uid="{33431643-6972-4F48-961B-9348212E470A}"/>
    <cellStyle name="Normal 5 2 2 8" xfId="1453" xr:uid="{D632EE85-A0F2-491A-9672-464194DBAD3C}"/>
    <cellStyle name="Normal 5 2 2 8 2" xfId="4046" xr:uid="{521051B5-5196-44C0-A851-8CA15F2E7D45}"/>
    <cellStyle name="Normal 5 2 2 9" xfId="3387" xr:uid="{18DFE633-B5A8-49AC-B34A-94DFDC79E4D7}"/>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2 2 2" xfId="2900" xr:uid="{E14A0736-AFDB-4A41-91D4-2345A1463277}"/>
    <cellStyle name="Normal 5 2 3 2 2 2 2 2 2" xfId="5335" xr:uid="{889AD993-88F6-4BBA-8069-48BC1FC9FFB3}"/>
    <cellStyle name="Normal 5 2 3 2 2 2 2 3" xfId="3803" xr:uid="{05BA25BB-D7D0-45DA-BCC4-13F234F25424}"/>
    <cellStyle name="Normal 5 2 3 2 2 2 3" xfId="2062" xr:uid="{6FAB7188-BD75-4E34-97F6-3FB67777CEA6}"/>
    <cellStyle name="Normal 5 2 3 2 2 2 3 2" xfId="4579" xr:uid="{A657C329-0102-4130-BE85-CF72560D9AEF}"/>
    <cellStyle name="Normal 5 2 3 2 2 2 4" xfId="3594" xr:uid="{F3CB0565-5629-4DFF-B818-C135B7196CA9}"/>
    <cellStyle name="Normal 5 2 3 2 2 3" xfId="765" xr:uid="{00000000-0005-0000-0000-0000EF010000}"/>
    <cellStyle name="Normal 5 2 3 2 2 3 2" xfId="2495" xr:uid="{0FAEE644-D693-428C-9BA0-4534B89238E3}"/>
    <cellStyle name="Normal 5 2 3 2 2 3 2 2" xfId="4930" xr:uid="{4AE10F76-4C4B-4DA8-9E2B-54D3895A3696}"/>
    <cellStyle name="Normal 5 2 3 2 2 3 3" xfId="3698" xr:uid="{88BCA0B0-5009-46E3-B547-AECD987867CC}"/>
    <cellStyle name="Normal 5 2 3 2 2 4" xfId="1467" xr:uid="{B7B1353A-80DD-4D43-98C9-6241D417B739}"/>
    <cellStyle name="Normal 5 2 3 2 2 4 2" xfId="4060" xr:uid="{13836D6E-AA2D-4844-8CDA-3962FC48B98F}"/>
    <cellStyle name="Normal 5 2 3 2 2 5" xfId="3484" xr:uid="{0286ADA9-D739-451A-9F11-AD23CF8521F6}"/>
    <cellStyle name="Normal 5 2 3 2 3" xfId="608" xr:uid="{00000000-0005-0000-0000-0000F0010000}"/>
    <cellStyle name="Normal 5 2 3 2 3 2" xfId="819" xr:uid="{00000000-0005-0000-0000-0000F1010000}"/>
    <cellStyle name="Normal 5 2 3 2 3 2 2" xfId="2730" xr:uid="{BAB908B1-CDCC-49B3-BAF7-7B1ADC3E19BC}"/>
    <cellStyle name="Normal 5 2 3 2 3 2 2 2" xfId="5165" xr:uid="{2E7A7FC9-0533-4457-AD7E-83C8C6CA032D}"/>
    <cellStyle name="Normal 5 2 3 2 3 2 3" xfId="3751" xr:uid="{71C1D3CA-D3F2-4D5D-A63D-0CAE35924B52}"/>
    <cellStyle name="Normal 5 2 3 2 3 3" xfId="1892" xr:uid="{B14FE6C6-813E-4DC4-9C17-C4D58B062315}"/>
    <cellStyle name="Normal 5 2 3 2 3 3 2" xfId="4409" xr:uid="{4A179152-1D7B-4D3E-B2EB-B58706DF4934}"/>
    <cellStyle name="Normal 5 2 3 2 3 4" xfId="3542" xr:uid="{546888E1-68BA-435D-8AA6-41DEEF057504}"/>
    <cellStyle name="Normal 5 2 3 2 4" xfId="713" xr:uid="{00000000-0005-0000-0000-0000F2010000}"/>
    <cellStyle name="Normal 5 2 3 2 4 2" xfId="2494" xr:uid="{2C7A1866-8A2E-4010-92C7-C0C7DE1E0A24}"/>
    <cellStyle name="Normal 5 2 3 2 4 2 2" xfId="4929" xr:uid="{1DFC547E-A69E-4F72-8D5E-F01879E9D619}"/>
    <cellStyle name="Normal 5 2 3 2 4 3" xfId="3646" xr:uid="{DB379001-622B-49F3-8659-63F8E84CDED7}"/>
    <cellStyle name="Normal 5 2 3 2 5" xfId="1466" xr:uid="{E1AFF7B3-330F-4BD8-B052-8C10BD2386AB}"/>
    <cellStyle name="Normal 5 2 3 2 5 2" xfId="4059" xr:uid="{6151294C-CE9B-4AA2-BA4C-F4A74A8813C4}"/>
    <cellStyle name="Normal 5 2 3 2 6" xfId="3427" xr:uid="{8A75F5A2-ED49-4AA3-8D6A-6DBAA25B11AF}"/>
    <cellStyle name="Normal 5 2 3 3" xfId="478" xr:uid="{00000000-0005-0000-0000-0000F3010000}"/>
    <cellStyle name="Normal 5 2 3 3 2" xfId="634" xr:uid="{00000000-0005-0000-0000-0000F4010000}"/>
    <cellStyle name="Normal 5 2 3 3 2 2" xfId="845" xr:uid="{00000000-0005-0000-0000-0000F5010000}"/>
    <cellStyle name="Normal 5 2 3 3 2 2 2" xfId="2901" xr:uid="{0F56C0AF-CA59-4436-857F-0B1268BA61B4}"/>
    <cellStyle name="Normal 5 2 3 3 2 2 2 2" xfId="5336" xr:uid="{1CC8F9A2-7A0D-4A12-B6CB-1BF35B1DF7FD}"/>
    <cellStyle name="Normal 5 2 3 3 2 2 3" xfId="2063" xr:uid="{12385839-BA24-4D08-81E4-A783971D5A87}"/>
    <cellStyle name="Normal 5 2 3 3 2 2 3 2" xfId="4580" xr:uid="{142BA18F-EC50-4C9E-B03D-95886FF80E4A}"/>
    <cellStyle name="Normal 5 2 3 3 2 2 4" xfId="3777" xr:uid="{CCA254A9-BCCA-486D-850C-6BA9A23AE2E0}"/>
    <cellStyle name="Normal 5 2 3 3 2 3" xfId="2497" xr:uid="{551F0BFE-190C-494C-B003-793F511C8BF2}"/>
    <cellStyle name="Normal 5 2 3 3 2 3 2" xfId="4932" xr:uid="{F6675142-69D1-42CF-8225-18223940CC22}"/>
    <cellStyle name="Normal 5 2 3 3 2 4" xfId="1469" xr:uid="{01B1780D-BDE4-4010-B61A-A998E93BBD32}"/>
    <cellStyle name="Normal 5 2 3 3 2 4 2" xfId="4062" xr:uid="{E542358A-349C-4D4F-BDF3-A00564211FD5}"/>
    <cellStyle name="Normal 5 2 3 3 2 5" xfId="3568" xr:uid="{A1400ACD-2C06-4C15-B43F-AAC9B324DA36}"/>
    <cellStyle name="Normal 5 2 3 3 3" xfId="739" xr:uid="{00000000-0005-0000-0000-0000F6010000}"/>
    <cellStyle name="Normal 5 2 3 3 3 2" xfId="2731" xr:uid="{79BA05C8-F209-4AB1-9CE1-D7B73E0290BC}"/>
    <cellStyle name="Normal 5 2 3 3 3 2 2" xfId="5166" xr:uid="{6307B17D-38ED-4C25-9682-944ACCF380DA}"/>
    <cellStyle name="Normal 5 2 3 3 3 3" xfId="1893" xr:uid="{7960F10D-F398-4F4D-A231-37B96929C42D}"/>
    <cellStyle name="Normal 5 2 3 3 3 3 2" xfId="4410" xr:uid="{BED82D36-EF01-486F-93F7-005302E11F00}"/>
    <cellStyle name="Normal 5 2 3 3 3 4" xfId="3672" xr:uid="{E9E7FDFE-FDC0-434D-9356-713E4F785E2E}"/>
    <cellStyle name="Normal 5 2 3 3 4" xfId="2496" xr:uid="{7FF56824-2E0C-4D6E-9A1F-DFC1080BF221}"/>
    <cellStyle name="Normal 5 2 3 3 4 2" xfId="4931" xr:uid="{D5A19FE6-671C-4909-B6CC-CD6577C8C729}"/>
    <cellStyle name="Normal 5 2 3 3 5" xfId="1468" xr:uid="{02BBD94B-7AF1-45F0-AD4E-70C9E3534BEA}"/>
    <cellStyle name="Normal 5 2 3 3 5 2" xfId="4061" xr:uid="{1782C697-CC19-4CE8-BD63-2899EDC0D8FA}"/>
    <cellStyle name="Normal 5 2 3 3 6" xfId="3458" xr:uid="{2402612A-BB92-46F8-B465-5A59A7F04F92}"/>
    <cellStyle name="Normal 5 2 3 4" xfId="582" xr:uid="{00000000-0005-0000-0000-0000F7010000}"/>
    <cellStyle name="Normal 5 2 3 4 2" xfId="793" xr:uid="{00000000-0005-0000-0000-0000F8010000}"/>
    <cellStyle name="Normal 5 2 3 4 2 2" xfId="2899" xr:uid="{ADE22372-0038-40A4-895E-F773DB310D85}"/>
    <cellStyle name="Normal 5 2 3 4 2 2 2" xfId="5334" xr:uid="{A831D065-2819-4B56-A55F-4E2C3B4D5B1B}"/>
    <cellStyle name="Normal 5 2 3 4 2 3" xfId="2061" xr:uid="{AE2DB97C-9F42-49C0-9EDF-8F8A786DDEC2}"/>
    <cellStyle name="Normal 5 2 3 4 2 3 2" xfId="4578" xr:uid="{7AA973A0-516B-4FC3-94DF-3214152AB7FB}"/>
    <cellStyle name="Normal 5 2 3 4 2 4" xfId="3725" xr:uid="{602BC9A0-5F24-4D27-8CA5-5103DA0FD5A1}"/>
    <cellStyle name="Normal 5 2 3 4 3" xfId="2498" xr:uid="{A926BB4D-B9D2-4C47-85B9-583224976F78}"/>
    <cellStyle name="Normal 5 2 3 4 3 2" xfId="4933" xr:uid="{A379A5BB-5A7E-422B-8BC3-977322D59C0D}"/>
    <cellStyle name="Normal 5 2 3 4 4" xfId="1470" xr:uid="{B538ECAA-5D7A-4AC0-9F26-E8D339DDD947}"/>
    <cellStyle name="Normal 5 2 3 4 4 2" xfId="4063" xr:uid="{595717E1-6D4E-4DA7-8DEA-B64189D05BDB}"/>
    <cellStyle name="Normal 5 2 3 4 5" xfId="3516" xr:uid="{04ABB4C8-A48A-4E6D-962C-958B8563AD14}"/>
    <cellStyle name="Normal 5 2 3 5" xfId="687" xr:uid="{00000000-0005-0000-0000-0000F9010000}"/>
    <cellStyle name="Normal 5 2 3 5 2" xfId="2729" xr:uid="{EAB7323E-7677-4D52-8D89-04DCDC32452A}"/>
    <cellStyle name="Normal 5 2 3 5 2 2" xfId="5164" xr:uid="{EF1E7CAD-8F8A-4A0E-A64E-B99BA2C0F88B}"/>
    <cellStyle name="Normal 5 2 3 5 3" xfId="1891" xr:uid="{9FEE6AA4-4934-498C-8DCB-D3192BCAE884}"/>
    <cellStyle name="Normal 5 2 3 5 3 2" xfId="4408" xr:uid="{23CF5A32-3768-45ED-AB92-29DF5060FD72}"/>
    <cellStyle name="Normal 5 2 3 5 4" xfId="3620" xr:uid="{21BE1BEE-278C-4A3B-8A82-E5C144C89FC8}"/>
    <cellStyle name="Normal 5 2 3 6" xfId="2493" xr:uid="{105B711D-991E-4290-9586-1764A7F6CC66}"/>
    <cellStyle name="Normal 5 2 3 6 2" xfId="4928" xr:uid="{DAA1355B-9049-4955-B915-E71066D54479}"/>
    <cellStyle name="Normal 5 2 3 7" xfId="1465" xr:uid="{27DE05A7-9A5F-4965-9ED5-00387DE8D8ED}"/>
    <cellStyle name="Normal 5 2 3 7 2" xfId="4058" xr:uid="{FC1D4EE4-10C8-42C4-9D78-30AAFBDA88B7}"/>
    <cellStyle name="Normal 5 2 3 8" xfId="3396" xr:uid="{0EDAAF67-EF9C-46DC-AB8F-40F37454E545}"/>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2 2 2" xfId="3812" xr:uid="{8B092008-F6FE-47E8-93CC-A3D8FC9E35B7}"/>
    <cellStyle name="Normal 5 2 4 2 2 2 3" xfId="2902" xr:uid="{F4BEC291-21C4-494A-BE59-8D0FA94FCC46}"/>
    <cellStyle name="Normal 5 2 4 2 2 2 3 2" xfId="5337" xr:uid="{A0A4265C-4BD5-4B8E-827C-E3103959052D}"/>
    <cellStyle name="Normal 5 2 4 2 2 2 4" xfId="3603" xr:uid="{D524336F-41DD-4344-A528-7CE593C1B3DF}"/>
    <cellStyle name="Normal 5 2 4 2 2 3" xfId="774" xr:uid="{00000000-0005-0000-0000-0000FF010000}"/>
    <cellStyle name="Normal 5 2 4 2 2 3 2" xfId="3707" xr:uid="{10DEEE57-A258-41CE-964A-48755EF8F25E}"/>
    <cellStyle name="Normal 5 2 4 2 2 4" xfId="2064" xr:uid="{7040AC77-29E5-423C-9DD2-40D38B367B5D}"/>
    <cellStyle name="Normal 5 2 4 2 2 4 2" xfId="4581" xr:uid="{C7364F5C-3F10-48EA-A272-BD0AA7BC3BC2}"/>
    <cellStyle name="Normal 5 2 4 2 2 5" xfId="3493" xr:uid="{143253EE-6EB4-4FC3-90EA-AE4FCC090FD8}"/>
    <cellStyle name="Normal 5 2 4 2 3" xfId="617" xr:uid="{00000000-0005-0000-0000-000000020000}"/>
    <cellStyle name="Normal 5 2 4 2 3 2" xfId="828" xr:uid="{00000000-0005-0000-0000-000001020000}"/>
    <cellStyle name="Normal 5 2 4 2 3 2 2" xfId="3760" xr:uid="{43D6B695-E30F-43B1-AC61-EE7A7C62B703}"/>
    <cellStyle name="Normal 5 2 4 2 3 3" xfId="2500" xr:uid="{378D6134-7E7D-4CEE-B7AD-FCD4B9ABBFD1}"/>
    <cellStyle name="Normal 5 2 4 2 3 3 2" xfId="4935" xr:uid="{87915DBE-713E-4BB8-88BC-FCEC0DA36F8A}"/>
    <cellStyle name="Normal 5 2 4 2 3 4" xfId="3551" xr:uid="{DCE2DE9A-3ACE-4E1C-A76D-353AB8C752B3}"/>
    <cellStyle name="Normal 5 2 4 2 4" xfId="722" xr:uid="{00000000-0005-0000-0000-000002020000}"/>
    <cellStyle name="Normal 5 2 4 2 4 2" xfId="3655" xr:uid="{0B550CF1-7FBC-4BF9-9E1C-CF68A99B012D}"/>
    <cellStyle name="Normal 5 2 4 2 5" xfId="1472" xr:uid="{530D4D26-EA88-4A82-8E36-C59BD14D4728}"/>
    <cellStyle name="Normal 5 2 4 2 5 2" xfId="4065" xr:uid="{D1296095-D805-490E-845B-371A065B3DC3}"/>
    <cellStyle name="Normal 5 2 4 2 6" xfId="3436" xr:uid="{18F54DA3-CBEA-4742-AA8A-A271B2C2FE29}"/>
    <cellStyle name="Normal 5 2 4 3" xfId="487" xr:uid="{00000000-0005-0000-0000-000003020000}"/>
    <cellStyle name="Normal 5 2 4 3 2" xfId="643" xr:uid="{00000000-0005-0000-0000-000004020000}"/>
    <cellStyle name="Normal 5 2 4 3 2 2" xfId="854" xr:uid="{00000000-0005-0000-0000-000005020000}"/>
    <cellStyle name="Normal 5 2 4 3 2 2 2" xfId="3786" xr:uid="{DA1A11C7-5DFE-49AB-AE72-B72036D6479D}"/>
    <cellStyle name="Normal 5 2 4 3 2 3" xfId="2732" xr:uid="{1B91A9A9-DD9D-47FF-8AA6-FBD83B801D17}"/>
    <cellStyle name="Normal 5 2 4 3 2 3 2" xfId="5167" xr:uid="{D08967A9-7623-4A4E-B6E9-118DB8F704DE}"/>
    <cellStyle name="Normal 5 2 4 3 2 4" xfId="3577" xr:uid="{C6D2BA8E-D3AD-49B3-95A3-BAA6A9495D3B}"/>
    <cellStyle name="Normal 5 2 4 3 3" xfId="748" xr:uid="{00000000-0005-0000-0000-000006020000}"/>
    <cellStyle name="Normal 5 2 4 3 3 2" xfId="3681" xr:uid="{32A2DD2D-DBA6-40BE-9A97-5B2C9354C100}"/>
    <cellStyle name="Normal 5 2 4 3 4" xfId="1894" xr:uid="{5075E8A1-04D4-41A5-92C8-FD152B4753FD}"/>
    <cellStyle name="Normal 5 2 4 3 4 2" xfId="4411" xr:uid="{CF3BF717-2E79-4072-8E18-CC3F6913CAD3}"/>
    <cellStyle name="Normal 5 2 4 3 5" xfId="3467" xr:uid="{93D3A17F-658E-44FD-9C84-C598AA71C30C}"/>
    <cellStyle name="Normal 5 2 4 4" xfId="591" xr:uid="{00000000-0005-0000-0000-000007020000}"/>
    <cellStyle name="Normal 5 2 4 4 2" xfId="802" xr:uid="{00000000-0005-0000-0000-000008020000}"/>
    <cellStyle name="Normal 5 2 4 4 2 2" xfId="3734" xr:uid="{D6314E6E-F039-4D68-A06B-4554DD91EC9E}"/>
    <cellStyle name="Normal 5 2 4 4 3" xfId="2499" xr:uid="{7905445C-7173-4222-940D-491365CEC5CC}"/>
    <cellStyle name="Normal 5 2 4 4 3 2" xfId="4934" xr:uid="{CB8E4F3F-4F3B-48FF-BB78-9D1AC81450EF}"/>
    <cellStyle name="Normal 5 2 4 4 4" xfId="3525" xr:uid="{DD72CDB2-48E0-47C3-9578-DF49D86A0975}"/>
    <cellStyle name="Normal 5 2 4 5" xfId="696" xr:uid="{00000000-0005-0000-0000-000009020000}"/>
    <cellStyle name="Normal 5 2 4 5 2" xfId="3629" xr:uid="{7F7E1832-561D-4DC8-BA12-192C2B669B94}"/>
    <cellStyle name="Normal 5 2 4 6" xfId="1471" xr:uid="{6F816BAF-DC2A-485A-8CE9-011043090C91}"/>
    <cellStyle name="Normal 5 2 4 6 2" xfId="4064" xr:uid="{E198249C-76FA-495E-9B14-A0C958B7F827}"/>
    <cellStyle name="Normal 5 2 4 7" xfId="3405" xr:uid="{39D04D92-5762-438F-A5AF-82E0EA96A4D7}"/>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2 2 2" xfId="2903" xr:uid="{BFF5B290-DFE5-4C51-9445-F1BA43F80494}"/>
    <cellStyle name="Normal 5 2 5 2 2 2 2 2" xfId="5338" xr:uid="{9AD1AC9B-53B0-4B64-A042-E31264786F7A}"/>
    <cellStyle name="Normal 5 2 5 2 2 2 3" xfId="3795" xr:uid="{70780112-DAF9-46A1-99CC-3EEDC861D096}"/>
    <cellStyle name="Normal 5 2 5 2 2 3" xfId="2065" xr:uid="{237DDF50-8DFC-44C5-85FA-F107F8015090}"/>
    <cellStyle name="Normal 5 2 5 2 2 3 2" xfId="4582" xr:uid="{ACDF1C31-39A6-4CBC-8269-31A6582329C1}"/>
    <cellStyle name="Normal 5 2 5 2 2 4" xfId="3586" xr:uid="{072824B8-6BC8-4CB8-AAD8-B627B4691327}"/>
    <cellStyle name="Normal 5 2 5 2 3" xfId="757" xr:uid="{00000000-0005-0000-0000-00000E020000}"/>
    <cellStyle name="Normal 5 2 5 2 3 2" xfId="2502" xr:uid="{F4AD6C79-4FF5-4886-83EF-DE9948101D29}"/>
    <cellStyle name="Normal 5 2 5 2 3 2 2" xfId="4937" xr:uid="{1D5FDD2B-0914-4701-9FC7-F30B28651631}"/>
    <cellStyle name="Normal 5 2 5 2 3 3" xfId="3690" xr:uid="{6CD6ABDE-A705-4863-895F-7A5C1E3B8E31}"/>
    <cellStyle name="Normal 5 2 5 2 4" xfId="1474" xr:uid="{6DF9288D-7D8C-4F63-9814-83BDADC6D391}"/>
    <cellStyle name="Normal 5 2 5 2 4 2" xfId="4067" xr:uid="{A1645CE5-2D1F-42C6-B3C8-851B1CD51EA4}"/>
    <cellStyle name="Normal 5 2 5 2 5" xfId="3476" xr:uid="{F9099F82-92FE-4020-9C2D-ED83ABB185A3}"/>
    <cellStyle name="Normal 5 2 5 3" xfId="600" xr:uid="{00000000-0005-0000-0000-00000F020000}"/>
    <cellStyle name="Normal 5 2 5 3 2" xfId="811" xr:uid="{00000000-0005-0000-0000-000010020000}"/>
    <cellStyle name="Normal 5 2 5 3 2 2" xfId="2733" xr:uid="{0ED8573C-830C-4EF9-9B77-100A675A52E7}"/>
    <cellStyle name="Normal 5 2 5 3 2 2 2" xfId="5168" xr:uid="{F5993DC7-17EA-4CC5-B159-00EB074A6400}"/>
    <cellStyle name="Normal 5 2 5 3 2 3" xfId="3743" xr:uid="{5B1CF1DF-2436-4E94-AB37-9E59D5E14307}"/>
    <cellStyle name="Normal 5 2 5 3 3" xfId="1895" xr:uid="{C3C9BC4C-5BFE-4DCD-9B9D-7C9DFC32ABBF}"/>
    <cellStyle name="Normal 5 2 5 3 3 2" xfId="4412" xr:uid="{7DEF2071-8367-43A2-A41E-E279F68F0296}"/>
    <cellStyle name="Normal 5 2 5 3 4" xfId="3534" xr:uid="{EE958E97-1617-4E57-A870-CE9BF78A63F3}"/>
    <cellStyle name="Normal 5 2 5 4" xfId="705" xr:uid="{00000000-0005-0000-0000-000011020000}"/>
    <cellStyle name="Normal 5 2 5 4 2" xfId="2501" xr:uid="{C3C45496-005B-4DCE-98F4-8BE72951ACFE}"/>
    <cellStyle name="Normal 5 2 5 4 2 2" xfId="4936" xr:uid="{EC5E35C3-CBCB-437B-9554-CEA1A55F466A}"/>
    <cellStyle name="Normal 5 2 5 4 3" xfId="3638" xr:uid="{002671B6-D18F-49F2-94C3-6101BB1AB807}"/>
    <cellStyle name="Normal 5 2 5 5" xfId="1473" xr:uid="{47AA79EE-E2E6-4564-B87A-215764F5B752}"/>
    <cellStyle name="Normal 5 2 5 5 2" xfId="4066" xr:uid="{464B02E2-F03C-4D81-96E1-90D98F8E94CB}"/>
    <cellStyle name="Normal 5 2 5 6" xfId="3419" xr:uid="{66CBA551-ADB4-4142-A72C-FEDD1C4271F7}"/>
    <cellStyle name="Normal 5 2 6" xfId="470" xr:uid="{00000000-0005-0000-0000-000012020000}"/>
    <cellStyle name="Normal 5 2 6 2" xfId="626" xr:uid="{00000000-0005-0000-0000-000013020000}"/>
    <cellStyle name="Normal 5 2 6 2 2" xfId="837" xr:uid="{00000000-0005-0000-0000-000014020000}"/>
    <cellStyle name="Normal 5 2 6 2 2 2" xfId="2892" xr:uid="{7E95CE7B-C326-4140-8E46-BCEE04FAC4E8}"/>
    <cellStyle name="Normal 5 2 6 2 2 2 2" xfId="5327" xr:uid="{11C766A4-DB08-4030-A7CB-4004EE4CE943}"/>
    <cellStyle name="Normal 5 2 6 2 2 3" xfId="3769" xr:uid="{06B39E04-DD27-4EB5-B61D-409CB1A60B7B}"/>
    <cellStyle name="Normal 5 2 6 2 3" xfId="2054" xr:uid="{94D1054A-7A84-43AD-AF06-243A17622208}"/>
    <cellStyle name="Normal 5 2 6 2 3 2" xfId="4571" xr:uid="{C025A754-68AE-4EE2-9F6E-5F30F8F654C0}"/>
    <cellStyle name="Normal 5 2 6 2 4" xfId="3560" xr:uid="{C86B6B0F-32A0-43FD-ADC4-4BAEB50D2BAD}"/>
    <cellStyle name="Normal 5 2 6 3" xfId="731" xr:uid="{00000000-0005-0000-0000-000015020000}"/>
    <cellStyle name="Normal 5 2 6 3 2" xfId="2503" xr:uid="{8B95027A-D8AD-446D-A18A-AD34CAD77CAC}"/>
    <cellStyle name="Normal 5 2 6 3 2 2" xfId="4938" xr:uid="{2C24BA2D-7CD6-4449-8AFE-CB570F0932BD}"/>
    <cellStyle name="Normal 5 2 6 3 3" xfId="3664" xr:uid="{EA10F2C1-394F-499C-B8C8-3613D4FD7EBD}"/>
    <cellStyle name="Normal 5 2 6 4" xfId="1475" xr:uid="{9C6705D3-00CD-4073-8793-4FD00BCAA3D2}"/>
    <cellStyle name="Normal 5 2 6 4 2" xfId="4068" xr:uid="{12BC2A45-68BF-4640-8496-6438CBC66AFB}"/>
    <cellStyle name="Normal 5 2 6 5" xfId="3450" xr:uid="{22177B6F-58DB-44C4-9A9F-9F588C79CBD8}"/>
    <cellStyle name="Normal 5 2 7" xfId="574" xr:uid="{00000000-0005-0000-0000-000016020000}"/>
    <cellStyle name="Normal 5 2 7 2" xfId="785" xr:uid="{00000000-0005-0000-0000-000017020000}"/>
    <cellStyle name="Normal 5 2 7 2 2" xfId="2722" xr:uid="{AB4D8A44-93B5-4874-9715-752218846DD1}"/>
    <cellStyle name="Normal 5 2 7 2 2 2" xfId="5157" xr:uid="{7C7079AB-8704-412C-8AFD-5844F607BF1A}"/>
    <cellStyle name="Normal 5 2 7 2 3" xfId="3717" xr:uid="{283A09AE-2BFB-418D-8518-7295346F727D}"/>
    <cellStyle name="Normal 5 2 7 3" xfId="1884" xr:uid="{ED964A47-6AE7-4CAC-9F2B-A37C894FB1BE}"/>
    <cellStyle name="Normal 5 2 7 3 2" xfId="4401" xr:uid="{9C78F819-3489-44B1-8CD7-272E7D8E396B}"/>
    <cellStyle name="Normal 5 2 7 4" xfId="3508" xr:uid="{64104E1D-DA1A-4C5B-900A-6BE482365EF7}"/>
    <cellStyle name="Normal 5 2 8" xfId="679" xr:uid="{00000000-0005-0000-0000-000018020000}"/>
    <cellStyle name="Normal 5 2 8 2" xfId="2240" xr:uid="{B0A293CB-FF2D-4A5D-93F3-5E715A409691}"/>
    <cellStyle name="Normal 5 2 8 2 2" xfId="4709" xr:uid="{E5D69235-35B5-42B6-B066-E51B113970D5}"/>
    <cellStyle name="Normal 5 2 8 3" xfId="3612" xr:uid="{A3B893BC-A167-4F81-A493-754657212D27}"/>
    <cellStyle name="Normal 5 2 9" xfId="2480" xr:uid="{0BD1D395-D750-4B79-BDC3-2221C8B12C4C}"/>
    <cellStyle name="Normal 5 2 9 2" xfId="4915" xr:uid="{D0C18FAA-F1B2-4E24-9C64-B9E50EA081E8}"/>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2 2 2" xfId="2905" xr:uid="{1462914D-4CA3-432E-A2B7-5BC1BCCE89C7}"/>
    <cellStyle name="Normal 5 3 2 2 2 2 2 2 2" xfId="5340" xr:uid="{E6F3AF95-2C7D-4658-ACBE-DF6EA354B06E}"/>
    <cellStyle name="Normal 5 3 2 2 2 2 2 3" xfId="3805" xr:uid="{98B77455-F9D9-4A74-85FD-68B10AEB7A7C}"/>
    <cellStyle name="Normal 5 3 2 2 2 2 3" xfId="2067" xr:uid="{E09FFE0B-2777-461D-9899-21B44832AC8F}"/>
    <cellStyle name="Normal 5 3 2 2 2 2 3 2" xfId="4584" xr:uid="{FFC63DE9-27BF-42CA-AC3B-740671586CA1}"/>
    <cellStyle name="Normal 5 3 2 2 2 2 4" xfId="3596" xr:uid="{32425F05-0ADF-4104-89AE-840F25763E56}"/>
    <cellStyle name="Normal 5 3 2 2 2 3" xfId="767" xr:uid="{00000000-0005-0000-0000-00001F020000}"/>
    <cellStyle name="Normal 5 3 2 2 2 3 2" xfId="2506" xr:uid="{34FEC0F5-93DF-4135-A598-DEB93123A834}"/>
    <cellStyle name="Normal 5 3 2 2 2 3 2 2" xfId="4941" xr:uid="{B82FE000-A159-484E-9B84-49E969E396F4}"/>
    <cellStyle name="Normal 5 3 2 2 2 3 3" xfId="3700" xr:uid="{BE25F62F-D6FF-49E0-9425-03E804D25967}"/>
    <cellStyle name="Normal 5 3 2 2 2 4" xfId="1479" xr:uid="{BF14F7C7-5188-4CAC-9026-E329AC71FA27}"/>
    <cellStyle name="Normal 5 3 2 2 2 4 2" xfId="4071" xr:uid="{F58C3A60-399E-4B69-8FDC-F6579321D29F}"/>
    <cellStyle name="Normal 5 3 2 2 2 5" xfId="3486" xr:uid="{CE38AE8A-22B4-40BE-BBDE-ECC305185C0D}"/>
    <cellStyle name="Normal 5 3 2 2 3" xfId="610" xr:uid="{00000000-0005-0000-0000-000020020000}"/>
    <cellStyle name="Normal 5 3 2 2 3 2" xfId="821" xr:uid="{00000000-0005-0000-0000-000021020000}"/>
    <cellStyle name="Normal 5 3 2 2 3 2 2" xfId="2735" xr:uid="{7007D841-94B8-4517-85FD-74259C3FBFD4}"/>
    <cellStyle name="Normal 5 3 2 2 3 2 2 2" xfId="5170" xr:uid="{306070FC-3F22-4F0F-A2A7-08D64FD056D8}"/>
    <cellStyle name="Normal 5 3 2 2 3 2 3" xfId="3753" xr:uid="{773C69CF-2DCD-4896-9E58-78C7543612BA}"/>
    <cellStyle name="Normal 5 3 2 2 3 3" xfId="1897" xr:uid="{557C8FD9-C67B-4272-957D-5F83EF5628CF}"/>
    <cellStyle name="Normal 5 3 2 2 3 3 2" xfId="4414" xr:uid="{947CB7B4-A075-4B6D-AED8-6A4DD99FBB93}"/>
    <cellStyle name="Normal 5 3 2 2 3 4" xfId="3544" xr:uid="{4F13872E-DD61-4114-AB5B-51081673EE9F}"/>
    <cellStyle name="Normal 5 3 2 2 4" xfId="715" xr:uid="{00000000-0005-0000-0000-000022020000}"/>
    <cellStyle name="Normal 5 3 2 2 4 2" xfId="2505" xr:uid="{C7B56D19-68FF-4E15-8FDF-15185B913AA5}"/>
    <cellStyle name="Normal 5 3 2 2 4 2 2" xfId="4940" xr:uid="{F1A40060-C09B-4698-94BF-253FE71AF9CE}"/>
    <cellStyle name="Normal 5 3 2 2 4 3" xfId="3648" xr:uid="{2E113CE6-C94C-4861-B096-78C49FED7766}"/>
    <cellStyle name="Normal 5 3 2 2 5" xfId="1478" xr:uid="{4D30AA7A-F3F3-4D69-9DC4-39729FB3F0BD}"/>
    <cellStyle name="Normal 5 3 2 2 5 2" xfId="4070" xr:uid="{A4B32921-460A-4E88-B889-8EE5912F0B8B}"/>
    <cellStyle name="Normal 5 3 2 2 6" xfId="3429" xr:uid="{A7D9400F-C898-4727-A3DA-189A5E39AEB1}"/>
    <cellStyle name="Normal 5 3 2 3" xfId="480" xr:uid="{00000000-0005-0000-0000-000023020000}"/>
    <cellStyle name="Normal 5 3 2 3 2" xfId="636" xr:uid="{00000000-0005-0000-0000-000024020000}"/>
    <cellStyle name="Normal 5 3 2 3 2 2" xfId="847" xr:uid="{00000000-0005-0000-0000-000025020000}"/>
    <cellStyle name="Normal 5 3 2 3 2 2 2" xfId="2906" xr:uid="{80190684-EBC7-4C91-819E-DDF479576E7C}"/>
    <cellStyle name="Normal 5 3 2 3 2 2 2 2" xfId="5341" xr:uid="{573361D3-EA69-4C8B-A2AC-C1B43D3C2C79}"/>
    <cellStyle name="Normal 5 3 2 3 2 2 3" xfId="2068" xr:uid="{15C865CF-3A72-4D3A-989D-60920341CAD2}"/>
    <cellStyle name="Normal 5 3 2 3 2 2 3 2" xfId="4585" xr:uid="{14E0B0B4-CC05-42CA-9069-ED18E2E8C93D}"/>
    <cellStyle name="Normal 5 3 2 3 2 2 4" xfId="3779" xr:uid="{CC7F0CFB-F642-4F1B-B55B-CCA5003E27FD}"/>
    <cellStyle name="Normal 5 3 2 3 2 3" xfId="2508" xr:uid="{88F943E9-7A07-44A8-852C-1F0A30D2836B}"/>
    <cellStyle name="Normal 5 3 2 3 2 3 2" xfId="4943" xr:uid="{20277A27-84F9-47F4-AE31-624D45463005}"/>
    <cellStyle name="Normal 5 3 2 3 2 4" xfId="1481" xr:uid="{32AFD444-0CA0-472D-BDF3-A537E1177792}"/>
    <cellStyle name="Normal 5 3 2 3 2 4 2" xfId="4073" xr:uid="{EF244EE6-A058-4E75-A626-C7822448421B}"/>
    <cellStyle name="Normal 5 3 2 3 2 5" xfId="3570" xr:uid="{755E65F1-9ABA-4E13-B200-7404FCB8D99A}"/>
    <cellStyle name="Normal 5 3 2 3 3" xfId="741" xr:uid="{00000000-0005-0000-0000-000026020000}"/>
    <cellStyle name="Normal 5 3 2 3 3 2" xfId="2736" xr:uid="{375AA0D8-A473-4155-AB4A-E537C10C84AA}"/>
    <cellStyle name="Normal 5 3 2 3 3 2 2" xfId="5171" xr:uid="{FA7635C9-97DC-4110-9EC4-E5E738870F0C}"/>
    <cellStyle name="Normal 5 3 2 3 3 3" xfId="1898" xr:uid="{72881647-2160-406C-83D5-018A9FCA8947}"/>
    <cellStyle name="Normal 5 3 2 3 3 3 2" xfId="4415" xr:uid="{D831C86C-1B61-44D2-8FCA-2F12BE1CE743}"/>
    <cellStyle name="Normal 5 3 2 3 3 4" xfId="3674" xr:uid="{72E90790-FBC4-442E-8B94-B37070BC9063}"/>
    <cellStyle name="Normal 5 3 2 3 4" xfId="2507" xr:uid="{E474728F-4506-4CE4-B5E8-E52249709289}"/>
    <cellStyle name="Normal 5 3 2 3 4 2" xfId="4942" xr:uid="{9598DC8F-6AF3-4F13-8BCB-3CA55D003B92}"/>
    <cellStyle name="Normal 5 3 2 3 5" xfId="1480" xr:uid="{76DE6850-9618-48F4-85E1-CB17C4019CD6}"/>
    <cellStyle name="Normal 5 3 2 3 5 2" xfId="4072" xr:uid="{62D01D13-3597-4ABE-9025-C7E10BF32A49}"/>
    <cellStyle name="Normal 5 3 2 3 6" xfId="3460" xr:uid="{4E2ED4B5-5472-458D-83B1-10BAB46483C3}"/>
    <cellStyle name="Normal 5 3 2 4" xfId="584" xr:uid="{00000000-0005-0000-0000-000027020000}"/>
    <cellStyle name="Normal 5 3 2 4 2" xfId="795" xr:uid="{00000000-0005-0000-0000-000028020000}"/>
    <cellStyle name="Normal 5 3 2 4 2 2" xfId="2904" xr:uid="{7B63F3B2-0691-4068-A879-FFF30213A5DF}"/>
    <cellStyle name="Normal 5 3 2 4 2 2 2" xfId="5339" xr:uid="{8270B2DF-9465-4932-953A-D0C964BDF50E}"/>
    <cellStyle name="Normal 5 3 2 4 2 3" xfId="2066" xr:uid="{F368123C-949C-4E23-8F48-A38105BB4DC5}"/>
    <cellStyle name="Normal 5 3 2 4 2 3 2" xfId="4583" xr:uid="{393CB28F-74B2-4ED9-AB44-7A2C82F42148}"/>
    <cellStyle name="Normal 5 3 2 4 2 4" xfId="3727" xr:uid="{DBD61F0A-FDA1-4B09-B519-B4678D55529A}"/>
    <cellStyle name="Normal 5 3 2 4 3" xfId="2509" xr:uid="{DE1A5BA0-F39C-4CC6-8BF5-BEEAA0495509}"/>
    <cellStyle name="Normal 5 3 2 4 3 2" xfId="4944" xr:uid="{62390541-F939-4DF4-9B2B-6B9380C512AB}"/>
    <cellStyle name="Normal 5 3 2 4 4" xfId="1482" xr:uid="{36C985FA-7A32-4D02-AB97-BDDCDC0BA53C}"/>
    <cellStyle name="Normal 5 3 2 4 4 2" xfId="4074" xr:uid="{83E8379F-DAAD-4497-BEBD-7CB48B15B1D8}"/>
    <cellStyle name="Normal 5 3 2 4 5" xfId="3518" xr:uid="{3458B768-FABF-4B86-90D3-2FFB3F9F082C}"/>
    <cellStyle name="Normal 5 3 2 5" xfId="689" xr:uid="{00000000-0005-0000-0000-000029020000}"/>
    <cellStyle name="Normal 5 3 2 5 2" xfId="2734" xr:uid="{1AD61E4E-A58E-4CD7-942C-8F46BAAEF4D6}"/>
    <cellStyle name="Normal 5 3 2 5 2 2" xfId="5169" xr:uid="{1F989ADE-7204-4343-9192-DC079E322BA9}"/>
    <cellStyle name="Normal 5 3 2 5 3" xfId="1896" xr:uid="{CEAD9501-2DAE-4A50-9098-86D9691B05F4}"/>
    <cellStyle name="Normal 5 3 2 5 3 2" xfId="4413" xr:uid="{FC3F15CA-460C-4884-A681-8AE2AFE69C8B}"/>
    <cellStyle name="Normal 5 3 2 5 4" xfId="3622" xr:uid="{77DCBA75-A44E-4F08-BF96-36EDED7DD757}"/>
    <cellStyle name="Normal 5 3 2 6" xfId="2504" xr:uid="{9F90B0C3-F749-44E7-BD2D-494D21FFD158}"/>
    <cellStyle name="Normal 5 3 2 6 2" xfId="4939" xr:uid="{D25E58FA-9A9A-41BE-A326-0ADFCB7C81DF}"/>
    <cellStyle name="Normal 5 3 2 7" xfId="1477" xr:uid="{A49D2BAE-4F77-4B6C-9AFB-584269182511}"/>
    <cellStyle name="Normal 5 3 2 7 2" xfId="4069" xr:uid="{0972C146-834A-4C96-AC38-996844D32B3D}"/>
    <cellStyle name="Normal 5 3 2 8" xfId="3398" xr:uid="{87EAD8F5-444E-48EB-A95C-020850ADF603}"/>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2 2 2" xfId="3814" xr:uid="{013EC4CE-C8DB-4487-B99B-87BF32A62960}"/>
    <cellStyle name="Normal 5 3 3 2 2 2 3" xfId="2907" xr:uid="{FED92EFF-F004-4AB8-A43E-9F87207F2477}"/>
    <cellStyle name="Normal 5 3 3 2 2 2 3 2" xfId="5342" xr:uid="{6D83AF9F-C44F-457A-AD20-652F23A6727A}"/>
    <cellStyle name="Normal 5 3 3 2 2 2 4" xfId="3605" xr:uid="{C4431531-734A-4EC5-96B4-066D33BFCA04}"/>
    <cellStyle name="Normal 5 3 3 2 2 3" xfId="776" xr:uid="{00000000-0005-0000-0000-00002F020000}"/>
    <cellStyle name="Normal 5 3 3 2 2 3 2" xfId="3709" xr:uid="{708B2318-0A06-4D91-A481-CBA3DC68714B}"/>
    <cellStyle name="Normal 5 3 3 2 2 4" xfId="2069" xr:uid="{9E8B92A4-0A24-448A-852A-61045F3C596D}"/>
    <cellStyle name="Normal 5 3 3 2 2 4 2" xfId="4586" xr:uid="{2F4F53B1-06A4-487E-BC77-98F78D9E9867}"/>
    <cellStyle name="Normal 5 3 3 2 2 5" xfId="3495" xr:uid="{171AE557-CD98-4CDF-8347-589566EF5C6E}"/>
    <cellStyle name="Normal 5 3 3 2 3" xfId="619" xr:uid="{00000000-0005-0000-0000-000030020000}"/>
    <cellStyle name="Normal 5 3 3 2 3 2" xfId="830" xr:uid="{00000000-0005-0000-0000-000031020000}"/>
    <cellStyle name="Normal 5 3 3 2 3 2 2" xfId="3762" xr:uid="{20E7DA11-F089-407E-BB29-375D998D23AF}"/>
    <cellStyle name="Normal 5 3 3 2 3 3" xfId="2511" xr:uid="{024C6A05-0961-4FC3-A988-0B39742B3598}"/>
    <cellStyle name="Normal 5 3 3 2 3 3 2" xfId="4946" xr:uid="{7E9B8577-35F8-4543-8D1F-C876DEE1CA80}"/>
    <cellStyle name="Normal 5 3 3 2 3 4" xfId="3553" xr:uid="{EE51077F-A852-4BBE-A2AC-48BCD7106AEE}"/>
    <cellStyle name="Normal 5 3 3 2 4" xfId="724" xr:uid="{00000000-0005-0000-0000-000032020000}"/>
    <cellStyle name="Normal 5 3 3 2 4 2" xfId="3657" xr:uid="{09EC7F46-5535-4F1E-84F6-ABD996892624}"/>
    <cellStyle name="Normal 5 3 3 2 5" xfId="1484" xr:uid="{43A2333E-70CD-4505-8A17-87D483D1A922}"/>
    <cellStyle name="Normal 5 3 3 2 5 2" xfId="4076" xr:uid="{A56AF537-6EFB-477F-93A4-244234E71A9E}"/>
    <cellStyle name="Normal 5 3 3 2 6" xfId="3438" xr:uid="{554C963E-80FF-487B-80D0-17651C4F172E}"/>
    <cellStyle name="Normal 5 3 3 3" xfId="489" xr:uid="{00000000-0005-0000-0000-000033020000}"/>
    <cellStyle name="Normal 5 3 3 3 2" xfId="645" xr:uid="{00000000-0005-0000-0000-000034020000}"/>
    <cellStyle name="Normal 5 3 3 3 2 2" xfId="856" xr:uid="{00000000-0005-0000-0000-000035020000}"/>
    <cellStyle name="Normal 5 3 3 3 2 2 2" xfId="3788" xr:uid="{D6B43BB2-4E3D-47B2-A5C0-716417BD8619}"/>
    <cellStyle name="Normal 5 3 3 3 2 3" xfId="2737" xr:uid="{BB94A5AA-624C-4B1D-AB1B-207FE5713B44}"/>
    <cellStyle name="Normal 5 3 3 3 2 3 2" xfId="5172" xr:uid="{93754057-D0C6-4178-97E3-473F882BA685}"/>
    <cellStyle name="Normal 5 3 3 3 2 4" xfId="3579" xr:uid="{EBECB9AC-0A89-434D-BCCE-FADA023198A9}"/>
    <cellStyle name="Normal 5 3 3 3 3" xfId="750" xr:uid="{00000000-0005-0000-0000-000036020000}"/>
    <cellStyle name="Normal 5 3 3 3 3 2" xfId="3683" xr:uid="{CBD2EE80-2020-465B-A993-1ACF6B8D88F8}"/>
    <cellStyle name="Normal 5 3 3 3 4" xfId="1899" xr:uid="{DB271AFA-8958-463E-9AD1-F485EBEA4ED2}"/>
    <cellStyle name="Normal 5 3 3 3 4 2" xfId="4416" xr:uid="{CFC41BCE-A323-4CCC-93B4-9F86370B9B8F}"/>
    <cellStyle name="Normal 5 3 3 3 5" xfId="3469" xr:uid="{339B4A1E-20BC-4CBE-97A7-1961F7A00ED9}"/>
    <cellStyle name="Normal 5 3 3 4" xfId="593" xr:uid="{00000000-0005-0000-0000-000037020000}"/>
    <cellStyle name="Normal 5 3 3 4 2" xfId="804" xr:uid="{00000000-0005-0000-0000-000038020000}"/>
    <cellStyle name="Normal 5 3 3 4 2 2" xfId="3736" xr:uid="{93D8BF51-FC8A-4D6B-8E7B-D4ABC7D2CE20}"/>
    <cellStyle name="Normal 5 3 3 4 3" xfId="2510" xr:uid="{CC5DF59F-77FA-404B-B029-61BBD5AA8FD3}"/>
    <cellStyle name="Normal 5 3 3 4 3 2" xfId="4945" xr:uid="{94C266A2-D540-439F-9CEF-6F2FD88275C0}"/>
    <cellStyle name="Normal 5 3 3 4 4" xfId="3527" xr:uid="{AFA84220-1AC3-463C-BCAB-5EA3B21B58BC}"/>
    <cellStyle name="Normal 5 3 3 5" xfId="698" xr:uid="{00000000-0005-0000-0000-000039020000}"/>
    <cellStyle name="Normal 5 3 3 5 2" xfId="3631" xr:uid="{E503A876-E0ED-4923-9E8A-064F116F59CE}"/>
    <cellStyle name="Normal 5 3 3 6" xfId="1483" xr:uid="{CC7440F1-8296-4789-86A6-DBE83A3D07BB}"/>
    <cellStyle name="Normal 5 3 3 6 2" xfId="4075" xr:uid="{1F8B4526-D182-4037-A062-26138B4AF34C}"/>
    <cellStyle name="Normal 5 3 3 7" xfId="3407" xr:uid="{A26CFC70-D21A-484B-AF8B-F8866493B99A}"/>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2 2 2" xfId="2908" xr:uid="{BE0A0989-9C7C-40FD-ABA9-2329FDB26A33}"/>
    <cellStyle name="Normal 5 3 4 2 2 2 2 2" xfId="5343" xr:uid="{2EBDEB99-702F-4DFD-ADDC-2FF629D2AC43}"/>
    <cellStyle name="Normal 5 3 4 2 2 2 3" xfId="3797" xr:uid="{3FAFFEB0-42BD-4772-A552-F2F4BA66C7A4}"/>
    <cellStyle name="Normal 5 3 4 2 2 3" xfId="2070" xr:uid="{C3E83E2E-3F04-4258-9AC4-1B58536583F4}"/>
    <cellStyle name="Normal 5 3 4 2 2 3 2" xfId="4587" xr:uid="{2B3EA774-ED90-4D22-9A40-5840FA76F273}"/>
    <cellStyle name="Normal 5 3 4 2 2 4" xfId="3588" xr:uid="{242D05B6-1B87-4D25-A620-5AC8F364A041}"/>
    <cellStyle name="Normal 5 3 4 2 3" xfId="759" xr:uid="{00000000-0005-0000-0000-00003E020000}"/>
    <cellStyle name="Normal 5 3 4 2 3 2" xfId="2513" xr:uid="{83F99F57-A20D-47FE-9F4D-E9C0800104CD}"/>
    <cellStyle name="Normal 5 3 4 2 3 2 2" xfId="4948" xr:uid="{4FC5D091-B074-4779-9123-ED2ED69B90C6}"/>
    <cellStyle name="Normal 5 3 4 2 3 3" xfId="3692" xr:uid="{13119780-3215-489D-82A7-B4B3A4DA93A1}"/>
    <cellStyle name="Normal 5 3 4 2 4" xfId="1486" xr:uid="{352165A9-24B5-473A-A091-F65ED06A582B}"/>
    <cellStyle name="Normal 5 3 4 2 4 2" xfId="4078" xr:uid="{D53137F5-2B87-4EE2-8475-E8ECD142F665}"/>
    <cellStyle name="Normal 5 3 4 2 5" xfId="3478" xr:uid="{B4107C85-9BFC-4B4D-BCB6-8A09E078E668}"/>
    <cellStyle name="Normal 5 3 4 3" xfId="602" xr:uid="{00000000-0005-0000-0000-00003F020000}"/>
    <cellStyle name="Normal 5 3 4 3 2" xfId="813" xr:uid="{00000000-0005-0000-0000-000040020000}"/>
    <cellStyle name="Normal 5 3 4 3 2 2" xfId="2738" xr:uid="{072ABA06-D777-436C-992C-50BF2F955C11}"/>
    <cellStyle name="Normal 5 3 4 3 2 2 2" xfId="5173" xr:uid="{264E8F9D-A1D6-41A6-8952-51FD1C7CE46E}"/>
    <cellStyle name="Normal 5 3 4 3 2 3" xfId="3745" xr:uid="{1CA79868-D92A-41EB-98CC-7BA6F33D2B9F}"/>
    <cellStyle name="Normal 5 3 4 3 3" xfId="1900" xr:uid="{1FB3B786-FD6E-4FE1-9937-2F5B17B1FBFE}"/>
    <cellStyle name="Normal 5 3 4 3 3 2" xfId="4417" xr:uid="{61B4C065-E582-46A7-BBFD-F1B928D5165C}"/>
    <cellStyle name="Normal 5 3 4 3 4" xfId="3536" xr:uid="{91F3260D-5AF7-4751-815F-BECA5EDDE651}"/>
    <cellStyle name="Normal 5 3 4 4" xfId="707" xr:uid="{00000000-0005-0000-0000-000041020000}"/>
    <cellStyle name="Normal 5 3 4 4 2" xfId="2512" xr:uid="{504D2D35-891C-4D52-9900-66D415EA56EB}"/>
    <cellStyle name="Normal 5 3 4 4 2 2" xfId="4947" xr:uid="{082936C2-9C7E-41B7-ACEA-54FE3305CBED}"/>
    <cellStyle name="Normal 5 3 4 4 3" xfId="3640" xr:uid="{BCAF62F3-106A-4EFF-8CA0-F34451DD5233}"/>
    <cellStyle name="Normal 5 3 4 5" xfId="1485" xr:uid="{D9C185C2-2A79-4627-A634-AF26022777D6}"/>
    <cellStyle name="Normal 5 3 4 5 2" xfId="4077" xr:uid="{6C64F58F-D36F-4DED-9309-E06D2139757A}"/>
    <cellStyle name="Normal 5 3 4 6" xfId="3421" xr:uid="{84595A46-9F93-4350-9DF5-42DE6AD6446D}"/>
    <cellStyle name="Normal 5 3 5" xfId="472" xr:uid="{00000000-0005-0000-0000-000042020000}"/>
    <cellStyle name="Normal 5 3 5 2" xfId="628" xr:uid="{00000000-0005-0000-0000-000043020000}"/>
    <cellStyle name="Normal 5 3 5 2 2" xfId="839" xr:uid="{00000000-0005-0000-0000-000044020000}"/>
    <cellStyle name="Normal 5 3 5 2 2 2" xfId="3771" xr:uid="{88101F3A-9311-45F8-B9A9-407F69A50D60}"/>
    <cellStyle name="Normal 5 3 5 2 3" xfId="3562" xr:uid="{E896FD4C-19B7-4538-AFF0-631C4AD8FEFD}"/>
    <cellStyle name="Normal 5 3 5 3" xfId="733" xr:uid="{00000000-0005-0000-0000-000045020000}"/>
    <cellStyle name="Normal 5 3 5 3 2" xfId="3666" xr:uid="{30089712-67D4-4849-A08B-1A0BEF991120}"/>
    <cellStyle name="Normal 5 3 5 4" xfId="3452" xr:uid="{93EE1D20-ACBB-4C9E-8BB9-F1D85FACEE88}"/>
    <cellStyle name="Normal 5 3 6" xfId="576" xr:uid="{00000000-0005-0000-0000-000046020000}"/>
    <cellStyle name="Normal 5 3 6 2" xfId="787" xr:uid="{00000000-0005-0000-0000-000047020000}"/>
    <cellStyle name="Normal 5 3 6 2 2" xfId="3719" xr:uid="{5CEDFEB8-B0EB-4240-A9D1-2F5394581FF1}"/>
    <cellStyle name="Normal 5 3 6 3" xfId="3510" xr:uid="{B0978FD5-4E4A-4CFF-A8FD-19FCF0991D81}"/>
    <cellStyle name="Normal 5 3 7" xfId="681" xr:uid="{00000000-0005-0000-0000-000048020000}"/>
    <cellStyle name="Normal 5 3 7 2" xfId="3614" xr:uid="{6A1EADA9-BCAC-4222-A1CF-00178AE4F1B6}"/>
    <cellStyle name="Normal 5 3 8" xfId="1476" xr:uid="{C3F50E7A-3478-4DC5-BA1E-02C9D0E00766}"/>
    <cellStyle name="Normal 5 3 9" xfId="3385" xr:uid="{5AD14DD2-2831-47F1-9861-447F29D5690C}"/>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2 2 2" xfId="2910" xr:uid="{C7DD388E-1F64-4B37-8F30-A539F4B2052E}"/>
    <cellStyle name="Normal 5 4 2 2 2 2 2 2" xfId="5345" xr:uid="{72CFCC00-97F1-4040-BE61-2E773F73D472}"/>
    <cellStyle name="Normal 5 4 2 2 2 2 3" xfId="3801" xr:uid="{E2B1B1B8-AA0A-4840-9511-8C144F08C161}"/>
    <cellStyle name="Normal 5 4 2 2 2 3" xfId="2072" xr:uid="{F9DB3EE8-0281-47DA-9C51-4378067B762D}"/>
    <cellStyle name="Normal 5 4 2 2 2 3 2" xfId="4589" xr:uid="{B4CB63AB-6BB5-4A02-BCED-852A00375C24}"/>
    <cellStyle name="Normal 5 4 2 2 2 4" xfId="3592" xr:uid="{D707225E-ACB1-4344-B1A7-7F676411F15D}"/>
    <cellStyle name="Normal 5 4 2 2 3" xfId="763" xr:uid="{00000000-0005-0000-0000-00004E020000}"/>
    <cellStyle name="Normal 5 4 2 2 3 2" xfId="2516" xr:uid="{9271B195-2F52-4C31-B5C5-FC128F73FD0F}"/>
    <cellStyle name="Normal 5 4 2 2 3 2 2" xfId="4951" xr:uid="{65521D9A-A5F7-4647-A8F9-B125891C5D48}"/>
    <cellStyle name="Normal 5 4 2 2 3 3" xfId="3696" xr:uid="{A061AA24-75F1-4914-B977-2AFC9E4801D9}"/>
    <cellStyle name="Normal 5 4 2 2 4" xfId="1489" xr:uid="{F241C311-FF85-44A8-AE00-4BAE74186B2D}"/>
    <cellStyle name="Normal 5 4 2 2 4 2" xfId="4081" xr:uid="{07D3E3ED-644C-477B-BDBF-6EB185855EE8}"/>
    <cellStyle name="Normal 5 4 2 2 5" xfId="3482" xr:uid="{824D5C97-7F60-4A4F-9814-FE7C8AF10A9B}"/>
    <cellStyle name="Normal 5 4 2 3" xfId="606" xr:uid="{00000000-0005-0000-0000-00004F020000}"/>
    <cellStyle name="Normal 5 4 2 3 2" xfId="817" xr:uid="{00000000-0005-0000-0000-000050020000}"/>
    <cellStyle name="Normal 5 4 2 3 2 2" xfId="2740" xr:uid="{C223F2EA-3F07-40C4-B9DB-ECCB0616C835}"/>
    <cellStyle name="Normal 5 4 2 3 2 2 2" xfId="5175" xr:uid="{EB5C5E0A-E4F0-49A3-9F49-DA0AEE302224}"/>
    <cellStyle name="Normal 5 4 2 3 2 3" xfId="3749" xr:uid="{21FD96A3-4AF8-48BE-A9C2-EA2376C0D4E8}"/>
    <cellStyle name="Normal 5 4 2 3 3" xfId="1902" xr:uid="{066410FA-ADBC-48F0-8790-6132C90ACA5C}"/>
    <cellStyle name="Normal 5 4 2 3 3 2" xfId="4419" xr:uid="{542EE0A3-1A34-4CD9-BBDC-FBF7B393F52A}"/>
    <cellStyle name="Normal 5 4 2 3 4" xfId="3540" xr:uid="{E15A762F-86DB-42F9-944A-CA9ED7092FEF}"/>
    <cellStyle name="Normal 5 4 2 4" xfId="711" xr:uid="{00000000-0005-0000-0000-000051020000}"/>
    <cellStyle name="Normal 5 4 2 4 2" xfId="2515" xr:uid="{A9192333-71A5-46B8-951E-CE8E503D9410}"/>
    <cellStyle name="Normal 5 4 2 4 2 2" xfId="4950" xr:uid="{5B52CAED-5892-44E5-A60A-55F4B68571D6}"/>
    <cellStyle name="Normal 5 4 2 4 3" xfId="3644" xr:uid="{38B057DE-6F03-42EA-8292-82112E45E02A}"/>
    <cellStyle name="Normal 5 4 2 5" xfId="1488" xr:uid="{16EB2FD0-81CA-4228-A80D-1EC951C46819}"/>
    <cellStyle name="Normal 5 4 2 5 2" xfId="4080" xr:uid="{B3A7C1DE-C048-4E85-97E1-8676EAE355C6}"/>
    <cellStyle name="Normal 5 4 2 6" xfId="3425" xr:uid="{0767D1E1-C5A4-456E-924C-9EF4D4EABB6F}"/>
    <cellStyle name="Normal 5 4 3" xfId="476" xr:uid="{00000000-0005-0000-0000-000052020000}"/>
    <cellStyle name="Normal 5 4 3 2" xfId="632" xr:uid="{00000000-0005-0000-0000-000053020000}"/>
    <cellStyle name="Normal 5 4 3 2 2" xfId="843" xr:uid="{00000000-0005-0000-0000-000054020000}"/>
    <cellStyle name="Normal 5 4 3 2 2 2" xfId="2911" xr:uid="{67E0E1A1-CF76-42C6-ABE5-322E0C0133B3}"/>
    <cellStyle name="Normal 5 4 3 2 2 2 2" xfId="5346" xr:uid="{97B1559C-97C1-47EF-BE24-70B88D5B4E15}"/>
    <cellStyle name="Normal 5 4 3 2 2 3" xfId="2073" xr:uid="{95AC8AD6-C4F2-4E58-8045-1257E1394637}"/>
    <cellStyle name="Normal 5 4 3 2 2 3 2" xfId="4590" xr:uid="{928F68BD-8D5C-406E-8E13-C64DE3FD67C4}"/>
    <cellStyle name="Normal 5 4 3 2 2 4" xfId="3775" xr:uid="{D1D89F05-4C08-4594-97E8-AB1B7D2C5646}"/>
    <cellStyle name="Normal 5 4 3 2 3" xfId="2518" xr:uid="{92073405-172E-4DED-AE07-3E02CBDABFEF}"/>
    <cellStyle name="Normal 5 4 3 2 3 2" xfId="4953" xr:uid="{7D0B383F-2C7D-4B7D-9D35-067E03B7AE36}"/>
    <cellStyle name="Normal 5 4 3 2 4" xfId="1491" xr:uid="{F0930CDE-8ED7-4F50-8BD8-A15A4FD2EA6E}"/>
    <cellStyle name="Normal 5 4 3 2 4 2" xfId="4083" xr:uid="{1CC27694-D28E-4124-AC30-25BF5D4B700D}"/>
    <cellStyle name="Normal 5 4 3 2 5" xfId="3566" xr:uid="{50A47D47-505F-44CC-8252-1D3C2CE339B2}"/>
    <cellStyle name="Normal 5 4 3 3" xfId="737" xr:uid="{00000000-0005-0000-0000-000055020000}"/>
    <cellStyle name="Normal 5 4 3 3 2" xfId="2741" xr:uid="{33FD0741-219E-451D-BAF2-E3C738270A4E}"/>
    <cellStyle name="Normal 5 4 3 3 2 2" xfId="5176" xr:uid="{A4248972-25E7-4708-B021-3209C4069BF0}"/>
    <cellStyle name="Normal 5 4 3 3 3" xfId="1903" xr:uid="{D28835A3-66DB-447D-A306-B31935B79B1C}"/>
    <cellStyle name="Normal 5 4 3 3 3 2" xfId="4420" xr:uid="{F0716DD1-D59F-492C-BA89-233AFBA59226}"/>
    <cellStyle name="Normal 5 4 3 3 4" xfId="3670" xr:uid="{EF27FFCC-B43C-401B-A772-C5D87E60623D}"/>
    <cellStyle name="Normal 5 4 3 4" xfId="2517" xr:uid="{7636130F-C454-48F8-83A7-AA22A7854ACA}"/>
    <cellStyle name="Normal 5 4 3 4 2" xfId="4952" xr:uid="{E6BECA4A-324E-442A-8178-C040EE837127}"/>
    <cellStyle name="Normal 5 4 3 5" xfId="1490" xr:uid="{268F588D-E882-484F-A634-7BF4FB73BD11}"/>
    <cellStyle name="Normal 5 4 3 5 2" xfId="4082" xr:uid="{AFC9D66E-2E28-4659-BDA9-A6BA3CB8152A}"/>
    <cellStyle name="Normal 5 4 3 6" xfId="3456" xr:uid="{89851139-57CD-4D37-B77B-F73B2ABAF4C9}"/>
    <cellStyle name="Normal 5 4 4" xfId="580" xr:uid="{00000000-0005-0000-0000-000056020000}"/>
    <cellStyle name="Normal 5 4 4 2" xfId="791" xr:uid="{00000000-0005-0000-0000-000057020000}"/>
    <cellStyle name="Normal 5 4 4 2 2" xfId="2909" xr:uid="{F1B3D911-7A4D-4D33-932A-2148E35B932F}"/>
    <cellStyle name="Normal 5 4 4 2 2 2" xfId="5344" xr:uid="{8A376ACF-C367-48D3-97F4-9FB3C689A361}"/>
    <cellStyle name="Normal 5 4 4 2 3" xfId="2071" xr:uid="{90DE3BFB-F936-4D0A-BD49-412DF87AD4AF}"/>
    <cellStyle name="Normal 5 4 4 2 3 2" xfId="4588" xr:uid="{F1F0B58E-B835-4C76-9AAA-62B5317236A5}"/>
    <cellStyle name="Normal 5 4 4 2 4" xfId="3723" xr:uid="{A6BBF485-3BB0-44BE-B4C5-85E6F50D526C}"/>
    <cellStyle name="Normal 5 4 4 3" xfId="2519" xr:uid="{6814017C-57C0-43A6-817B-CE9F052428D8}"/>
    <cellStyle name="Normal 5 4 4 3 2" xfId="4954" xr:uid="{95E1077E-E2D0-4E48-A9DD-3EE0FBCB62BF}"/>
    <cellStyle name="Normal 5 4 4 4" xfId="1492" xr:uid="{F447ECC3-C3F3-4636-BC04-E2EA26EE7D7A}"/>
    <cellStyle name="Normal 5 4 4 4 2" xfId="4084" xr:uid="{6F2AAFDC-35F6-43C5-BDD0-03A53B622004}"/>
    <cellStyle name="Normal 5 4 4 5" xfId="3514" xr:uid="{E37D0188-790F-4010-B671-A411CE835F96}"/>
    <cellStyle name="Normal 5 4 5" xfId="685" xr:uid="{00000000-0005-0000-0000-000058020000}"/>
    <cellStyle name="Normal 5 4 5 2" xfId="2739" xr:uid="{92231D32-5EB9-4D24-BA32-648CFFC008A2}"/>
    <cellStyle name="Normal 5 4 5 2 2" xfId="5174" xr:uid="{4F75F9D5-489F-42F9-B544-14D2E4A9C97F}"/>
    <cellStyle name="Normal 5 4 5 3" xfId="1901" xr:uid="{30A82EDE-386F-4AA1-AA19-5E0326A9B9B1}"/>
    <cellStyle name="Normal 5 4 5 3 2" xfId="4418" xr:uid="{9FF0C2C1-563A-4E6C-B6AA-92C34A6BB950}"/>
    <cellStyle name="Normal 5 4 5 4" xfId="3618" xr:uid="{C5AC8584-5DF3-452A-99E3-0ACC6FA6434A}"/>
    <cellStyle name="Normal 5 4 6" xfId="2514" xr:uid="{AF37760F-22D0-4079-AFEE-53ACE454A607}"/>
    <cellStyle name="Normal 5 4 6 2" xfId="4949" xr:uid="{62BCB0FB-BDB9-4A11-897D-9A3BDA83675A}"/>
    <cellStyle name="Normal 5 4 7" xfId="1487" xr:uid="{5CC29D29-3D6A-4DCA-BD06-7776078B1745}"/>
    <cellStyle name="Normal 5 4 7 2" xfId="4079" xr:uid="{EC38B195-779D-40F8-895E-EDFFB304096E}"/>
    <cellStyle name="Normal 5 4 8" xfId="3394" xr:uid="{0762F9FC-F8FD-4895-AB21-454193C0C01E}"/>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2 2 2" xfId="3810" xr:uid="{84A12033-2C44-4367-B819-70C1156563A8}"/>
    <cellStyle name="Normal 5 5 2 2 2 3" xfId="2912" xr:uid="{FAC68542-9D5A-4ABD-89B3-9DAD38D1AE7B}"/>
    <cellStyle name="Normal 5 5 2 2 2 3 2" xfId="5347" xr:uid="{876948BA-D5ED-488D-B522-DD94C319F192}"/>
    <cellStyle name="Normal 5 5 2 2 2 4" xfId="3601" xr:uid="{B8CD09DB-2698-431C-99F1-49106EFF267D}"/>
    <cellStyle name="Normal 5 5 2 2 3" xfId="772" xr:uid="{00000000-0005-0000-0000-00005E020000}"/>
    <cellStyle name="Normal 5 5 2 2 3 2" xfId="3705" xr:uid="{C2E56B0C-1817-4A99-B6F4-70D80224355F}"/>
    <cellStyle name="Normal 5 5 2 2 4" xfId="2074" xr:uid="{CF8E40F2-3337-44ED-867E-43C195C3EB78}"/>
    <cellStyle name="Normal 5 5 2 2 4 2" xfId="4591" xr:uid="{2C22D7E2-C27A-4E86-B101-BC2D99767134}"/>
    <cellStyle name="Normal 5 5 2 2 5" xfId="3491" xr:uid="{982957A5-B7DA-469C-96AF-9F16F66B9D24}"/>
    <cellStyle name="Normal 5 5 2 3" xfId="615" xr:uid="{00000000-0005-0000-0000-00005F020000}"/>
    <cellStyle name="Normal 5 5 2 3 2" xfId="826" xr:uid="{00000000-0005-0000-0000-000060020000}"/>
    <cellStyle name="Normal 5 5 2 3 2 2" xfId="3758" xr:uid="{CE11337F-6EE3-4E2C-AD80-D9FE9890E7FA}"/>
    <cellStyle name="Normal 5 5 2 3 3" xfId="2521" xr:uid="{6C6AD6E1-4874-4E7F-A3CB-F11D9D03C97A}"/>
    <cellStyle name="Normal 5 5 2 3 3 2" xfId="4956" xr:uid="{8D12666C-3A9B-4E19-AABA-AF4D44DE5A24}"/>
    <cellStyle name="Normal 5 5 2 3 4" xfId="3549" xr:uid="{FF65434A-B419-4CD5-B111-1E5B9129CFFD}"/>
    <cellStyle name="Normal 5 5 2 4" xfId="720" xr:uid="{00000000-0005-0000-0000-000061020000}"/>
    <cellStyle name="Normal 5 5 2 4 2" xfId="3653" xr:uid="{01C18986-5C8C-436A-8753-9F4DAA42234A}"/>
    <cellStyle name="Normal 5 5 2 5" xfId="1494" xr:uid="{8AD0CF6C-7647-4823-8EA4-1FC1E9A6C3DF}"/>
    <cellStyle name="Normal 5 5 2 5 2" xfId="4086" xr:uid="{25BB85DC-9AA5-4E17-B564-680AA947FD32}"/>
    <cellStyle name="Normal 5 5 2 6" xfId="3434" xr:uid="{CF52C87A-B79A-485D-A82C-B065C40474EC}"/>
    <cellStyle name="Normal 5 5 3" xfId="485" xr:uid="{00000000-0005-0000-0000-000062020000}"/>
    <cellStyle name="Normal 5 5 3 2" xfId="641" xr:uid="{00000000-0005-0000-0000-000063020000}"/>
    <cellStyle name="Normal 5 5 3 2 2" xfId="852" xr:uid="{00000000-0005-0000-0000-000064020000}"/>
    <cellStyle name="Normal 5 5 3 2 2 2" xfId="3784" xr:uid="{EE3B6E67-70F5-4819-BE4D-87B0E479C711}"/>
    <cellStyle name="Normal 5 5 3 2 3" xfId="2742" xr:uid="{21D6E47F-79B8-4BDC-BB46-A14E6024A082}"/>
    <cellStyle name="Normal 5 5 3 2 3 2" xfId="5177" xr:uid="{3AB073A1-F7EF-49A2-AD8D-5464A6AC31FA}"/>
    <cellStyle name="Normal 5 5 3 2 4" xfId="3575" xr:uid="{5998EEB5-57C0-496C-8EB4-D84057AE40DB}"/>
    <cellStyle name="Normal 5 5 3 3" xfId="746" xr:uid="{00000000-0005-0000-0000-000065020000}"/>
    <cellStyle name="Normal 5 5 3 3 2" xfId="3679" xr:uid="{34E31BB0-1377-40F0-8373-586F30EB6611}"/>
    <cellStyle name="Normal 5 5 3 4" xfId="1904" xr:uid="{D5331FB5-55C0-4466-AF25-13293DFCE74C}"/>
    <cellStyle name="Normal 5 5 3 4 2" xfId="4421" xr:uid="{4A3202ED-6A10-449E-BDBB-152CFC84BB23}"/>
    <cellStyle name="Normal 5 5 3 5" xfId="3465" xr:uid="{8B8F2FD5-AC68-4C24-94B2-B47CA725BF24}"/>
    <cellStyle name="Normal 5 5 4" xfId="589" xr:uid="{00000000-0005-0000-0000-000066020000}"/>
    <cellStyle name="Normal 5 5 4 2" xfId="800" xr:uid="{00000000-0005-0000-0000-000067020000}"/>
    <cellStyle name="Normal 5 5 4 2 2" xfId="3732" xr:uid="{6FD6D423-31CD-4B82-99F1-DC0F43E845D1}"/>
    <cellStyle name="Normal 5 5 4 3" xfId="2520" xr:uid="{75A4EAC1-FCA2-4E01-A31D-182C89B3FB30}"/>
    <cellStyle name="Normal 5 5 4 3 2" xfId="4955" xr:uid="{334DA73B-E673-4E7C-8E6C-99C35D5E33D1}"/>
    <cellStyle name="Normal 5 5 4 4" xfId="3523" xr:uid="{1F47D833-5763-4AAB-B2C1-FD74E64CE473}"/>
    <cellStyle name="Normal 5 5 5" xfId="694" xr:uid="{00000000-0005-0000-0000-000068020000}"/>
    <cellStyle name="Normal 5 5 5 2" xfId="3627" xr:uid="{0B1F08A3-F030-4543-A5C0-DB4FC02EFE97}"/>
    <cellStyle name="Normal 5 5 6" xfId="1493" xr:uid="{0589E20A-E694-4DD2-A0F1-EC4B19B36CB0}"/>
    <cellStyle name="Normal 5 5 6 2" xfId="4085" xr:uid="{373F2523-C897-40F0-9743-32B78B13A56B}"/>
    <cellStyle name="Normal 5 5 7" xfId="3403" xr:uid="{807ED598-A50B-4381-A8AE-2F7F6FEEBEFB}"/>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2 2 2" xfId="2913" xr:uid="{B87F0862-F432-4EDE-B120-34B58D968D55}"/>
    <cellStyle name="Normal 5 6 2 2 2 2 2" xfId="5348" xr:uid="{960E15C0-F8E3-4D48-A988-28A15A28A763}"/>
    <cellStyle name="Normal 5 6 2 2 2 3" xfId="3793" xr:uid="{EFB918F9-E12A-47EE-AAF6-CAA2C42D2234}"/>
    <cellStyle name="Normal 5 6 2 2 3" xfId="2075" xr:uid="{D4B326A8-7A81-44B8-A134-86C56035AD14}"/>
    <cellStyle name="Normal 5 6 2 2 3 2" xfId="4592" xr:uid="{6D2657EE-75DA-4627-8B44-F7B52087228E}"/>
    <cellStyle name="Normal 5 6 2 2 4" xfId="3584" xr:uid="{F98A66A2-1AAF-4A9C-9899-05176331A5EA}"/>
    <cellStyle name="Normal 5 6 2 3" xfId="755" xr:uid="{00000000-0005-0000-0000-00006D020000}"/>
    <cellStyle name="Normal 5 6 2 3 2" xfId="2523" xr:uid="{7844FDEE-F9C8-4E5B-867D-499D80C66FB4}"/>
    <cellStyle name="Normal 5 6 2 3 2 2" xfId="4958" xr:uid="{3F742839-3495-4908-A7B7-3695A41EB524}"/>
    <cellStyle name="Normal 5 6 2 3 3" xfId="3688" xr:uid="{2FF2E0A2-B2CF-45C6-A140-16259520A242}"/>
    <cellStyle name="Normal 5 6 2 4" xfId="1496" xr:uid="{97B75A6C-FE5F-4E28-A126-D413DC7FC06F}"/>
    <cellStyle name="Normal 5 6 2 4 2" xfId="4088" xr:uid="{F44659EA-7FB2-4720-8145-BC49B8012FEF}"/>
    <cellStyle name="Normal 5 6 2 5" xfId="3474" xr:uid="{B807D9A7-5DC1-450E-9790-3E6ED9BEB3E1}"/>
    <cellStyle name="Normal 5 6 3" xfId="598" xr:uid="{00000000-0005-0000-0000-00006E020000}"/>
    <cellStyle name="Normal 5 6 3 2" xfId="809" xr:uid="{00000000-0005-0000-0000-00006F020000}"/>
    <cellStyle name="Normal 5 6 3 2 2" xfId="2743" xr:uid="{F9986922-E9C5-45E0-81D2-10A86938AF85}"/>
    <cellStyle name="Normal 5 6 3 2 2 2" xfId="5178" xr:uid="{C90B1AE0-6E67-469F-B40E-9417C1A9ADF7}"/>
    <cellStyle name="Normal 5 6 3 2 3" xfId="3741" xr:uid="{7CE80913-AA17-43C5-97D8-DE7C920FF8C9}"/>
    <cellStyle name="Normal 5 6 3 3" xfId="1905" xr:uid="{CE0F1612-016C-401E-A376-2537748F9161}"/>
    <cellStyle name="Normal 5 6 3 3 2" xfId="4422" xr:uid="{A17BCC16-B749-45B3-B083-F94886FE6D8D}"/>
    <cellStyle name="Normal 5 6 3 4" xfId="3532" xr:uid="{9F782522-11EB-4BF6-8A82-621087B6C51A}"/>
    <cellStyle name="Normal 5 6 4" xfId="703" xr:uid="{00000000-0005-0000-0000-000070020000}"/>
    <cellStyle name="Normal 5 6 4 2" xfId="2522" xr:uid="{C13A9F9D-A83C-4DF6-B4A2-4C79F614A7E1}"/>
    <cellStyle name="Normal 5 6 4 2 2" xfId="4957" xr:uid="{2406A4A1-46F9-46AD-9F9D-814C968E5207}"/>
    <cellStyle name="Normal 5 6 4 3" xfId="3636" xr:uid="{8E402B69-147A-4ABD-8615-A47FADECC4E2}"/>
    <cellStyle name="Normal 5 6 5" xfId="1495" xr:uid="{73CD29BA-490F-4735-87FF-525905859A1F}"/>
    <cellStyle name="Normal 5 6 5 2" xfId="4087" xr:uid="{1405DA90-B4AC-4142-896E-DF0108C1DD4C}"/>
    <cellStyle name="Normal 5 6 6" xfId="3417" xr:uid="{D54B6000-D8C2-44D4-B809-E12FD608F047}"/>
    <cellStyle name="Normal 5 7" xfId="468" xr:uid="{00000000-0005-0000-0000-000071020000}"/>
    <cellStyle name="Normal 5 7 2" xfId="624" xr:uid="{00000000-0005-0000-0000-000072020000}"/>
    <cellStyle name="Normal 5 7 2 2" xfId="835" xr:uid="{00000000-0005-0000-0000-000073020000}"/>
    <cellStyle name="Normal 5 7 2 2 2" xfId="3767" xr:uid="{0572ADA6-8F3E-41D6-BC73-69D8D9C6D121}"/>
    <cellStyle name="Normal 5 7 2 3" xfId="3558" xr:uid="{47C5F13D-1F78-403B-AD53-8123CD336297}"/>
    <cellStyle name="Normal 5 7 3" xfId="729" xr:uid="{00000000-0005-0000-0000-000074020000}"/>
    <cellStyle name="Normal 5 7 3 2" xfId="3662" xr:uid="{96220A67-0E93-49CF-A507-333568380905}"/>
    <cellStyle name="Normal 5 7 4" xfId="1497" xr:uid="{5098B03F-6A2D-4EE0-BC68-F54757DCDED8}"/>
    <cellStyle name="Normal 5 7 5" xfId="3448" xr:uid="{63703A5A-37C6-4373-B80B-95C3F56C2548}"/>
    <cellStyle name="Normal 5 8" xfId="572" xr:uid="{00000000-0005-0000-0000-000075020000}"/>
    <cellStyle name="Normal 5 8 2" xfId="783" xr:uid="{00000000-0005-0000-0000-000076020000}"/>
    <cellStyle name="Normal 5 8 2 2" xfId="2812" xr:uid="{0EA57876-853F-401D-A5E4-70DD2F355931}"/>
    <cellStyle name="Normal 5 8 2 2 2" xfId="5247" xr:uid="{2935563B-5EEF-492C-99BC-96386E48A406}"/>
    <cellStyle name="Normal 5 8 2 3" xfId="1974" xr:uid="{6ACA11BA-0DC2-4D9C-9B56-0B67B589ABB9}"/>
    <cellStyle name="Normal 5 8 2 3 2" xfId="4491" xr:uid="{AAFA1C9E-33E4-40BA-BA2F-E43EFD736D58}"/>
    <cellStyle name="Normal 5 8 2 4" xfId="3715" xr:uid="{3A656338-1231-4804-930D-54F70255F310}"/>
    <cellStyle name="Normal 5 8 3" xfId="2524" xr:uid="{8039D7E4-68C7-44BD-91C6-B3D7DE62B34F}"/>
    <cellStyle name="Normal 5 8 3 2" xfId="4959" xr:uid="{BB52F716-909E-40B5-AB7E-81A3101C9CDD}"/>
    <cellStyle name="Normal 5 8 4" xfId="1498" xr:uid="{1EAC24C0-7E06-4761-8AE2-8DD9E0CE0352}"/>
    <cellStyle name="Normal 5 8 4 2" xfId="4089" xr:uid="{781B6DA0-43E2-4833-8C2C-4E189F45A360}"/>
    <cellStyle name="Normal 5 8 5" xfId="3506" xr:uid="{84C829F0-9868-4B9F-82CB-9CF5C5E9B047}"/>
    <cellStyle name="Normal 5 9" xfId="677" xr:uid="{00000000-0005-0000-0000-000077020000}"/>
    <cellStyle name="Normal 5 9 2" xfId="2642" xr:uid="{F19C7CE9-04FF-4870-B70E-4182BED088C8}"/>
    <cellStyle name="Normal 5 9 2 2" xfId="5077" xr:uid="{2029E742-E24C-46FB-B61E-6B2C53AF8EA5}"/>
    <cellStyle name="Normal 5 9 3" xfId="1804" xr:uid="{5BAF390E-0FFB-4949-ADE7-FBCEB345FC9A}"/>
    <cellStyle name="Normal 5 9 3 2" xfId="4321" xr:uid="{D8136910-C433-4376-A3A8-537BC10144E2}"/>
    <cellStyle name="Normal 5 9 4" xfId="3610" xr:uid="{0BCA892A-442C-4CE8-8473-9479AF5B32B7}"/>
    <cellStyle name="Normal 50" xfId="2193" xr:uid="{4F2DD672-E2AA-4E3A-9D96-86E6E3204156}"/>
    <cellStyle name="Normal 50 2" xfId="3004" xr:uid="{16883C40-8B7D-431A-9F26-A3FBBAC4C40D}"/>
    <cellStyle name="Normal 51" xfId="2187" xr:uid="{0FB9BCFD-4602-4039-AAD6-9A20E5B23E55}"/>
    <cellStyle name="Normal 51 2" xfId="2998" xr:uid="{BD42ACF9-FE2E-4ACC-8F56-00A6FD7B23C1}"/>
    <cellStyle name="Normal 52" xfId="2194" xr:uid="{38252F6D-87E9-47CA-B170-F4FEF42E54A4}"/>
    <cellStyle name="Normal 52 2" xfId="3005" xr:uid="{88180F90-5A28-4687-AD70-8355BF27108A}"/>
    <cellStyle name="Normal 53" xfId="2249" xr:uid="{2BE0F7EB-F0B1-4F53-AD12-7A542DDCF705}"/>
    <cellStyle name="Normal 53 2" xfId="3010" xr:uid="{8B2F7280-15CD-40D9-902D-1A6D7FCBA840}"/>
    <cellStyle name="Normal 54" xfId="2195" xr:uid="{64E29325-9C52-4BC7-83ED-383BD3B788FF}"/>
    <cellStyle name="Normal 54 2" xfId="3006" xr:uid="{0A207D0A-590B-4689-98CD-C31B3FDE2481}"/>
    <cellStyle name="Normal 55" xfId="2251" xr:uid="{DD30FE0E-1D1F-4582-B974-3D2B105ECDFF}"/>
    <cellStyle name="Normal 55 2" xfId="3011" xr:uid="{F872A964-A1B1-4FD5-A8C8-C67C6800E2DE}"/>
    <cellStyle name="Normal 56" xfId="2252" xr:uid="{5BA9D083-19E7-4641-A32A-355526DED581}"/>
    <cellStyle name="Normal 56 2" xfId="3012" xr:uid="{0C64C5EB-622B-45D4-8EA5-0193B8D6AD8F}"/>
    <cellStyle name="Normal 57" xfId="2222" xr:uid="{B5CDCA6B-FAE4-4374-942C-6954A53880E5}"/>
    <cellStyle name="Normal 57 2" xfId="3008" xr:uid="{4D308352-9880-4752-BA07-F21EB58DABAC}"/>
    <cellStyle name="Normal 58" xfId="2248" xr:uid="{B82D9C84-B67A-4737-B85A-595BB733E5E2}"/>
    <cellStyle name="Normal 58 2" xfId="3009" xr:uid="{D0E946F8-2417-498E-B4EB-8143EEC4D475}"/>
    <cellStyle name="Normal 59" xfId="2202" xr:uid="{D1DC36EA-B939-4BB2-B47D-73469B840DE9}"/>
    <cellStyle name="Normal 59 2" xfId="3007" xr:uid="{1CCE8361-45F5-4536-A774-1C37E9926548}"/>
    <cellStyle name="Normal 6" xfId="194" xr:uid="{00000000-0005-0000-0000-000078020000}"/>
    <cellStyle name="Normal 6 2" xfId="286" xr:uid="{00000000-0005-0000-0000-000079020000}"/>
    <cellStyle name="Normal 6 2 2" xfId="2204" xr:uid="{89F3B39F-2B73-44EB-938F-253A2DBA171D}"/>
    <cellStyle name="Normal 6 2 2 2" xfId="4694" xr:uid="{3E54271C-A7B4-422A-83EF-7E5C6C78C895}"/>
    <cellStyle name="Normal 6 3" xfId="2241" xr:uid="{92F6EC70-3EEE-4EB1-ACE9-ADBC7D9101FA}"/>
    <cellStyle name="Normal 6 4" xfId="2196" xr:uid="{DCA6CCCF-ECC6-4ECF-B906-FD8CABC3258B}"/>
    <cellStyle name="Normal 6 4 2" xfId="4687" xr:uid="{73D05088-4E50-43C2-8FC7-951854C2707B}"/>
    <cellStyle name="Normal 6 5" xfId="1499" xr:uid="{07EF34A9-14A9-473B-BB61-793E2ADF0E0B}"/>
    <cellStyle name="Normal 60" xfId="2253" xr:uid="{974A9DE9-5C67-46AA-9D96-70440993F364}"/>
    <cellStyle name="Normal 60 2" xfId="3013" xr:uid="{1E877462-A8BD-4866-BFD9-FA7B201E7160}"/>
    <cellStyle name="Normal 61" xfId="2258" xr:uid="{B5CB05CA-E5F6-4AB7-9619-2B8E410A7F78}"/>
    <cellStyle name="Normal 61 2" xfId="3018" xr:uid="{54CEB182-573E-472A-AC7D-D16190A631D6}"/>
    <cellStyle name="Normal 62" xfId="2256" xr:uid="{7525F1D8-C5A8-49DD-B62A-1033022F9291}"/>
    <cellStyle name="Normal 62 2" xfId="3016" xr:uid="{0EE95083-4A04-4979-BD89-FCA7E3B1040A}"/>
    <cellStyle name="Normal 63" xfId="2259" xr:uid="{1A3F92C2-1DEA-4507-9534-F29D66D62264}"/>
    <cellStyle name="Normal 63 2" xfId="3019" xr:uid="{AA2807D8-CBD7-4ED6-BB30-EA81D67B1BC1}"/>
    <cellStyle name="Normal 64" xfId="2255" xr:uid="{1633A203-7FA1-45F1-A03B-07BF86676F8A}"/>
    <cellStyle name="Normal 64 2" xfId="3015" xr:uid="{9C2A14DB-1559-4875-A7D8-CD75C5474A47}"/>
    <cellStyle name="Normal 65" xfId="2257" xr:uid="{D05FE19A-BDA4-40FA-AA6B-3D27F12F38F5}"/>
    <cellStyle name="Normal 65 2" xfId="3017" xr:uid="{16F79F4D-C435-46A4-8310-C708B3F4D429}"/>
    <cellStyle name="Normal 66" xfId="2260" xr:uid="{0E11A5B7-8A5A-4143-A697-147A64982391}"/>
    <cellStyle name="Normal 66 2" xfId="3020" xr:uid="{35D6B959-91F8-4F2E-BAC7-20325517E3BF}"/>
    <cellStyle name="Normal 67" xfId="2254" xr:uid="{06D28F35-81BA-476F-A760-B3EB2B5DEA2B}"/>
    <cellStyle name="Normal 67 2" xfId="3014" xr:uid="{1E780544-C144-4B3D-90BC-7049AA0D06D1}"/>
    <cellStyle name="Normal 68" xfId="2261" xr:uid="{0B139AA4-6A35-456E-B738-C99A91BB55E7}"/>
    <cellStyle name="Normal 68 2" xfId="3021" xr:uid="{C39F8648-8C63-4B12-B243-587284E48E7D}"/>
    <cellStyle name="Normal 69" xfId="2265" xr:uid="{94548A4C-B5C1-425D-AD33-F96F421F9ADC}"/>
    <cellStyle name="Normal 69 2" xfId="3025" xr:uid="{42765E69-73DD-4C86-8E82-A8A16FA66B2B}"/>
    <cellStyle name="Normal 7" xfId="193" xr:uid="{00000000-0005-0000-0000-00007A020000}"/>
    <cellStyle name="Normal 7 10" xfId="3372" xr:uid="{0088F05D-C384-4D31-98A4-DF1C35AD4775}"/>
    <cellStyle name="Normal 7 2" xfId="285" xr:uid="{00000000-0005-0000-0000-00007B020000}"/>
    <cellStyle name="Normal 7 2 10" xfId="1501" xr:uid="{3E22D180-AB06-417C-892A-A2A2B4E83A81}"/>
    <cellStyle name="Normal 7 2 10 2" xfId="4091" xr:uid="{C4F82569-2A38-4B65-BC78-7C0C2B9C89AA}"/>
    <cellStyle name="Normal 7 2 11" xfId="3386" xr:uid="{75A50536-488D-4AA9-9F2D-43AFA6B1BD85}"/>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2 2 2" xfId="2918" xr:uid="{72DD0CC9-5FAC-4220-93C1-43EDABBB73E4}"/>
    <cellStyle name="Normal 7 2 2 2 2 2 2 2 2" xfId="5353" xr:uid="{1B6A31C4-7DD6-4104-955E-E6B7A7BDEBB5}"/>
    <cellStyle name="Normal 7 2 2 2 2 2 2 3" xfId="2080" xr:uid="{E1318643-47C0-4C88-9CB1-725229B4C11D}"/>
    <cellStyle name="Normal 7 2 2 2 2 2 2 3 2" xfId="4597" xr:uid="{C42C2ACA-E277-4A6F-8958-2CE22797002A}"/>
    <cellStyle name="Normal 7 2 2 2 2 2 2 4" xfId="3806" xr:uid="{90894113-7EC6-451E-9893-EF912DE15C05}"/>
    <cellStyle name="Normal 7 2 2 2 2 2 3" xfId="2530" xr:uid="{09B2417E-CC8A-4902-8C3F-10772BADE0F6}"/>
    <cellStyle name="Normal 7 2 2 2 2 2 3 2" xfId="4965" xr:uid="{53816C23-B8BB-46DA-8878-EFD6C9EFDF69}"/>
    <cellStyle name="Normal 7 2 2 2 2 2 4" xfId="1505" xr:uid="{31DD99B3-9FE1-46B3-B53D-0CB925F5297F}"/>
    <cellStyle name="Normal 7 2 2 2 2 2 4 2" xfId="4095" xr:uid="{FBF8712A-4EB6-4477-A675-0F6635BA2098}"/>
    <cellStyle name="Normal 7 2 2 2 2 2 5" xfId="3597" xr:uid="{FF828BD1-F117-4AFE-8FF4-6D311E643C84}"/>
    <cellStyle name="Normal 7 2 2 2 2 3" xfId="768" xr:uid="{00000000-0005-0000-0000-000081020000}"/>
    <cellStyle name="Normal 7 2 2 2 2 3 2" xfId="2748" xr:uid="{7AFB6E98-2504-4B19-BCC9-8217DD579D72}"/>
    <cellStyle name="Normal 7 2 2 2 2 3 2 2" xfId="5183" xr:uid="{56DD7224-F789-4F15-BF5E-8990B96B2DF3}"/>
    <cellStyle name="Normal 7 2 2 2 2 3 3" xfId="1910" xr:uid="{66327C3C-2E42-4121-A710-E397C9C550C0}"/>
    <cellStyle name="Normal 7 2 2 2 2 3 3 2" xfId="4427" xr:uid="{03D92820-F1B1-4852-A6D6-CEF5983E04DB}"/>
    <cellStyle name="Normal 7 2 2 2 2 3 4" xfId="3701" xr:uid="{9B57D3D2-954F-4FDB-8888-4FB8F819782A}"/>
    <cellStyle name="Normal 7 2 2 2 2 4" xfId="2529" xr:uid="{A4B12FEA-FFFE-42E1-931D-6510D30074D8}"/>
    <cellStyle name="Normal 7 2 2 2 2 4 2" xfId="4964" xr:uid="{4D585A6E-C0B0-4113-9911-83D84292C2B0}"/>
    <cellStyle name="Normal 7 2 2 2 2 5" xfId="1504" xr:uid="{49D71751-B5AA-4465-B3E9-9DB538809195}"/>
    <cellStyle name="Normal 7 2 2 2 2 5 2" xfId="4094" xr:uid="{2770918F-9A2B-456F-BCFF-AED7D66E46B5}"/>
    <cellStyle name="Normal 7 2 2 2 2 6" xfId="3487" xr:uid="{F9C7540C-2B95-4F74-883F-9661F68EC074}"/>
    <cellStyle name="Normal 7 2 2 2 3" xfId="611" xr:uid="{00000000-0005-0000-0000-000082020000}"/>
    <cellStyle name="Normal 7 2 2 2 3 2" xfId="822" xr:uid="{00000000-0005-0000-0000-000083020000}"/>
    <cellStyle name="Normal 7 2 2 2 3 2 2" xfId="2081" xr:uid="{FFD58D77-E44E-43FC-9D3B-7BCEDA22008D}"/>
    <cellStyle name="Normal 7 2 2 2 3 2 2 2" xfId="2919" xr:uid="{20A18B04-0071-4A2D-9471-D27F1E11D00E}"/>
    <cellStyle name="Normal 7 2 2 2 3 2 2 2 2" xfId="5354" xr:uid="{1077583B-B992-4A3F-AF2F-DA7DA730E2E5}"/>
    <cellStyle name="Normal 7 2 2 2 3 2 2 3" xfId="4598" xr:uid="{655C76C1-A50E-45BF-946C-00328BF41E90}"/>
    <cellStyle name="Normal 7 2 2 2 3 2 3" xfId="2532" xr:uid="{0112B907-AFDF-4CDE-A285-DF5857EA588B}"/>
    <cellStyle name="Normal 7 2 2 2 3 2 3 2" xfId="4967" xr:uid="{D67CA705-3C75-4AD8-8E5A-BF3BF4C11BD2}"/>
    <cellStyle name="Normal 7 2 2 2 3 2 4" xfId="1507" xr:uid="{BEA9D9C7-08D8-4160-8EA8-2DF9B7DEF552}"/>
    <cellStyle name="Normal 7 2 2 2 3 2 4 2" xfId="4097" xr:uid="{1AFA831C-C37A-4FFA-AA86-DDED9F178042}"/>
    <cellStyle name="Normal 7 2 2 2 3 2 5" xfId="3754" xr:uid="{9E424CE7-DE2D-4C46-9026-BE1194FFA002}"/>
    <cellStyle name="Normal 7 2 2 2 3 3" xfId="1911" xr:uid="{188CEB77-AEE9-4312-BC8C-AEACDDEEA738}"/>
    <cellStyle name="Normal 7 2 2 2 3 3 2" xfId="2749" xr:uid="{533540D2-8E0C-4281-A32F-3EECAFEC08DC}"/>
    <cellStyle name="Normal 7 2 2 2 3 3 2 2" xfId="5184" xr:uid="{421324CB-CF89-4388-AFD8-44A2522DC945}"/>
    <cellStyle name="Normal 7 2 2 2 3 3 3" xfId="4428" xr:uid="{08327272-129F-405B-9E0B-DFA2D90754F9}"/>
    <cellStyle name="Normal 7 2 2 2 3 4" xfId="2531" xr:uid="{C0355EF4-579C-4BB1-9DF6-EED1140B4323}"/>
    <cellStyle name="Normal 7 2 2 2 3 4 2" xfId="4966" xr:uid="{DDBE6074-FF39-4844-8398-847D5029BF6B}"/>
    <cellStyle name="Normal 7 2 2 2 3 5" xfId="1506" xr:uid="{4C7E692D-9197-4C02-A159-F945FB0100E0}"/>
    <cellStyle name="Normal 7 2 2 2 3 5 2" xfId="4096" xr:uid="{6B67DABF-BB2F-43B6-84E7-9F394CDE7C18}"/>
    <cellStyle name="Normal 7 2 2 2 3 6" xfId="3545" xr:uid="{F2FC11FE-2902-4935-AC6F-649C11C1433D}"/>
    <cellStyle name="Normal 7 2 2 2 4" xfId="716" xr:uid="{00000000-0005-0000-0000-000084020000}"/>
    <cellStyle name="Normal 7 2 2 2 4 2" xfId="2079" xr:uid="{2736967C-923E-4241-89BA-D27DB61D803E}"/>
    <cellStyle name="Normal 7 2 2 2 4 2 2" xfId="2917" xr:uid="{293AAD51-E6C8-4CE5-8F79-79C8555F157D}"/>
    <cellStyle name="Normal 7 2 2 2 4 2 2 2" xfId="5352" xr:uid="{E35F4678-415D-4C78-9BEC-A0E009FFCE71}"/>
    <cellStyle name="Normal 7 2 2 2 4 2 3" xfId="4596" xr:uid="{70C4AE27-1C40-4288-8E5A-7DC6B59C33A6}"/>
    <cellStyle name="Normal 7 2 2 2 4 3" xfId="2533" xr:uid="{4E0C7ADE-462D-489A-B0FB-F502190D906A}"/>
    <cellStyle name="Normal 7 2 2 2 4 3 2" xfId="4968" xr:uid="{BAA56ABA-28FA-4B19-9D3D-366669B47297}"/>
    <cellStyle name="Normal 7 2 2 2 4 4" xfId="1508" xr:uid="{CBFC41F6-3D98-4F56-87EA-58228CB31555}"/>
    <cellStyle name="Normal 7 2 2 2 4 4 2" xfId="4098" xr:uid="{9E6AB46E-B8D4-4900-83DA-576EE39245E8}"/>
    <cellStyle name="Normal 7 2 2 2 4 5" xfId="3649" xr:uid="{EDAADA6E-700C-4879-A48B-86FFF1ECF8FC}"/>
    <cellStyle name="Normal 7 2 2 2 5" xfId="1909" xr:uid="{F45D7E83-1C3C-4010-B698-2294F7412AF7}"/>
    <cellStyle name="Normal 7 2 2 2 5 2" xfId="2747" xr:uid="{6CD64317-4E46-4F03-80D3-2AC14B0F8DF1}"/>
    <cellStyle name="Normal 7 2 2 2 5 2 2" xfId="5182" xr:uid="{488ABA5A-35B5-422A-9D60-20F18657398D}"/>
    <cellStyle name="Normal 7 2 2 2 5 3" xfId="4426" xr:uid="{45A1CCED-861F-4D7B-8326-4E55D0A32776}"/>
    <cellStyle name="Normal 7 2 2 2 6" xfId="2528" xr:uid="{E4B09D5A-DD5F-4147-B159-093FA50905ED}"/>
    <cellStyle name="Normal 7 2 2 2 6 2" xfId="4963" xr:uid="{BA45E8B3-2829-40FF-BB73-C5A6EE7D101C}"/>
    <cellStyle name="Normal 7 2 2 2 7" xfId="1503" xr:uid="{8E340732-1F9A-4982-BC44-EBF853C09BCF}"/>
    <cellStyle name="Normal 7 2 2 2 7 2" xfId="4093" xr:uid="{133C26EB-4C20-4F92-B5A1-0D4F2623EB0A}"/>
    <cellStyle name="Normal 7 2 2 2 8" xfId="3430" xr:uid="{62A81902-DBDB-4241-A4ED-F4DA98CD2CFF}"/>
    <cellStyle name="Normal 7 2 2 3" xfId="481" xr:uid="{00000000-0005-0000-0000-000085020000}"/>
    <cellStyle name="Normal 7 2 2 3 2" xfId="637" xr:uid="{00000000-0005-0000-0000-000086020000}"/>
    <cellStyle name="Normal 7 2 2 3 2 2" xfId="848" xr:uid="{00000000-0005-0000-0000-000087020000}"/>
    <cellStyle name="Normal 7 2 2 3 2 2 2" xfId="2920" xr:uid="{D3E03C1C-FFC3-40BA-AFF7-1C4A34CF80AA}"/>
    <cellStyle name="Normal 7 2 2 3 2 2 2 2" xfId="5355" xr:uid="{1A708968-6BEF-4907-9AB7-68891269A783}"/>
    <cellStyle name="Normal 7 2 2 3 2 2 3" xfId="2082" xr:uid="{E7230597-33AF-4936-8279-8DCA226DD1D3}"/>
    <cellStyle name="Normal 7 2 2 3 2 2 3 2" xfId="4599" xr:uid="{6BB297D5-C965-4132-973B-591A9783282D}"/>
    <cellStyle name="Normal 7 2 2 3 2 2 4" xfId="3780" xr:uid="{61E2D7B2-B45E-4D8E-9670-DD0812C3B80A}"/>
    <cellStyle name="Normal 7 2 2 3 2 3" xfId="2535" xr:uid="{B791DECD-F77E-42B7-837E-2E130DDFFA51}"/>
    <cellStyle name="Normal 7 2 2 3 2 3 2" xfId="4970" xr:uid="{1FC4883D-094A-41F1-B5FA-A3237CD20CD0}"/>
    <cellStyle name="Normal 7 2 2 3 2 4" xfId="1510" xr:uid="{F26D6CDD-9921-411E-AE2B-FB7EAD58BBD6}"/>
    <cellStyle name="Normal 7 2 2 3 2 4 2" xfId="4100" xr:uid="{B474900C-C832-418C-88E2-97E3872A8898}"/>
    <cellStyle name="Normal 7 2 2 3 2 5" xfId="3571" xr:uid="{E1F570C7-4EAC-4250-99CC-3BA901828867}"/>
    <cellStyle name="Normal 7 2 2 3 3" xfId="742" xr:uid="{00000000-0005-0000-0000-000088020000}"/>
    <cellStyle name="Normal 7 2 2 3 3 2" xfId="2750" xr:uid="{7A3A6583-9421-4C5E-88A7-067FFE3BA592}"/>
    <cellStyle name="Normal 7 2 2 3 3 2 2" xfId="5185" xr:uid="{2D608E39-0995-4EB2-9087-6A8D513C1A5B}"/>
    <cellStyle name="Normal 7 2 2 3 3 3" xfId="1912" xr:uid="{CEE145F0-7983-43B5-8747-0FDF7E2F98A5}"/>
    <cellStyle name="Normal 7 2 2 3 3 3 2" xfId="4429" xr:uid="{90C8CA4C-A7D2-4007-98AA-4FB4BC0E3C85}"/>
    <cellStyle name="Normal 7 2 2 3 3 4" xfId="3675" xr:uid="{F6D9F8FD-B64E-4292-AE16-3BACEBB92270}"/>
    <cellStyle name="Normal 7 2 2 3 4" xfId="2534" xr:uid="{8F8A2865-E778-47FF-B844-4A552EF9043C}"/>
    <cellStyle name="Normal 7 2 2 3 4 2" xfId="4969" xr:uid="{071A36F5-147C-4084-B73B-854C79B6919F}"/>
    <cellStyle name="Normal 7 2 2 3 5" xfId="1509" xr:uid="{60CD7728-1148-4724-A65C-1CFAD97C991B}"/>
    <cellStyle name="Normal 7 2 2 3 5 2" xfId="4099" xr:uid="{B17529BA-F5A0-4FE8-8212-CC289C45747A}"/>
    <cellStyle name="Normal 7 2 2 3 6" xfId="3461" xr:uid="{7034C886-0955-4519-A8AD-B0A8B5DF3704}"/>
    <cellStyle name="Normal 7 2 2 4" xfId="585" xr:uid="{00000000-0005-0000-0000-000089020000}"/>
    <cellStyle name="Normal 7 2 2 4 2" xfId="796" xr:uid="{00000000-0005-0000-0000-00008A020000}"/>
    <cellStyle name="Normal 7 2 2 4 2 2" xfId="2083" xr:uid="{9434F960-79CB-485F-81F2-890BF79754DC}"/>
    <cellStyle name="Normal 7 2 2 4 2 2 2" xfId="2921" xr:uid="{6B314D81-AF47-4D22-BC86-95AD5E0AA3C8}"/>
    <cellStyle name="Normal 7 2 2 4 2 2 2 2" xfId="5356" xr:uid="{96073E0F-2502-40D3-93FC-EEBDF4CFCC95}"/>
    <cellStyle name="Normal 7 2 2 4 2 2 3" xfId="4600" xr:uid="{DD507AF4-3BFD-4483-BCCA-55AB31F81978}"/>
    <cellStyle name="Normal 7 2 2 4 2 3" xfId="2537" xr:uid="{FE6E0B36-BBC0-4119-AA19-6C404D5C92EB}"/>
    <cellStyle name="Normal 7 2 2 4 2 3 2" xfId="4972" xr:uid="{55C0432B-6744-4AF2-8A35-ED8BC7188041}"/>
    <cellStyle name="Normal 7 2 2 4 2 4" xfId="1512" xr:uid="{C179CFD3-D58C-4B81-A729-F7267B3277FB}"/>
    <cellStyle name="Normal 7 2 2 4 2 4 2" xfId="4102" xr:uid="{1A44D7C1-6634-4E30-ADB0-9CBB23D9616C}"/>
    <cellStyle name="Normal 7 2 2 4 2 5" xfId="3728" xr:uid="{2169F9C6-0C32-4F29-AE29-FCD49C184395}"/>
    <cellStyle name="Normal 7 2 2 4 3" xfId="1913" xr:uid="{FE8FF2B4-1A6B-4DB5-B870-D28DA542F121}"/>
    <cellStyle name="Normal 7 2 2 4 3 2" xfId="2751" xr:uid="{B5581DF4-127C-4782-AFB3-C7CA62B5034D}"/>
    <cellStyle name="Normal 7 2 2 4 3 2 2" xfId="5186" xr:uid="{8D7D038E-E644-4F79-9C9B-0EE340134A40}"/>
    <cellStyle name="Normal 7 2 2 4 3 3" xfId="4430" xr:uid="{E6B9BD92-9ADF-4CDD-ABE3-C6A4D9B40E14}"/>
    <cellStyle name="Normal 7 2 2 4 4" xfId="2536" xr:uid="{26B10B33-858E-43EB-A8FD-B81A3ADCD0FB}"/>
    <cellStyle name="Normal 7 2 2 4 4 2" xfId="4971" xr:uid="{22437904-F2E4-49B8-B979-BE4A3B60A416}"/>
    <cellStyle name="Normal 7 2 2 4 5" xfId="1511" xr:uid="{873B1081-45B7-471F-831A-67AFA1DEDC81}"/>
    <cellStyle name="Normal 7 2 2 4 5 2" xfId="4101" xr:uid="{F71579A0-CC0B-46B3-A7FD-675ABFEF7E58}"/>
    <cellStyle name="Normal 7 2 2 4 6" xfId="3519" xr:uid="{6E05703E-51BA-4728-85FA-B9BD0C5770AF}"/>
    <cellStyle name="Normal 7 2 2 5" xfId="690" xr:uid="{00000000-0005-0000-0000-00008B020000}"/>
    <cellStyle name="Normal 7 2 2 5 2" xfId="2078" xr:uid="{E9ABF06A-F496-425F-A131-A75277BC9895}"/>
    <cellStyle name="Normal 7 2 2 5 2 2" xfId="2916" xr:uid="{1D9DCEE4-801E-441A-A397-2D2482830C9F}"/>
    <cellStyle name="Normal 7 2 2 5 2 2 2" xfId="5351" xr:uid="{BCC749BA-7571-4A66-903F-282287378E41}"/>
    <cellStyle name="Normal 7 2 2 5 2 3" xfId="4595" xr:uid="{5F99F1DA-8B86-4DDD-AEB4-468DE9D2629F}"/>
    <cellStyle name="Normal 7 2 2 5 3" xfId="2538" xr:uid="{7E2EE2A6-D367-42D2-B1C7-DD08AE6732CC}"/>
    <cellStyle name="Normal 7 2 2 5 3 2" xfId="4973" xr:uid="{4E3625B1-A34C-450E-9685-667A50B939FE}"/>
    <cellStyle name="Normal 7 2 2 5 4" xfId="1513" xr:uid="{729ACD88-BB82-4332-897B-AD17C0FE3876}"/>
    <cellStyle name="Normal 7 2 2 5 4 2" xfId="4103" xr:uid="{9445889B-C7B7-4ACF-B878-A915C615B840}"/>
    <cellStyle name="Normal 7 2 2 5 5" xfId="3623" xr:uid="{84DC1333-3DBC-44F1-B8B4-01F4791BF02B}"/>
    <cellStyle name="Normal 7 2 2 6" xfId="1908" xr:uid="{92FCA010-431D-4F21-9490-F3A78C32733D}"/>
    <cellStyle name="Normal 7 2 2 6 2" xfId="2746" xr:uid="{A862FDCD-E311-4BD1-97CA-AF110E0DD198}"/>
    <cellStyle name="Normal 7 2 2 6 2 2" xfId="5181" xr:uid="{3FEE11AF-50B1-4404-9746-10E121CEAEBB}"/>
    <cellStyle name="Normal 7 2 2 6 3" xfId="4425" xr:uid="{0479110B-78FF-4A51-A470-DF9DB1BCBCF1}"/>
    <cellStyle name="Normal 7 2 2 7" xfId="2527" xr:uid="{C3724462-9953-47AB-9143-2210DB07C7EF}"/>
    <cellStyle name="Normal 7 2 2 7 2" xfId="4962" xr:uid="{6FD7432F-6AB9-4E19-8F28-0D733CA558A2}"/>
    <cellStyle name="Normal 7 2 2 8" xfId="1502" xr:uid="{C57153C2-4980-41FE-AB16-4AB389ACB17F}"/>
    <cellStyle name="Normal 7 2 2 8 2" xfId="4092" xr:uid="{F61BE46C-B827-426C-A830-22CF18DC5F12}"/>
    <cellStyle name="Normal 7 2 2 9" xfId="3399" xr:uid="{B511134D-1FC0-4DEF-82EB-CA132C50D681}"/>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2 2 2" xfId="2923" xr:uid="{83A15F96-87E5-4084-812F-74D7F6CEB96F}"/>
    <cellStyle name="Normal 7 2 3 2 2 2 2 2 2" xfId="5358" xr:uid="{36DA06E9-5365-49C0-AC9F-A28C8D0A532E}"/>
    <cellStyle name="Normal 7 2 3 2 2 2 2 3" xfId="3815" xr:uid="{4F6E0990-78D6-48C8-9380-05B001189AD6}"/>
    <cellStyle name="Normal 7 2 3 2 2 2 3" xfId="2085" xr:uid="{31777AF6-547C-4E22-A7AB-E0CF28F8DFF4}"/>
    <cellStyle name="Normal 7 2 3 2 2 2 3 2" xfId="4602" xr:uid="{593142DB-3E1F-4622-B1C1-4C244AA14BA4}"/>
    <cellStyle name="Normal 7 2 3 2 2 2 4" xfId="3606" xr:uid="{CFD648D3-6243-4724-B95F-834F77C5DD99}"/>
    <cellStyle name="Normal 7 2 3 2 2 3" xfId="777" xr:uid="{00000000-0005-0000-0000-000091020000}"/>
    <cellStyle name="Normal 7 2 3 2 2 3 2" xfId="2541" xr:uid="{4913081D-7C1E-4062-84B5-469BF379D018}"/>
    <cellStyle name="Normal 7 2 3 2 2 3 2 2" xfId="4976" xr:uid="{F85255B0-B599-4A49-87A4-C0BE43ED20D6}"/>
    <cellStyle name="Normal 7 2 3 2 2 3 3" xfId="3710" xr:uid="{11554787-F372-4B09-BF4C-C129D4D45878}"/>
    <cellStyle name="Normal 7 2 3 2 2 4" xfId="1516" xr:uid="{FC54B5A1-D5F2-48FE-BDC6-64A339EA390B}"/>
    <cellStyle name="Normal 7 2 3 2 2 4 2" xfId="4106" xr:uid="{2C612BEA-96AD-4892-9A80-7FC41B8878DE}"/>
    <cellStyle name="Normal 7 2 3 2 2 5" xfId="3496" xr:uid="{7A517437-E2D2-4106-B2E2-B096E7A4B172}"/>
    <cellStyle name="Normal 7 2 3 2 3" xfId="620" xr:uid="{00000000-0005-0000-0000-000092020000}"/>
    <cellStyle name="Normal 7 2 3 2 3 2" xfId="831" xr:uid="{00000000-0005-0000-0000-000093020000}"/>
    <cellStyle name="Normal 7 2 3 2 3 2 2" xfId="2753" xr:uid="{448DE24B-D6BF-41E6-828A-EA4A2AD9600F}"/>
    <cellStyle name="Normal 7 2 3 2 3 2 2 2" xfId="5188" xr:uid="{71F64FF8-4AED-4E89-82B8-53A6C483C08F}"/>
    <cellStyle name="Normal 7 2 3 2 3 2 3" xfId="3763" xr:uid="{A030EEF8-936E-4811-9A3F-293559403439}"/>
    <cellStyle name="Normal 7 2 3 2 3 3" xfId="1915" xr:uid="{C24AB6A7-383C-456C-AC17-B2397BBE2A94}"/>
    <cellStyle name="Normal 7 2 3 2 3 3 2" xfId="4432" xr:uid="{D43D4258-1D8E-4A59-88CD-680FAA1EC3E3}"/>
    <cellStyle name="Normal 7 2 3 2 3 4" xfId="3554" xr:uid="{3078802E-A2DC-47F5-9558-40DAD24C819E}"/>
    <cellStyle name="Normal 7 2 3 2 4" xfId="725" xr:uid="{00000000-0005-0000-0000-000094020000}"/>
    <cellStyle name="Normal 7 2 3 2 4 2" xfId="2540" xr:uid="{D2A14B17-C7BD-4470-A8BA-96E86D15FB76}"/>
    <cellStyle name="Normal 7 2 3 2 4 2 2" xfId="4975" xr:uid="{43E48794-A4A2-4E91-A863-5EBE6844DF98}"/>
    <cellStyle name="Normal 7 2 3 2 4 3" xfId="3658" xr:uid="{6032EE3F-CB79-4938-B988-4CC826D38A15}"/>
    <cellStyle name="Normal 7 2 3 2 5" xfId="1515" xr:uid="{BF3F2EFF-149B-4035-894C-97AAABABCEE1}"/>
    <cellStyle name="Normal 7 2 3 2 5 2" xfId="4105" xr:uid="{351BF63B-F4B2-48AE-AC53-E9D1CFC8A4B7}"/>
    <cellStyle name="Normal 7 2 3 2 6" xfId="3439" xr:uid="{8C058CBA-2A98-4F3E-93C5-37D8C569746E}"/>
    <cellStyle name="Normal 7 2 3 3" xfId="490" xr:uid="{00000000-0005-0000-0000-000095020000}"/>
    <cellStyle name="Normal 7 2 3 3 2" xfId="646" xr:uid="{00000000-0005-0000-0000-000096020000}"/>
    <cellStyle name="Normal 7 2 3 3 2 2" xfId="857" xr:uid="{00000000-0005-0000-0000-000097020000}"/>
    <cellStyle name="Normal 7 2 3 3 2 2 2" xfId="2924" xr:uid="{8669CACD-97C0-4F2C-A5DF-37B5E1DFD095}"/>
    <cellStyle name="Normal 7 2 3 3 2 2 2 2" xfId="5359" xr:uid="{3B09C7C5-2792-4785-B176-2E3C7922A402}"/>
    <cellStyle name="Normal 7 2 3 3 2 2 3" xfId="2086" xr:uid="{01BEA39F-33A0-4240-942F-C8B6EB5ED2C8}"/>
    <cellStyle name="Normal 7 2 3 3 2 2 3 2" xfId="4603" xr:uid="{CC24EEE0-C29D-4C2F-9BFA-A9ED33937714}"/>
    <cellStyle name="Normal 7 2 3 3 2 2 4" xfId="3789" xr:uid="{7325CB9D-9315-457E-99C2-26148F5D3C01}"/>
    <cellStyle name="Normal 7 2 3 3 2 3" xfId="2543" xr:uid="{C2B9D790-1BA6-4EED-A76D-CE714BBAB8D1}"/>
    <cellStyle name="Normal 7 2 3 3 2 3 2" xfId="4978" xr:uid="{B323DB63-6793-46E9-96BD-92FBC6086627}"/>
    <cellStyle name="Normal 7 2 3 3 2 4" xfId="1518" xr:uid="{D4EC1113-F2AE-4915-83B7-548E98C0A128}"/>
    <cellStyle name="Normal 7 2 3 3 2 4 2" xfId="4108" xr:uid="{0CAE9F22-A904-4054-A80F-3E2444E27147}"/>
    <cellStyle name="Normal 7 2 3 3 2 5" xfId="3580" xr:uid="{6D4AA02A-4746-4475-815D-0B2F810C3FBB}"/>
    <cellStyle name="Normal 7 2 3 3 3" xfId="751" xr:uid="{00000000-0005-0000-0000-000098020000}"/>
    <cellStyle name="Normal 7 2 3 3 3 2" xfId="2754" xr:uid="{7E627745-8D0E-43B4-BAB6-B73C69804B21}"/>
    <cellStyle name="Normal 7 2 3 3 3 2 2" xfId="5189" xr:uid="{222EDB7B-96FB-460D-9A71-680685CABC44}"/>
    <cellStyle name="Normal 7 2 3 3 3 3" xfId="1916" xr:uid="{70DA1A41-615A-47BB-A4C4-B1C7A5ADCB0D}"/>
    <cellStyle name="Normal 7 2 3 3 3 3 2" xfId="4433" xr:uid="{16E84F08-04FD-4990-B64A-106046985FE4}"/>
    <cellStyle name="Normal 7 2 3 3 3 4" xfId="3684" xr:uid="{DCE6D7B7-EA44-4F8B-B169-988E0086427E}"/>
    <cellStyle name="Normal 7 2 3 3 4" xfId="2542" xr:uid="{6AC7B227-3D74-4D73-B03C-35639078200A}"/>
    <cellStyle name="Normal 7 2 3 3 4 2" xfId="4977" xr:uid="{EB933BF2-587F-4430-BEF2-59AEE6AF24F6}"/>
    <cellStyle name="Normal 7 2 3 3 5" xfId="1517" xr:uid="{4C3E6189-057F-4087-8641-3FA2AC0D4CE0}"/>
    <cellStyle name="Normal 7 2 3 3 5 2" xfId="4107" xr:uid="{C9287C94-4B99-4FDA-9735-C7DEA66A37D9}"/>
    <cellStyle name="Normal 7 2 3 3 6" xfId="3470" xr:uid="{D752DC88-A60F-442C-9B07-2E732DA1981A}"/>
    <cellStyle name="Normal 7 2 3 4" xfId="594" xr:uid="{00000000-0005-0000-0000-000099020000}"/>
    <cellStyle name="Normal 7 2 3 4 2" xfId="805" xr:uid="{00000000-0005-0000-0000-00009A020000}"/>
    <cellStyle name="Normal 7 2 3 4 2 2" xfId="2922" xr:uid="{375E5929-7F82-4610-AB35-15D4C1C54328}"/>
    <cellStyle name="Normal 7 2 3 4 2 2 2" xfId="5357" xr:uid="{A4A06E76-CB5C-422A-8743-D1BEA7C67C49}"/>
    <cellStyle name="Normal 7 2 3 4 2 3" xfId="2084" xr:uid="{18E20465-4FAB-415D-845E-EDAAC833DC99}"/>
    <cellStyle name="Normal 7 2 3 4 2 3 2" xfId="4601" xr:uid="{2A38362F-CECF-4730-8A25-1DAF8B0CA0E9}"/>
    <cellStyle name="Normal 7 2 3 4 2 4" xfId="3737" xr:uid="{6EAA6142-6111-471E-AE29-E29FE13AFE18}"/>
    <cellStyle name="Normal 7 2 3 4 3" xfId="2544" xr:uid="{70A44431-884A-4020-8493-ADEFF3C16599}"/>
    <cellStyle name="Normal 7 2 3 4 3 2" xfId="4979" xr:uid="{5B18BF04-189B-4718-9CFF-E17FA1AD9CA3}"/>
    <cellStyle name="Normal 7 2 3 4 4" xfId="1519" xr:uid="{FDCABD45-3ECA-4A08-ADB2-912F15EF9D17}"/>
    <cellStyle name="Normal 7 2 3 4 4 2" xfId="4109" xr:uid="{D7E218B2-1146-4CAA-9377-4A2D09F8C34D}"/>
    <cellStyle name="Normal 7 2 3 4 5" xfId="3528" xr:uid="{FCB88532-9828-4F57-9BEC-A05532F66A31}"/>
    <cellStyle name="Normal 7 2 3 5" xfId="699" xr:uid="{00000000-0005-0000-0000-00009B020000}"/>
    <cellStyle name="Normal 7 2 3 5 2" xfId="2752" xr:uid="{06637E35-D224-4235-94CE-EE72570AE2CE}"/>
    <cellStyle name="Normal 7 2 3 5 2 2" xfId="5187" xr:uid="{40041532-C4E1-4D4E-97A2-CFFB824503B6}"/>
    <cellStyle name="Normal 7 2 3 5 3" xfId="1914" xr:uid="{AFE5FEAF-1A76-463F-B8BD-A09F39426D5C}"/>
    <cellStyle name="Normal 7 2 3 5 3 2" xfId="4431" xr:uid="{352CD10D-B51C-407C-A1DE-8B6D0861D88D}"/>
    <cellStyle name="Normal 7 2 3 5 4" xfId="3632" xr:uid="{A3D94A90-1882-4647-80A3-4F3ABB866DAC}"/>
    <cellStyle name="Normal 7 2 3 6" xfId="2539" xr:uid="{78AEEC5C-DC44-46F7-90B8-A65071BD1F4B}"/>
    <cellStyle name="Normal 7 2 3 6 2" xfId="4974" xr:uid="{F27B9826-9C13-4699-BD23-7A64DD25AD5B}"/>
    <cellStyle name="Normal 7 2 3 7" xfId="1514" xr:uid="{E544DC39-34B1-48A8-9393-912C107EC011}"/>
    <cellStyle name="Normal 7 2 3 7 2" xfId="4104" xr:uid="{08681E4F-BC4B-4DB9-8B1A-29592D7283E4}"/>
    <cellStyle name="Normal 7 2 3 8" xfId="3408" xr:uid="{5A1A077B-761C-489F-8915-9850F4E151F1}"/>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2 2 2" xfId="2925" xr:uid="{9B57D398-C0D3-449B-B563-2F97DB90934B}"/>
    <cellStyle name="Normal 7 2 4 2 2 2 2 2" xfId="5360" xr:uid="{CFFD207F-45BB-4F5F-97FF-EFBF4551605D}"/>
    <cellStyle name="Normal 7 2 4 2 2 2 3" xfId="3798" xr:uid="{F5FBDDC4-9DE6-4FC1-9333-41224870E65D}"/>
    <cellStyle name="Normal 7 2 4 2 2 3" xfId="2087" xr:uid="{3A428BD1-ED3A-4B71-9EC1-206B9053BA68}"/>
    <cellStyle name="Normal 7 2 4 2 2 3 2" xfId="4604" xr:uid="{8CD29A17-1B84-46AC-87B8-BAB78B72AF45}"/>
    <cellStyle name="Normal 7 2 4 2 2 4" xfId="3589" xr:uid="{73C6312E-2305-4C65-B642-FF4B3335303C}"/>
    <cellStyle name="Normal 7 2 4 2 3" xfId="760" xr:uid="{00000000-0005-0000-0000-0000A0020000}"/>
    <cellStyle name="Normal 7 2 4 2 3 2" xfId="2546" xr:uid="{F4F4B31F-69E9-4405-8C10-D3E35C192C04}"/>
    <cellStyle name="Normal 7 2 4 2 3 2 2" xfId="4981" xr:uid="{41E1CB45-E4B6-4958-A261-4C2871E9EB72}"/>
    <cellStyle name="Normal 7 2 4 2 3 3" xfId="3693" xr:uid="{CD513717-3661-4A96-A66D-2BEEC7DD32CE}"/>
    <cellStyle name="Normal 7 2 4 2 4" xfId="1521" xr:uid="{BF969319-36B5-4D1C-98FD-8A37E544124F}"/>
    <cellStyle name="Normal 7 2 4 2 4 2" xfId="4111" xr:uid="{2215314C-1301-46B0-A816-341FAF0A080C}"/>
    <cellStyle name="Normal 7 2 4 2 5" xfId="3479" xr:uid="{1942E8E9-16B3-4DC6-9F91-53DC537EE114}"/>
    <cellStyle name="Normal 7 2 4 3" xfId="603" xr:uid="{00000000-0005-0000-0000-0000A1020000}"/>
    <cellStyle name="Normal 7 2 4 3 2" xfId="814" xr:uid="{00000000-0005-0000-0000-0000A2020000}"/>
    <cellStyle name="Normal 7 2 4 3 2 2" xfId="2755" xr:uid="{DF685F57-1B51-4AFD-A10B-518C9CDEB3F3}"/>
    <cellStyle name="Normal 7 2 4 3 2 2 2" xfId="5190" xr:uid="{BBF40B6D-B1AA-402D-A483-D277831F5274}"/>
    <cellStyle name="Normal 7 2 4 3 2 3" xfId="3746" xr:uid="{10661BC6-1290-4B8F-A9C6-6C0C2C9A03B9}"/>
    <cellStyle name="Normal 7 2 4 3 3" xfId="1917" xr:uid="{3ED883D4-9624-4A96-A079-C5C2539B9E09}"/>
    <cellStyle name="Normal 7 2 4 3 3 2" xfId="4434" xr:uid="{3DF3E32B-1212-45F5-B088-7158A397F1BB}"/>
    <cellStyle name="Normal 7 2 4 3 4" xfId="3537" xr:uid="{6728B0BD-8EEF-47BB-AEA6-F679448F6DCE}"/>
    <cellStyle name="Normal 7 2 4 4" xfId="708" xr:uid="{00000000-0005-0000-0000-0000A3020000}"/>
    <cellStyle name="Normal 7 2 4 4 2" xfId="2545" xr:uid="{3ECB07E1-9B22-4756-ABF6-0E9AD6661976}"/>
    <cellStyle name="Normal 7 2 4 4 2 2" xfId="4980" xr:uid="{AF5CE6FA-BCEA-4C3B-B022-B7799DBB4039}"/>
    <cellStyle name="Normal 7 2 4 4 3" xfId="3641" xr:uid="{DC030146-10D9-4140-B9FE-FB3125A80662}"/>
    <cellStyle name="Normal 7 2 4 5" xfId="1520" xr:uid="{CED3EA18-9883-4629-AFAA-784449E07978}"/>
    <cellStyle name="Normal 7 2 4 5 2" xfId="4110" xr:uid="{0E015F02-32C5-418F-9595-DBDA5819CEE4}"/>
    <cellStyle name="Normal 7 2 4 6" xfId="3422" xr:uid="{551E63A3-C401-4123-A370-60868EC7DF59}"/>
    <cellStyle name="Normal 7 2 5" xfId="473" xr:uid="{00000000-0005-0000-0000-0000A4020000}"/>
    <cellStyle name="Normal 7 2 5 2" xfId="629" xr:uid="{00000000-0005-0000-0000-0000A5020000}"/>
    <cellStyle name="Normal 7 2 5 2 2" xfId="840" xr:uid="{00000000-0005-0000-0000-0000A6020000}"/>
    <cellStyle name="Normal 7 2 5 2 2 2" xfId="2926" xr:uid="{3A3A3C87-EFF6-4DC2-A262-08432FEA9D72}"/>
    <cellStyle name="Normal 7 2 5 2 2 2 2" xfId="5361" xr:uid="{50BAAF7B-3F72-45CB-BDF2-99A85E8BAF32}"/>
    <cellStyle name="Normal 7 2 5 2 2 3" xfId="2088" xr:uid="{B4C340F0-A9AC-4696-BB3F-6562B98633EB}"/>
    <cellStyle name="Normal 7 2 5 2 2 3 2" xfId="4605" xr:uid="{0BCA99DF-EBB4-47D3-A73D-1F2B424B22ED}"/>
    <cellStyle name="Normal 7 2 5 2 2 4" xfId="3772" xr:uid="{1C5CBEB3-162A-4A95-94AD-5503F0E7FC19}"/>
    <cellStyle name="Normal 7 2 5 2 3" xfId="2548" xr:uid="{0D9B9E60-AE1B-4915-9217-F64E6516FD6A}"/>
    <cellStyle name="Normal 7 2 5 2 3 2" xfId="4983" xr:uid="{18EBB1C6-D4BE-4445-9948-7422D50E73C4}"/>
    <cellStyle name="Normal 7 2 5 2 4" xfId="1523" xr:uid="{9FBE66B9-775C-4206-BF40-B9B56FA73D9C}"/>
    <cellStyle name="Normal 7 2 5 2 4 2" xfId="4113" xr:uid="{DA626F47-E734-4EA5-BAA1-955D47B6DB9E}"/>
    <cellStyle name="Normal 7 2 5 2 5" xfId="3563" xr:uid="{BD9D7CF6-AA9D-440B-A867-06FF9F650F21}"/>
    <cellStyle name="Normal 7 2 5 3" xfId="734" xr:uid="{00000000-0005-0000-0000-0000A7020000}"/>
    <cellStyle name="Normal 7 2 5 3 2" xfId="2756" xr:uid="{7F6D365B-4583-425B-BB28-313855D313C6}"/>
    <cellStyle name="Normal 7 2 5 3 2 2" xfId="5191" xr:uid="{9E1A89DE-37B4-4232-B4AD-6A05FC95A243}"/>
    <cellStyle name="Normal 7 2 5 3 3" xfId="1918" xr:uid="{8B64D760-0759-4739-9FA7-8061387C23A2}"/>
    <cellStyle name="Normal 7 2 5 3 3 2" xfId="4435" xr:uid="{2B32E873-5A48-4E79-AB86-E914C7291705}"/>
    <cellStyle name="Normal 7 2 5 3 4" xfId="3667" xr:uid="{6FCE58C4-49DD-4530-B712-9B54CE3BF347}"/>
    <cellStyle name="Normal 7 2 5 4" xfId="2547" xr:uid="{F1FB447C-5FB7-45BC-874E-D03AE9B87426}"/>
    <cellStyle name="Normal 7 2 5 4 2" xfId="4982" xr:uid="{965E3DD6-1BFF-4902-8115-7095E3AA1D1D}"/>
    <cellStyle name="Normal 7 2 5 5" xfId="1522" xr:uid="{C3483F77-242A-4B7E-AFCB-E80C9D7466C0}"/>
    <cellStyle name="Normal 7 2 5 5 2" xfId="4112" xr:uid="{8D06AAE5-6FF7-4BE7-8C8C-B289B57EC983}"/>
    <cellStyle name="Normal 7 2 5 6" xfId="3453" xr:uid="{46620A1F-8DB6-4F65-9B12-007362AB12FC}"/>
    <cellStyle name="Normal 7 2 6" xfId="577" xr:uid="{00000000-0005-0000-0000-0000A8020000}"/>
    <cellStyle name="Normal 7 2 6 2" xfId="788" xr:uid="{00000000-0005-0000-0000-0000A9020000}"/>
    <cellStyle name="Normal 7 2 6 2 2" xfId="2915" xr:uid="{13B0B70D-88B4-4E92-8EA3-C5A2A5A201E9}"/>
    <cellStyle name="Normal 7 2 6 2 2 2" xfId="5350" xr:uid="{B64BA4AB-E6C0-470C-9E6B-37FC996A141C}"/>
    <cellStyle name="Normal 7 2 6 2 3" xfId="2077" xr:uid="{7C70CBA0-CC29-45BA-88E2-8B4CE3E566EE}"/>
    <cellStyle name="Normal 7 2 6 2 3 2" xfId="4594" xr:uid="{F9AB2204-E4A1-4900-B1E3-8577A7804F98}"/>
    <cellStyle name="Normal 7 2 6 2 4" xfId="3720" xr:uid="{7DDD3A65-B1BC-45A7-A0AC-FACF0D00DBC9}"/>
    <cellStyle name="Normal 7 2 6 3" xfId="2549" xr:uid="{3336F64D-C370-457F-B436-CD6AACE2B16D}"/>
    <cellStyle name="Normal 7 2 6 3 2" xfId="4984" xr:uid="{10C43159-6296-4F32-81E6-23EE0F2893EC}"/>
    <cellStyle name="Normal 7 2 6 4" xfId="1524" xr:uid="{9E70955A-CC7A-4CBC-A328-998D8D32C397}"/>
    <cellStyle name="Normal 7 2 6 4 2" xfId="4114" xr:uid="{8000E96B-4E83-4443-AF4A-D5CAAA230A76}"/>
    <cellStyle name="Normal 7 2 6 5" xfId="3511" xr:uid="{9FC7C760-65A1-4471-8663-25C5B445F4CE}"/>
    <cellStyle name="Normal 7 2 7" xfId="682" xr:uid="{00000000-0005-0000-0000-0000AA020000}"/>
    <cellStyle name="Normal 7 2 7 2" xfId="2745" xr:uid="{1429E987-9F9C-49B0-BE0C-66A6110FDBC4}"/>
    <cellStyle name="Normal 7 2 7 2 2" xfId="5180" xr:uid="{F6B81F8B-386E-4104-8DB6-D9A1887ADE0E}"/>
    <cellStyle name="Normal 7 2 7 3" xfId="1907" xr:uid="{DF6487A3-B16C-4763-B277-E14AA969AC6F}"/>
    <cellStyle name="Normal 7 2 7 3 2" xfId="4424" xr:uid="{49E191F3-07A5-46DE-8CAD-E9A7952B1576}"/>
    <cellStyle name="Normal 7 2 7 4" xfId="3615" xr:uid="{BEF5DBAE-5F88-4A69-9A04-908114D96780}"/>
    <cellStyle name="Normal 7 2 8" xfId="2243" xr:uid="{893C0F17-42D6-42EB-A481-B44527DFEA5D}"/>
    <cellStyle name="Normal 7 2 8 2" xfId="4711" xr:uid="{10B67621-591C-48B3-A26F-7C35E9FBC303}"/>
    <cellStyle name="Normal 7 2 9" xfId="2526" xr:uid="{9388EAAC-FA57-49AC-B418-3E70B450DF63}"/>
    <cellStyle name="Normal 7 2 9 2" xfId="4961" xr:uid="{4D912E7B-EE2C-4526-AD80-0CD03D3F37D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2 2 2" xfId="3802" xr:uid="{2819A437-1C4F-4A12-AA0E-3217401B34AB}"/>
    <cellStyle name="Normal 7 3 2 2 2 3" xfId="3593" xr:uid="{A1DEF198-B119-4387-9590-B7127AD32D01}"/>
    <cellStyle name="Normal 7 3 2 2 3" xfId="764" xr:uid="{00000000-0005-0000-0000-0000B0020000}"/>
    <cellStyle name="Normal 7 3 2 2 3 2" xfId="3697" xr:uid="{9193ED8A-FB01-45E9-892F-BC540CF0889C}"/>
    <cellStyle name="Normal 7 3 2 2 4" xfId="3483" xr:uid="{C2B352D2-980C-4F10-BFE2-22528CE76179}"/>
    <cellStyle name="Normal 7 3 2 3" xfId="607" xr:uid="{00000000-0005-0000-0000-0000B1020000}"/>
    <cellStyle name="Normal 7 3 2 3 2" xfId="818" xr:uid="{00000000-0005-0000-0000-0000B2020000}"/>
    <cellStyle name="Normal 7 3 2 3 2 2" xfId="3750" xr:uid="{28B5999F-2B54-4A54-8866-6D15BD4AE79D}"/>
    <cellStyle name="Normal 7 3 2 3 3" xfId="3541" xr:uid="{50A882EF-9EB7-4732-A3C3-488C4362458A}"/>
    <cellStyle name="Normal 7 3 2 4" xfId="712" xr:uid="{00000000-0005-0000-0000-0000B3020000}"/>
    <cellStyle name="Normal 7 3 2 4 2" xfId="3645" xr:uid="{B86786E1-24E9-4B55-A9F5-4C3AF5BF2330}"/>
    <cellStyle name="Normal 7 3 2 5" xfId="3426" xr:uid="{14B4ACD1-EC4C-48C4-BA71-92CB5AD226D6}"/>
    <cellStyle name="Normal 7 3 3" xfId="477" xr:uid="{00000000-0005-0000-0000-0000B4020000}"/>
    <cellStyle name="Normal 7 3 3 2" xfId="633" xr:uid="{00000000-0005-0000-0000-0000B5020000}"/>
    <cellStyle name="Normal 7 3 3 2 2" xfId="844" xr:uid="{00000000-0005-0000-0000-0000B6020000}"/>
    <cellStyle name="Normal 7 3 3 2 2 2" xfId="3776" xr:uid="{F782EDA4-C040-444E-91F0-EE31D31E5CE2}"/>
    <cellStyle name="Normal 7 3 3 2 3" xfId="3567" xr:uid="{A7B48E1B-AF25-425D-87E1-7A1B15C2D546}"/>
    <cellStyle name="Normal 7 3 3 3" xfId="738" xr:uid="{00000000-0005-0000-0000-0000B7020000}"/>
    <cellStyle name="Normal 7 3 3 3 2" xfId="3671" xr:uid="{74A044C8-51C8-451F-A0E8-3A3FBDE4B12C}"/>
    <cellStyle name="Normal 7 3 3 4" xfId="3457" xr:uid="{E9384372-CF23-46C2-8BA6-C60B01475893}"/>
    <cellStyle name="Normal 7 3 4" xfId="581" xr:uid="{00000000-0005-0000-0000-0000B8020000}"/>
    <cellStyle name="Normal 7 3 4 2" xfId="792" xr:uid="{00000000-0005-0000-0000-0000B9020000}"/>
    <cellStyle name="Normal 7 3 4 2 2" xfId="3724" xr:uid="{797BCF25-5FB5-4FE7-8A94-BAA924AC499C}"/>
    <cellStyle name="Normal 7 3 4 3" xfId="3515" xr:uid="{3D145D96-71F8-44F2-A43C-901834ED1F08}"/>
    <cellStyle name="Normal 7 3 5" xfId="686" xr:uid="{00000000-0005-0000-0000-0000BA020000}"/>
    <cellStyle name="Normal 7 3 5 2" xfId="3619" xr:uid="{60C27510-20DE-4713-9F57-16251EB9347F}"/>
    <cellStyle name="Normal 7 3 6" xfId="1525" xr:uid="{89C30F3D-5D83-4DC4-8B7A-1397405C42FE}"/>
    <cellStyle name="Normal 7 3 7" xfId="3395" xr:uid="{9CD7D53B-EE82-4A11-B9B0-482667AAEF67}"/>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2 2 2" xfId="3811" xr:uid="{597E7413-CBE6-431E-84CE-6DDDBE64FA01}"/>
    <cellStyle name="Normal 7 4 2 2 2 3" xfId="3602" xr:uid="{CD8E2BE4-58EE-4DAF-818A-7DA8BC121616}"/>
    <cellStyle name="Normal 7 4 2 2 3" xfId="773" xr:uid="{00000000-0005-0000-0000-0000C0020000}"/>
    <cellStyle name="Normal 7 4 2 2 3 2" xfId="3706" xr:uid="{19D93A45-148D-49A9-9D3D-23278F6FD346}"/>
    <cellStyle name="Normal 7 4 2 2 4" xfId="3492" xr:uid="{752FE8A3-CA24-4979-BC5B-6F2E6C2FE274}"/>
    <cellStyle name="Normal 7 4 2 3" xfId="616" xr:uid="{00000000-0005-0000-0000-0000C1020000}"/>
    <cellStyle name="Normal 7 4 2 3 2" xfId="827" xr:uid="{00000000-0005-0000-0000-0000C2020000}"/>
    <cellStyle name="Normal 7 4 2 3 2 2" xfId="3759" xr:uid="{708E816A-D164-4CEC-8D48-3A66EB627F72}"/>
    <cellStyle name="Normal 7 4 2 3 3" xfId="3550" xr:uid="{9B487D8A-7367-4212-BCFC-7B7439EB9361}"/>
    <cellStyle name="Normal 7 4 2 4" xfId="721" xr:uid="{00000000-0005-0000-0000-0000C3020000}"/>
    <cellStyle name="Normal 7 4 2 4 2" xfId="3654" xr:uid="{B985090B-15F7-4BB3-A942-B8CB208D9B49}"/>
    <cellStyle name="Normal 7 4 2 5" xfId="3435" xr:uid="{75661E8E-E85A-413A-870C-336787BC185E}"/>
    <cellStyle name="Normal 7 4 3" xfId="486" xr:uid="{00000000-0005-0000-0000-0000C4020000}"/>
    <cellStyle name="Normal 7 4 3 2" xfId="642" xr:uid="{00000000-0005-0000-0000-0000C5020000}"/>
    <cellStyle name="Normal 7 4 3 2 2" xfId="853" xr:uid="{00000000-0005-0000-0000-0000C6020000}"/>
    <cellStyle name="Normal 7 4 3 2 2 2" xfId="3785" xr:uid="{5A39BE03-CA51-4021-BB0A-237DE855272E}"/>
    <cellStyle name="Normal 7 4 3 2 3" xfId="3576" xr:uid="{FD74064B-1DBD-4256-AF86-36831DD6801F}"/>
    <cellStyle name="Normal 7 4 3 3" xfId="747" xr:uid="{00000000-0005-0000-0000-0000C7020000}"/>
    <cellStyle name="Normal 7 4 3 3 2" xfId="3680" xr:uid="{6DB5FD83-2A59-4284-B13A-C66FE42E2418}"/>
    <cellStyle name="Normal 7 4 3 4" xfId="3466" xr:uid="{0D694AB8-95A1-48EE-8CA0-1DBC206C4A8F}"/>
    <cellStyle name="Normal 7 4 4" xfId="590" xr:uid="{00000000-0005-0000-0000-0000C8020000}"/>
    <cellStyle name="Normal 7 4 4 2" xfId="801" xr:uid="{00000000-0005-0000-0000-0000C9020000}"/>
    <cellStyle name="Normal 7 4 4 2 2" xfId="3733" xr:uid="{8E09E1B9-63B2-445E-B678-FB8122CCCA19}"/>
    <cellStyle name="Normal 7 4 4 3" xfId="3524" xr:uid="{B2AE0530-D53E-4A31-92D4-2001F3F77712}"/>
    <cellStyle name="Normal 7 4 5" xfId="695" xr:uid="{00000000-0005-0000-0000-0000CA020000}"/>
    <cellStyle name="Normal 7 4 5 2" xfId="3628" xr:uid="{7D74D3B6-D765-4A60-BDAE-12F484150ABC}"/>
    <cellStyle name="Normal 7 4 6" xfId="1526" xr:uid="{3F9DF255-B212-404E-B7E3-F74B39CAE464}"/>
    <cellStyle name="Normal 7 4 7" xfId="3404" xr:uid="{464D0028-E6D5-42C4-8710-2F3BDB0A7A56}"/>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2 2 2" xfId="3794" xr:uid="{96AD2447-013D-4F50-977B-C56A9B5ADFCA}"/>
    <cellStyle name="Normal 7 5 2 2 3" xfId="2914" xr:uid="{E506C560-97B5-4166-B2AC-533FD9BD7C60}"/>
    <cellStyle name="Normal 7 5 2 2 3 2" xfId="5349" xr:uid="{3CE2D7C1-32DB-4908-9846-63A77676034C}"/>
    <cellStyle name="Normal 7 5 2 2 4" xfId="3585" xr:uid="{D2031F57-711C-46F6-AC99-149CBD0FC027}"/>
    <cellStyle name="Normal 7 5 2 3" xfId="756" xr:uid="{00000000-0005-0000-0000-0000CF020000}"/>
    <cellStyle name="Normal 7 5 2 3 2" xfId="3689" xr:uid="{05B8987F-8F3B-4A00-8301-D225CD7516F5}"/>
    <cellStyle name="Normal 7 5 2 4" xfId="2076" xr:uid="{3953BDF3-BF94-4F7A-AB7E-03C6D4FD3704}"/>
    <cellStyle name="Normal 7 5 2 4 2" xfId="4593" xr:uid="{4D67A351-0B71-4E31-9355-E98419E9DA3E}"/>
    <cellStyle name="Normal 7 5 2 5" xfId="3475" xr:uid="{E0BA755D-EC14-4E87-B07F-F09176630922}"/>
    <cellStyle name="Normal 7 5 3" xfId="599" xr:uid="{00000000-0005-0000-0000-0000D0020000}"/>
    <cellStyle name="Normal 7 5 3 2" xfId="810" xr:uid="{00000000-0005-0000-0000-0000D1020000}"/>
    <cellStyle name="Normal 7 5 3 2 2" xfId="3742" xr:uid="{7084ABC8-B42E-4F92-A98B-CDFB317C7E82}"/>
    <cellStyle name="Normal 7 5 3 3" xfId="2550" xr:uid="{1C9155E2-49A2-4AA7-8CF1-B8B1276919B7}"/>
    <cellStyle name="Normal 7 5 3 3 2" xfId="4985" xr:uid="{145E3244-DFDA-4D39-AA83-687C8359C0FF}"/>
    <cellStyle name="Normal 7 5 3 4" xfId="3533" xr:uid="{37DD618C-6498-492E-946B-0066BB2C887E}"/>
    <cellStyle name="Normal 7 5 4" xfId="704" xr:uid="{00000000-0005-0000-0000-0000D2020000}"/>
    <cellStyle name="Normal 7 5 4 2" xfId="3637" xr:uid="{39D1B6D0-389D-491B-884A-F430B7AEB868}"/>
    <cellStyle name="Normal 7 5 5" xfId="1527" xr:uid="{D1C42708-A040-476D-A32A-B1E3F5C7A120}"/>
    <cellStyle name="Normal 7 5 5 2" xfId="4115" xr:uid="{37E69361-0E11-4A10-A133-ABC18E3BDD5D}"/>
    <cellStyle name="Normal 7 5 6" xfId="3418" xr:uid="{989FFFBD-CB8C-484E-A108-02AF0FDBD3CD}"/>
    <cellStyle name="Normal 7 6" xfId="469" xr:uid="{00000000-0005-0000-0000-0000D3020000}"/>
    <cellStyle name="Normal 7 6 2" xfId="625" xr:uid="{00000000-0005-0000-0000-0000D4020000}"/>
    <cellStyle name="Normal 7 6 2 2" xfId="836" xr:uid="{00000000-0005-0000-0000-0000D5020000}"/>
    <cellStyle name="Normal 7 6 2 2 2" xfId="3768" xr:uid="{A00DA7CA-6A72-4F93-8C5C-5D1E198012E5}"/>
    <cellStyle name="Normal 7 6 2 3" xfId="2744" xr:uid="{A11BA143-981A-443C-88C4-D2F1C2054CCF}"/>
    <cellStyle name="Normal 7 6 2 3 2" xfId="5179" xr:uid="{AD879398-4909-4D2B-A2C8-9A71283A181F}"/>
    <cellStyle name="Normal 7 6 2 4" xfId="3559" xr:uid="{128F1541-770E-447D-9318-BD5583337B0B}"/>
    <cellStyle name="Normal 7 6 3" xfId="730" xr:uid="{00000000-0005-0000-0000-0000D6020000}"/>
    <cellStyle name="Normal 7 6 3 2" xfId="3663" xr:uid="{FE3739B4-8958-4AB5-8065-6293FB2719AC}"/>
    <cellStyle name="Normal 7 6 4" xfId="1906" xr:uid="{A594E3BE-C14F-4B4C-A81E-5438885CB2F4}"/>
    <cellStyle name="Normal 7 6 4 2" xfId="4423" xr:uid="{1C19210B-70E2-411E-8E6C-020FD2D306C0}"/>
    <cellStyle name="Normal 7 6 5" xfId="3449" xr:uid="{FE337D58-B5A7-4D69-8693-012DB9479B85}"/>
    <cellStyle name="Normal 7 7" xfId="573" xr:uid="{00000000-0005-0000-0000-0000D7020000}"/>
    <cellStyle name="Normal 7 7 2" xfId="784" xr:uid="{00000000-0005-0000-0000-0000D8020000}"/>
    <cellStyle name="Normal 7 7 2 2" xfId="3716" xr:uid="{8C73611C-B572-4536-80AD-3302A450DF7B}"/>
    <cellStyle name="Normal 7 7 3" xfId="2242" xr:uid="{D13D8FB6-7692-4C7F-A788-4DA09E09AE3A}"/>
    <cellStyle name="Normal 7 7 3 2" xfId="4710" xr:uid="{98CD2EB5-640D-4648-92BA-511539D3B0C1}"/>
    <cellStyle name="Normal 7 7 4" xfId="3507" xr:uid="{690CE31E-468C-4724-8CDE-22AD24066A6D}"/>
    <cellStyle name="Normal 7 8" xfId="678" xr:uid="{00000000-0005-0000-0000-0000D9020000}"/>
    <cellStyle name="Normal 7 8 2" xfId="2525" xr:uid="{307702F0-915A-45DC-8EAA-52BC1DCD88E3}"/>
    <cellStyle name="Normal 7 8 2 2" xfId="4960" xr:uid="{56604B3D-7F53-44CE-B839-F0052EF025F8}"/>
    <cellStyle name="Normal 7 8 3" xfId="3611" xr:uid="{7C44EECB-B656-483D-A12E-5EC1275FEBEB}"/>
    <cellStyle name="Normal 7 9" xfId="1500" xr:uid="{D57F8E0A-E2ED-4FC7-A49E-A7169DADE1DC}"/>
    <cellStyle name="Normal 7 9 2" xfId="4090" xr:uid="{3D1A896C-6C91-4753-AAB4-688960279892}"/>
    <cellStyle name="Normal 70" xfId="2266" xr:uid="{4D80699D-190B-4EC3-8B1F-6FC1A24BA506}"/>
    <cellStyle name="Normal 70 2" xfId="3026" xr:uid="{CE11F7DD-7FDD-42F1-A6F3-CB646B64CE77}"/>
    <cellStyle name="Normal 71" xfId="2263" xr:uid="{FDE35B72-C261-427A-9BC0-4B0CBC38B2C1}"/>
    <cellStyle name="Normal 71 2" xfId="3023" xr:uid="{3056DC73-458C-48E2-A870-C361A9FAB473}"/>
    <cellStyle name="Normal 72" xfId="2267" xr:uid="{B30D53F8-92F6-486C-B974-E17672AB0310}"/>
    <cellStyle name="Normal 72 2" xfId="3027" xr:uid="{BF4D77F3-96DC-40D4-A52C-E8F4F34628EA}"/>
    <cellStyle name="Normal 73" xfId="2262" xr:uid="{0280285B-24B7-40A2-B35B-224AFD92064C}"/>
    <cellStyle name="Normal 73 2" xfId="3022" xr:uid="{F5BBE184-A9CC-4215-A453-3D5F5123DAA7}"/>
    <cellStyle name="Normal 74" xfId="2264" xr:uid="{FADAF6CE-ABBA-418C-9B01-1C1C76F918A2}"/>
    <cellStyle name="Normal 74 2" xfId="3024" xr:uid="{FB9661B7-E7EF-4297-9B01-ECFBBD25F8A9}"/>
    <cellStyle name="Normal 75" xfId="2270" xr:uid="{AC9CDF47-A781-4CD7-8182-1797A09AA6FE}"/>
    <cellStyle name="Normal 75 2" xfId="3028" xr:uid="{7693C5B5-6614-4053-86FC-8CB65268E388}"/>
    <cellStyle name="Normal 76" xfId="2274" xr:uid="{D1CF41F6-0F9B-46BB-96A9-0715896FB3FE}"/>
    <cellStyle name="Normal 76 2" xfId="3032" xr:uid="{016DFEF8-8D6D-4494-946B-EA27F7564B57}"/>
    <cellStyle name="Normal 77" xfId="2272" xr:uid="{7ADE2F67-3E72-4B54-A080-A52C103C53DD}"/>
    <cellStyle name="Normal 77 2" xfId="3030" xr:uid="{8DB482A4-C732-4FDA-8C8C-7209F0B40011}"/>
    <cellStyle name="Normal 78" xfId="2275" xr:uid="{DBF36640-AC2B-4A0F-9C27-F8FBAFB0BB3F}"/>
    <cellStyle name="Normal 78 2" xfId="3033" xr:uid="{91A91DD0-A065-48EF-BDAF-D6D38001E21E}"/>
    <cellStyle name="Normal 79" xfId="2271" xr:uid="{0B0B58F9-0271-49B9-B3E2-29A6FBFC9F5F}"/>
    <cellStyle name="Normal 79 2" xfId="3029" xr:uid="{7FD78583-AD1C-446C-B055-AD2C873345D6}"/>
    <cellStyle name="Normal 8" xfId="240" xr:uid="{00000000-0005-0000-0000-0000DA020000}"/>
    <cellStyle name="Normal 8 2" xfId="524" xr:uid="{00000000-0005-0000-0000-0000DB020000}"/>
    <cellStyle name="Normal 8 2 2" xfId="1530" xr:uid="{72950C60-50B2-4ADF-B0EE-F61A5A1FDE6F}"/>
    <cellStyle name="Normal 8 2 2 2" xfId="1531" xr:uid="{C0E26989-9E68-4542-A678-F17E9D7539ED}"/>
    <cellStyle name="Normal 8 2 2 2 2" xfId="2091" xr:uid="{14C28E59-AE5B-4272-89EB-E9E4E455B4FE}"/>
    <cellStyle name="Normal 8 2 2 2 2 2" xfId="2929" xr:uid="{293E9B8B-DD9A-4F74-87F5-2A625CCD5AD4}"/>
    <cellStyle name="Normal 8 2 2 2 2 2 2" xfId="5364" xr:uid="{40C0794F-39AC-4A22-B333-F72AB0F80731}"/>
    <cellStyle name="Normal 8 2 2 2 2 3" xfId="4608" xr:uid="{34E14FBB-2058-4AA4-81C3-1F3326E33916}"/>
    <cellStyle name="Normal 8 2 2 2 3" xfId="2554" xr:uid="{F10B9456-7231-444D-B946-055649E5F1E1}"/>
    <cellStyle name="Normal 8 2 2 2 3 2" xfId="4989" xr:uid="{3514900E-CB51-481D-A7B3-6139F0685D08}"/>
    <cellStyle name="Normal 8 2 2 2 4" xfId="4119" xr:uid="{3A91AB09-90E1-4CCB-9EC7-3725D0FA4092}"/>
    <cellStyle name="Normal 8 2 2 3" xfId="1921" xr:uid="{88D377B0-EFC1-476B-A607-4C1584248006}"/>
    <cellStyle name="Normal 8 2 2 3 2" xfId="2759" xr:uid="{5B58BBF9-03A2-4F04-80CD-00A99E1E8245}"/>
    <cellStyle name="Normal 8 2 2 3 2 2" xfId="5194" xr:uid="{4D01309D-7585-49C8-A6E0-AC810C326B28}"/>
    <cellStyle name="Normal 8 2 2 3 3" xfId="4438" xr:uid="{280FEB0A-88FC-4DFB-988C-1E831F9417D9}"/>
    <cellStyle name="Normal 8 2 2 4" xfId="2553" xr:uid="{7BED0038-A156-4411-BB8D-A4B1B41A8244}"/>
    <cellStyle name="Normal 8 2 2 4 2" xfId="4988" xr:uid="{8490C167-EFFB-45EC-9717-D78C90CEE873}"/>
    <cellStyle name="Normal 8 2 2 5" xfId="4118" xr:uid="{5F93E948-47D6-40BC-A85B-07F3D506D2E3}"/>
    <cellStyle name="Normal 8 2 3" xfId="1532" xr:uid="{3722C380-EF16-4423-A35B-A67028DB423E}"/>
    <cellStyle name="Normal 8 2 3 2" xfId="1533" xr:uid="{F4E2F80C-B083-4AEB-A61D-5442C5BE37FC}"/>
    <cellStyle name="Normal 8 2 3 2 2" xfId="2092" xr:uid="{991F5F08-5C6C-4DEA-9C07-FEDCB86DC481}"/>
    <cellStyle name="Normal 8 2 3 2 2 2" xfId="2930" xr:uid="{E643B80C-5C39-4C08-B52B-334DCC6C4003}"/>
    <cellStyle name="Normal 8 2 3 2 2 2 2" xfId="5365" xr:uid="{2CBD1E40-C6AB-4681-BDD1-BF60775A4741}"/>
    <cellStyle name="Normal 8 2 3 2 2 3" xfId="4609" xr:uid="{4EB83086-FF4F-4A44-AF3C-CBDE22C4889C}"/>
    <cellStyle name="Normal 8 2 3 2 3" xfId="2556" xr:uid="{6EE82F89-8A9F-4044-A9AB-0E5A080064C3}"/>
    <cellStyle name="Normal 8 2 3 2 3 2" xfId="4991" xr:uid="{C1477C92-DC3B-4172-93FF-C166DC32436F}"/>
    <cellStyle name="Normal 8 2 3 2 4" xfId="4121" xr:uid="{155ADE1F-E4E0-49D8-8B1A-565B6A8CF3FC}"/>
    <cellStyle name="Normal 8 2 3 3" xfId="1922" xr:uid="{0B0D46D4-C369-4BD9-8A90-754E20DE686B}"/>
    <cellStyle name="Normal 8 2 3 3 2" xfId="2760" xr:uid="{F24464ED-9587-41BB-A952-6578F8F25107}"/>
    <cellStyle name="Normal 8 2 3 3 2 2" xfId="5195" xr:uid="{5EF19745-6D10-4C5E-844B-1E3D024DC84F}"/>
    <cellStyle name="Normal 8 2 3 3 3" xfId="4439" xr:uid="{48840FC2-4AA3-4FCD-BE1D-45224D7999E9}"/>
    <cellStyle name="Normal 8 2 3 4" xfId="2555" xr:uid="{915E1339-F927-4101-BA61-D216CEDFD08C}"/>
    <cellStyle name="Normal 8 2 3 4 2" xfId="4990" xr:uid="{69C4AD85-E3D9-48D2-9DBE-7B054147AD66}"/>
    <cellStyle name="Normal 8 2 3 5" xfId="4120" xr:uid="{E5A0C7CB-F563-4208-BC8F-DC1E4F45A80B}"/>
    <cellStyle name="Normal 8 2 4" xfId="1534" xr:uid="{D006C071-D198-49CF-90FC-A96B554E0920}"/>
    <cellStyle name="Normal 8 2 4 2" xfId="2090" xr:uid="{6F538240-B100-4448-8199-26587A0D054F}"/>
    <cellStyle name="Normal 8 2 4 2 2" xfId="2928" xr:uid="{40559DE5-F40F-42DA-8E34-6D9C5B311BCC}"/>
    <cellStyle name="Normal 8 2 4 2 2 2" xfId="5363" xr:uid="{A34B67A1-5B4A-4278-BC5E-BDB249F82B2B}"/>
    <cellStyle name="Normal 8 2 4 2 3" xfId="4607" xr:uid="{291B68CD-F8BA-40CF-8325-1B5BCFCDDDF1}"/>
    <cellStyle name="Normal 8 2 4 3" xfId="2557" xr:uid="{69EA9506-9EC8-445E-94A8-7797C51F1D71}"/>
    <cellStyle name="Normal 8 2 4 3 2" xfId="4992" xr:uid="{4BD2EB6D-D37B-469B-A61B-9579E0572662}"/>
    <cellStyle name="Normal 8 2 4 4" xfId="4122" xr:uid="{2A84D46F-8045-4301-8103-A420A430B54C}"/>
    <cellStyle name="Normal 8 2 5" xfId="1920" xr:uid="{E2EEABFE-CB2A-47BA-A28C-2306E53B78CE}"/>
    <cellStyle name="Normal 8 2 5 2" xfId="2758" xr:uid="{241CD68D-A374-4F8E-A74D-36139FBC7C0B}"/>
    <cellStyle name="Normal 8 2 5 2 2" xfId="5193" xr:uid="{82DFCCBD-0E7D-45DC-82F9-CF6F22C6B2A2}"/>
    <cellStyle name="Normal 8 2 5 3" xfId="4437" xr:uid="{C1928C89-4EE1-4011-A84C-9FDA4166048E}"/>
    <cellStyle name="Normal 8 2 6" xfId="2245" xr:uid="{993412EA-D78C-47E5-A8B9-7DD005E8613C}"/>
    <cellStyle name="Normal 8 2 6 2" xfId="4713" xr:uid="{647455BB-A74A-4170-BB35-C0C7196A2104}"/>
    <cellStyle name="Normal 8 2 7" xfId="2552" xr:uid="{E84FB534-ED10-47AB-B85F-48E2B9DF01E5}"/>
    <cellStyle name="Normal 8 2 7 2" xfId="4987" xr:uid="{3FC1FA3C-C28D-4ED8-93A6-CF187918CB56}"/>
    <cellStyle name="Normal 8 2 8" xfId="1529" xr:uid="{BDB9A11D-A2E9-42F0-852C-4C8FCB2359F7}"/>
    <cellStyle name="Normal 8 2 8 2" xfId="4117" xr:uid="{71F63154-E95B-459D-9559-44A6659BD5FB}"/>
    <cellStyle name="Normal 8 3" xfId="1535" xr:uid="{C04C6E3A-CCE5-4C2E-83D9-884E8DE4459E}"/>
    <cellStyle name="Normal 8 3 2" xfId="1536" xr:uid="{0BDF85EE-6D30-4053-B254-622861112A78}"/>
    <cellStyle name="Normal 8 3 2 2" xfId="2093" xr:uid="{B71A621D-6F74-47F4-848C-297E56D49774}"/>
    <cellStyle name="Normal 8 3 2 2 2" xfId="2931" xr:uid="{D3A95855-DB72-4BA0-A612-D54C474C6329}"/>
    <cellStyle name="Normal 8 3 2 2 2 2" xfId="5366" xr:uid="{95007E7E-570A-4F44-AD35-431A61844D57}"/>
    <cellStyle name="Normal 8 3 2 2 3" xfId="4610" xr:uid="{F151F13B-DA2E-498F-97EB-D9EE9D619131}"/>
    <cellStyle name="Normal 8 3 2 3" xfId="2559" xr:uid="{B9E13225-E94F-45BE-A760-A5D10B3C42A5}"/>
    <cellStyle name="Normal 8 3 2 3 2" xfId="4994" xr:uid="{7DE9C860-59B1-49ED-9204-757732495F9E}"/>
    <cellStyle name="Normal 8 3 2 4" xfId="4124" xr:uid="{238622E7-B120-43B2-9E94-29B2E26D1F00}"/>
    <cellStyle name="Normal 8 3 3" xfId="1923" xr:uid="{47F1BC2B-8B65-45E8-8B4C-02D3B364CA83}"/>
    <cellStyle name="Normal 8 3 3 2" xfId="2761" xr:uid="{C4C74741-79AF-4381-9585-98EADB1DF708}"/>
    <cellStyle name="Normal 8 3 3 2 2" xfId="5196" xr:uid="{5B6422BA-04F3-4887-BFD5-B7C0110F18E5}"/>
    <cellStyle name="Normal 8 3 3 3" xfId="4440" xr:uid="{B2BA9242-F64D-4277-A52F-8FB9D7B8950C}"/>
    <cellStyle name="Normal 8 3 4" xfId="2558" xr:uid="{803D7582-2419-4E06-A526-945DE127505C}"/>
    <cellStyle name="Normal 8 3 4 2" xfId="4993" xr:uid="{10B7F9F4-9F3C-462F-965D-4954C277D0B8}"/>
    <cellStyle name="Normal 8 3 5" xfId="4123" xr:uid="{3C068339-EEB9-4BE1-B2F7-78C87CA14406}"/>
    <cellStyle name="Normal 8 4" xfId="1537" xr:uid="{62CCB820-1721-4617-A7F2-71AC71FF06BB}"/>
    <cellStyle name="Normal 8 4 2" xfId="1538" xr:uid="{F034BD01-9664-473A-9708-BED8DEDE8EA8}"/>
    <cellStyle name="Normal 8 4 2 2" xfId="2094" xr:uid="{8200B082-C132-40A0-8529-5E13A84BA6B6}"/>
    <cellStyle name="Normal 8 4 2 2 2" xfId="2932" xr:uid="{5ECD662D-3F64-47B1-80AC-09BDDD36A49E}"/>
    <cellStyle name="Normal 8 4 2 2 2 2" xfId="5367" xr:uid="{A4602990-5753-40C6-BF6C-CC646C771836}"/>
    <cellStyle name="Normal 8 4 2 2 3" xfId="4611" xr:uid="{E82EBD7B-9AF0-4672-9C2A-B96FC9025F19}"/>
    <cellStyle name="Normal 8 4 2 3" xfId="2561" xr:uid="{083A2605-4306-4547-9C63-09802E48865D}"/>
    <cellStyle name="Normal 8 4 2 3 2" xfId="4996" xr:uid="{9774F1F3-7601-4598-A4F2-0F54DD7A9C05}"/>
    <cellStyle name="Normal 8 4 2 4" xfId="4126" xr:uid="{8F7D7348-E37E-4563-9379-CF774AC09130}"/>
    <cellStyle name="Normal 8 4 3" xfId="1924" xr:uid="{CCA79CA0-1C31-4160-8CEF-1409DA89ABAF}"/>
    <cellStyle name="Normal 8 4 3 2" xfId="2762" xr:uid="{32BC2F2F-FCC4-4E68-97D9-FF88273FAAF4}"/>
    <cellStyle name="Normal 8 4 3 2 2" xfId="5197" xr:uid="{2EB2E6B2-0CE0-402A-9743-59675A566609}"/>
    <cellStyle name="Normal 8 4 3 3" xfId="4441" xr:uid="{8DC5BDFA-0DB6-45B4-B3AB-51A77DB1F664}"/>
    <cellStyle name="Normal 8 4 4" xfId="2560" xr:uid="{BE65E5DF-355D-4D81-9B0D-0B7CA3A9604D}"/>
    <cellStyle name="Normal 8 4 4 2" xfId="4995" xr:uid="{F3CBF87D-A3EF-4EB8-B1A2-E66332C917C5}"/>
    <cellStyle name="Normal 8 4 5" xfId="4125" xr:uid="{56B3C423-6F3C-4EAD-8571-1A2751877CB7}"/>
    <cellStyle name="Normal 8 5" xfId="1539" xr:uid="{D357DC18-202D-4C6B-BFA4-9487F88D79A5}"/>
    <cellStyle name="Normal 8 5 2" xfId="2089" xr:uid="{DCB062A9-3958-4914-BF81-58513C1CDBC9}"/>
    <cellStyle name="Normal 8 5 2 2" xfId="2927" xr:uid="{39E19137-A659-4DC6-8AE5-10CEECFB1423}"/>
    <cellStyle name="Normal 8 5 2 2 2" xfId="5362" xr:uid="{04789B3F-656A-4234-B3FA-23A52F8D0007}"/>
    <cellStyle name="Normal 8 5 2 3" xfId="4606" xr:uid="{35773A35-1F5F-44F2-8416-91B3B79B2521}"/>
    <cellStyle name="Normal 8 5 3" xfId="2562" xr:uid="{AC260160-43EB-494C-A75C-288D4F505B49}"/>
    <cellStyle name="Normal 8 5 3 2" xfId="4997" xr:uid="{0CE93076-31D6-4428-8037-79E7DC42A74B}"/>
    <cellStyle name="Normal 8 5 4" xfId="4127" xr:uid="{E7A369CE-0553-4FFD-BFA0-CF1A4E6DA377}"/>
    <cellStyle name="Normal 8 6" xfId="1919" xr:uid="{275AF734-ED45-4B21-9373-E30F3BA34075}"/>
    <cellStyle name="Normal 8 6 2" xfId="2757" xr:uid="{28A57076-8763-4938-B2B2-FE726F0FC71A}"/>
    <cellStyle name="Normal 8 6 2 2" xfId="5192" xr:uid="{E1D3DC68-C502-4AE3-B4BE-1F06122B2BAE}"/>
    <cellStyle name="Normal 8 6 3" xfId="4436" xr:uid="{9578127D-A16C-4F57-AE76-C4990CAE331D}"/>
    <cellStyle name="Normal 8 7" xfId="2244" xr:uid="{1CB932F5-B1EA-42E9-AE20-5F93357BE6FD}"/>
    <cellStyle name="Normal 8 7 2" xfId="4712" xr:uid="{D0CD6187-9B03-4D24-827F-728137A6AC38}"/>
    <cellStyle name="Normal 8 8" xfId="2551" xr:uid="{8481FA03-2E55-4DB2-A3A9-7D12F408A00E}"/>
    <cellStyle name="Normal 8 8 2" xfId="4986" xr:uid="{251B1A75-224E-4A4F-9C8D-CEBF568D65A4}"/>
    <cellStyle name="Normal 8 9" xfId="1528" xr:uid="{DAF95CE8-B2B9-4E00-B32B-705102AA2D3F}"/>
    <cellStyle name="Normal 8 9 2" xfId="4116" xr:uid="{F8F9473C-B923-403B-BFF4-43C7608CEE9A}"/>
    <cellStyle name="Normal 80" xfId="2273" xr:uid="{72EB945E-EBE6-4538-BFEB-E84CAD76E490}"/>
    <cellStyle name="Normal 80 2" xfId="3031" xr:uid="{4DD2AE72-8EDB-46A3-A0D9-726E03056663}"/>
    <cellStyle name="Normal 81" xfId="2276" xr:uid="{10FB7107-7A28-4DD1-8DAF-BEA8A881779F}"/>
    <cellStyle name="Normal 81 2" xfId="3034" xr:uid="{D218DA3C-129A-4E82-9CDE-AB210449D76C}"/>
    <cellStyle name="Normal 82" xfId="2281" xr:uid="{8F36C532-D61A-4213-8F8A-1C63A054C274}"/>
    <cellStyle name="Normal 82 2" xfId="3039" xr:uid="{183BD7CB-628A-4666-B7F2-53AD66FC7B4D}"/>
    <cellStyle name="Normal 83" xfId="2278" xr:uid="{6D149C46-EE27-4984-9F15-423F3FB04A26}"/>
    <cellStyle name="Normal 83 2" xfId="3036" xr:uid="{01BC8440-4EDC-430D-BEF7-67508EC2E82F}"/>
    <cellStyle name="Normal 84" xfId="2279" xr:uid="{C4A1E058-FE9C-4D90-8C10-93F0CEBA1044}"/>
    <cellStyle name="Normal 84 2" xfId="3037" xr:uid="{FE639C3A-E0C1-44B1-BDB5-1C6601879F85}"/>
    <cellStyle name="Normal 85" xfId="2282" xr:uid="{A7EFF48A-6679-47D8-A94A-4374D8FEE78F}"/>
    <cellStyle name="Normal 85 2" xfId="3040" xr:uid="{343A9326-229E-44D7-A678-36703FD8976C}"/>
    <cellStyle name="Normal 86" xfId="2277" xr:uid="{DACA7568-0341-4B8B-B0F1-2AF05D065473}"/>
    <cellStyle name="Normal 86 2" xfId="3035" xr:uid="{249E05BD-FDBE-4964-BFC0-83CB3E49B60F}"/>
    <cellStyle name="Normal 87" xfId="2280" xr:uid="{18674C10-56D3-41BC-8305-107970233A2C}"/>
    <cellStyle name="Normal 87 2" xfId="3038" xr:uid="{02D14FE3-59F9-4F47-B23D-72C2ACD24945}"/>
    <cellStyle name="Normal 88" xfId="2286" xr:uid="{AD8864C6-6228-4D32-9285-9911577B9A78}"/>
    <cellStyle name="Normal 88 2" xfId="4721" xr:uid="{89E639DA-5B38-4342-A88C-EA8B695F5188}"/>
    <cellStyle name="Normal 89" xfId="981" xr:uid="{E22A1F9D-E963-4307-8C4B-0CC408DE39C0}"/>
    <cellStyle name="Normal 89 2" xfId="3868" xr:uid="{0889C6F4-BFA6-4EC1-BD0E-DDF3E45DE03E}"/>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2 2 2" xfId="3804" xr:uid="{A326AD5E-24BD-4572-96D0-ECA353168B68}"/>
    <cellStyle name="Normal 9 2 2 2 2 3" xfId="3595" xr:uid="{686FAA7E-339B-4C93-BD69-7BD8E598434D}"/>
    <cellStyle name="Normal 9 2 2 2 3" xfId="766" xr:uid="{00000000-0005-0000-0000-0000E2020000}"/>
    <cellStyle name="Normal 9 2 2 2 3 2" xfId="3699" xr:uid="{DF1C7F32-7915-45C6-AD58-58CDAB4D230B}"/>
    <cellStyle name="Normal 9 2 2 2 4" xfId="3485" xr:uid="{AC680DEB-7467-4BBB-8B7D-953EACD0FB36}"/>
    <cellStyle name="Normal 9 2 2 3" xfId="609" xr:uid="{00000000-0005-0000-0000-0000E3020000}"/>
    <cellStyle name="Normal 9 2 2 3 2" xfId="820" xr:uid="{00000000-0005-0000-0000-0000E4020000}"/>
    <cellStyle name="Normal 9 2 2 3 2 2" xfId="3752" xr:uid="{F86CCC86-E46D-4461-B847-115B36113787}"/>
    <cellStyle name="Normal 9 2 2 3 3" xfId="3543" xr:uid="{D8F196A6-E8DA-41FF-8226-200837F462DF}"/>
    <cellStyle name="Normal 9 2 2 4" xfId="714" xr:uid="{00000000-0005-0000-0000-0000E5020000}"/>
    <cellStyle name="Normal 9 2 2 4 2" xfId="3647" xr:uid="{645E2D50-772E-47FD-91B6-EED614193A70}"/>
    <cellStyle name="Normal 9 2 2 5" xfId="3428" xr:uid="{3E67592B-E41B-41B0-8610-AAD694FD9323}"/>
    <cellStyle name="Normal 9 2 3" xfId="479" xr:uid="{00000000-0005-0000-0000-0000E6020000}"/>
    <cellStyle name="Normal 9 2 3 2" xfId="635" xr:uid="{00000000-0005-0000-0000-0000E7020000}"/>
    <cellStyle name="Normal 9 2 3 2 2" xfId="846" xr:uid="{00000000-0005-0000-0000-0000E8020000}"/>
    <cellStyle name="Normal 9 2 3 2 2 2" xfId="3778" xr:uid="{DA86C131-470F-4ADE-B228-4956AB4173CB}"/>
    <cellStyle name="Normal 9 2 3 2 3" xfId="3569" xr:uid="{72AE38BA-CEED-43D6-80B9-54667EF4D8B9}"/>
    <cellStyle name="Normal 9 2 3 3" xfId="740" xr:uid="{00000000-0005-0000-0000-0000E9020000}"/>
    <cellStyle name="Normal 9 2 3 3 2" xfId="3673" xr:uid="{B6BB037E-3B27-4BBB-9767-456CA422A63C}"/>
    <cellStyle name="Normal 9 2 3 4" xfId="3459" xr:uid="{56B75B48-9EB5-4B81-95A6-E842E162853D}"/>
    <cellStyle name="Normal 9 2 4" xfId="583" xr:uid="{00000000-0005-0000-0000-0000EA020000}"/>
    <cellStyle name="Normal 9 2 4 2" xfId="794" xr:uid="{00000000-0005-0000-0000-0000EB020000}"/>
    <cellStyle name="Normal 9 2 4 2 2" xfId="3726" xr:uid="{0764790B-BB5D-41CC-AA24-51AE8DA50EBB}"/>
    <cellStyle name="Normal 9 2 4 3" xfId="3517" xr:uid="{51369476-947D-4FCA-B53E-8137F1E30163}"/>
    <cellStyle name="Normal 9 2 5" xfId="688" xr:uid="{00000000-0005-0000-0000-0000EC020000}"/>
    <cellStyle name="Normal 9 2 5 2" xfId="3621" xr:uid="{1A03BFB4-92A3-43C2-ABC0-6F84F5C0A7D5}"/>
    <cellStyle name="Normal 9 2 6" xfId="2205" xr:uid="{BC673DEF-5D04-4C53-A370-7F1FE7659104}"/>
    <cellStyle name="Normal 9 2 6 2" xfId="4695" xr:uid="{2D1400B8-864C-47BC-B39A-36538B98401D}"/>
    <cellStyle name="Normal 9 2 7" xfId="3397" xr:uid="{104C6515-142E-4289-9C5E-F0382579BEE3}"/>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2 2 2" xfId="3813" xr:uid="{C6E09A16-138E-404A-8CD7-0364FAAE46CC}"/>
    <cellStyle name="Normal 9 3 2 2 2 3" xfId="3604" xr:uid="{6179FACC-CC6A-4D7C-A0F1-198D84797BF5}"/>
    <cellStyle name="Normal 9 3 2 2 3" xfId="775" xr:uid="{00000000-0005-0000-0000-0000F2020000}"/>
    <cellStyle name="Normal 9 3 2 2 3 2" xfId="3708" xr:uid="{A31342D6-0CDC-437C-98F7-C4F83B3687AA}"/>
    <cellStyle name="Normal 9 3 2 2 4" xfId="3494" xr:uid="{1AD96E20-D657-4176-9273-6C22D90E1C60}"/>
    <cellStyle name="Normal 9 3 2 3" xfId="618" xr:uid="{00000000-0005-0000-0000-0000F3020000}"/>
    <cellStyle name="Normal 9 3 2 3 2" xfId="829" xr:uid="{00000000-0005-0000-0000-0000F4020000}"/>
    <cellStyle name="Normal 9 3 2 3 2 2" xfId="3761" xr:uid="{93388CFD-41F9-4BA6-862B-BB88A5E36B0B}"/>
    <cellStyle name="Normal 9 3 2 3 3" xfId="3552" xr:uid="{163FDC40-4A01-4759-A69B-CCB3F597417E}"/>
    <cellStyle name="Normal 9 3 2 4" xfId="723" xr:uid="{00000000-0005-0000-0000-0000F5020000}"/>
    <cellStyle name="Normal 9 3 2 4 2" xfId="3656" xr:uid="{61EB8B5B-EDC8-49E9-8B85-DEE9EE0690F0}"/>
    <cellStyle name="Normal 9 3 2 5" xfId="3437" xr:uid="{1976B4AD-E80B-41A9-8683-BF685AB8AA90}"/>
    <cellStyle name="Normal 9 3 3" xfId="488" xr:uid="{00000000-0005-0000-0000-0000F6020000}"/>
    <cellStyle name="Normal 9 3 3 2" xfId="644" xr:uid="{00000000-0005-0000-0000-0000F7020000}"/>
    <cellStyle name="Normal 9 3 3 2 2" xfId="855" xr:uid="{00000000-0005-0000-0000-0000F8020000}"/>
    <cellStyle name="Normal 9 3 3 2 2 2" xfId="3787" xr:uid="{9F328BC5-6B2C-4DC2-8201-5FE40AF3DDEE}"/>
    <cellStyle name="Normal 9 3 3 2 3" xfId="3578" xr:uid="{290E77A3-3E4A-4D3A-96B4-5D6DB7B2EC57}"/>
    <cellStyle name="Normal 9 3 3 3" xfId="749" xr:uid="{00000000-0005-0000-0000-0000F9020000}"/>
    <cellStyle name="Normal 9 3 3 3 2" xfId="3682" xr:uid="{CB4E825E-B4A8-475B-A0AA-F4BEB52FB451}"/>
    <cellStyle name="Normal 9 3 3 4" xfId="3468" xr:uid="{BC85CE32-1E60-4C43-82FB-1686C623DEB3}"/>
    <cellStyle name="Normal 9 3 4" xfId="592" xr:uid="{00000000-0005-0000-0000-0000FA020000}"/>
    <cellStyle name="Normal 9 3 4 2" xfId="803" xr:uid="{00000000-0005-0000-0000-0000FB020000}"/>
    <cellStyle name="Normal 9 3 4 2 2" xfId="3735" xr:uid="{24D794C4-6AC1-4D4C-BBBC-548DD9692735}"/>
    <cellStyle name="Normal 9 3 4 3" xfId="3526" xr:uid="{459FD994-653C-4278-BD7B-262F4B58C730}"/>
    <cellStyle name="Normal 9 3 5" xfId="697" xr:uid="{00000000-0005-0000-0000-0000FC020000}"/>
    <cellStyle name="Normal 9 3 5 2" xfId="3630" xr:uid="{84A1FFC0-1ED9-40FC-967F-272A66CF1EE5}"/>
    <cellStyle name="Normal 9 3 6" xfId="2246" xr:uid="{22D0BE96-4F8F-44D9-8F54-F047A2D1D968}"/>
    <cellStyle name="Normal 9 3 7" xfId="3406" xr:uid="{A6425A6C-DDB2-4186-8125-B9099A96904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2 2 2" xfId="3796" xr:uid="{0968C2D3-B044-485E-8306-ECC9A8E56788}"/>
    <cellStyle name="Normal 9 4 2 2 3" xfId="3587" xr:uid="{30303187-02C3-4FD6-A7D5-252B208EA388}"/>
    <cellStyle name="Normal 9 4 2 3" xfId="758" xr:uid="{00000000-0005-0000-0000-000001030000}"/>
    <cellStyle name="Normal 9 4 2 3 2" xfId="3691" xr:uid="{B71248E9-3166-4BB5-8D13-FC4D0C960F1C}"/>
    <cellStyle name="Normal 9 4 2 4" xfId="3477" xr:uid="{3690515D-9ED1-46AC-A79E-8DADD2BC11F1}"/>
    <cellStyle name="Normal 9 4 3" xfId="601" xr:uid="{00000000-0005-0000-0000-000002030000}"/>
    <cellStyle name="Normal 9 4 3 2" xfId="812" xr:uid="{00000000-0005-0000-0000-000003030000}"/>
    <cellStyle name="Normal 9 4 3 2 2" xfId="3744" xr:uid="{87175B12-2751-4F4D-84D7-D46F5F349485}"/>
    <cellStyle name="Normal 9 4 3 3" xfId="3535" xr:uid="{1A9B582F-73B5-44ED-BBF4-1239C280FFDB}"/>
    <cellStyle name="Normal 9 4 4" xfId="706" xr:uid="{00000000-0005-0000-0000-000004030000}"/>
    <cellStyle name="Normal 9 4 4 2" xfId="3639" xr:uid="{B0737F44-069F-42AF-8F1C-49BDE9E2C7C7}"/>
    <cellStyle name="Normal 9 4 5" xfId="2197" xr:uid="{F213F258-85A6-4046-9766-159BA016304C}"/>
    <cellStyle name="Normal 9 4 5 2" xfId="4688" xr:uid="{6B62FB5B-C3C2-45C4-B4B8-CE9CD55B1D6F}"/>
    <cellStyle name="Normal 9 4 6" xfId="3420" xr:uid="{513FA57B-3F3B-4D36-A513-41877D82B62E}"/>
    <cellStyle name="Normal 9 5" xfId="471" xr:uid="{00000000-0005-0000-0000-000005030000}"/>
    <cellStyle name="Normal 9 5 2" xfId="627" xr:uid="{00000000-0005-0000-0000-000006030000}"/>
    <cellStyle name="Normal 9 5 2 2" xfId="838" xr:uid="{00000000-0005-0000-0000-000007030000}"/>
    <cellStyle name="Normal 9 5 2 2 2" xfId="3770" xr:uid="{3ED8BA25-D338-4185-9E3A-7AC677B3D959}"/>
    <cellStyle name="Normal 9 5 2 3" xfId="3561" xr:uid="{CAF3910C-3C73-4B0C-9020-350BACC5BADE}"/>
    <cellStyle name="Normal 9 5 3" xfId="732" xr:uid="{00000000-0005-0000-0000-000008030000}"/>
    <cellStyle name="Normal 9 5 3 2" xfId="3665" xr:uid="{69FF6728-1514-40E2-A664-672E3DF2FADD}"/>
    <cellStyle name="Normal 9 5 4" xfId="3451" xr:uid="{D4655214-5F36-4E68-8781-E8E32FE1340F}"/>
    <cellStyle name="Normal 9 6" xfId="575" xr:uid="{00000000-0005-0000-0000-000009030000}"/>
    <cellStyle name="Normal 9 6 2" xfId="786" xr:uid="{00000000-0005-0000-0000-00000A030000}"/>
    <cellStyle name="Normal 9 6 2 2" xfId="3718" xr:uid="{00863C62-8759-4778-8D49-4844D4895836}"/>
    <cellStyle name="Normal 9 6 3" xfId="3509" xr:uid="{A4D8B3B0-444D-4748-AE1F-BDF3DEA5BFE0}"/>
    <cellStyle name="Normal 9 7" xfId="680" xr:uid="{00000000-0005-0000-0000-00000B030000}"/>
    <cellStyle name="Normal 9 7 2" xfId="3613" xr:uid="{DE222856-D0F5-48B1-B0BC-CCFFC6503D32}"/>
    <cellStyle name="Normal 9 8" xfId="1540" xr:uid="{24C5FA95-B10B-4820-A5E7-CE0B32E4875A}"/>
    <cellStyle name="Normal 9 9" xfId="3379" xr:uid="{3347AC9C-8B0B-457B-BEC0-6AAD3BD19263}"/>
    <cellStyle name="Normal 90" xfId="5686" xr:uid="{F4E5E8F2-147D-4B6F-9F09-790067395BEA}"/>
    <cellStyle name="Normal_Funding Shift Table Sample" xfId="67" xr:uid="{00000000-0005-0000-0000-00000C030000}"/>
    <cellStyle name="Note" xfId="68" builtinId="10" customBuiltin="1"/>
    <cellStyle name="Note 2" xfId="186" xr:uid="{00000000-0005-0000-0000-00000E030000}"/>
    <cellStyle name="Note 2 10" xfId="1541" xr:uid="{6017623B-0087-4DF9-945F-8181E1C8AB0A}"/>
    <cellStyle name="Note 2 10 2" xfId="4128" xr:uid="{28A87D49-FC7F-409A-8E79-74A9FE841C8C}"/>
    <cellStyle name="Note 2 11" xfId="3369" xr:uid="{B33D2EA3-F76A-4F9D-BA9D-1168E78A9142}"/>
    <cellStyle name="Note 2 2" xfId="1542" xr:uid="{74101AC9-D6BB-4657-8E35-78EF3D6EBA41}"/>
    <cellStyle name="Note 2 2 2" xfId="1543" xr:uid="{610E0649-5209-48AB-9CCE-AC054EA499EA}"/>
    <cellStyle name="Note 2 2 3" xfId="2247" xr:uid="{0430E893-0B5A-4D96-8C92-CD285EA7EF6E}"/>
    <cellStyle name="Note 2 2 3 2" xfId="3083" xr:uid="{5B7C99FA-E620-4C4D-B3AE-186C2C4E0182}"/>
    <cellStyle name="Note 2 2 3 2 2" xfId="5457" xr:uid="{80A982F6-47BD-4B99-B7F6-975825BB9173}"/>
    <cellStyle name="Note 2 2 3 3" xfId="3160" xr:uid="{FC163AA7-7B1C-4FD4-9AE7-891C68D4DDF5}"/>
    <cellStyle name="Note 2 2 3 3 2" xfId="5534" xr:uid="{EC11D850-475C-4EF6-933A-B1739B981895}"/>
    <cellStyle name="Note 2 2 3 4" xfId="4714" xr:uid="{4C3D5B67-FF7E-4742-BFB4-E132B9AFF480}"/>
    <cellStyle name="Note 2 2 4" xfId="2203" xr:uid="{F90C3ADD-3E30-4BD0-A7FA-D2D581D69F1D}"/>
    <cellStyle name="Note 2 2 4 2" xfId="4693" xr:uid="{63DA5137-022A-4D04-B689-6D35D2778D84}"/>
    <cellStyle name="Note 2 2 5" xfId="3210" xr:uid="{9DB6F5A5-0373-43C7-9A9B-86074C170CC7}"/>
    <cellStyle name="Note 2 2 5 2" xfId="5584" xr:uid="{E4812A82-FCC7-493D-B6DF-53CC072396EE}"/>
    <cellStyle name="Note 2 2 6" xfId="3306" xr:uid="{F95AA93A-4B3E-4624-B879-3A93FB5584F4}"/>
    <cellStyle name="Note 2 2 6 2" xfId="5680" xr:uid="{6928B00D-57D7-42D5-9ADA-822B3EDB06EA}"/>
    <cellStyle name="Note 2 2 7" xfId="4129" xr:uid="{EE9A03A0-2B98-4609-B37C-91D293D873E2}"/>
    <cellStyle name="Note 2 3" xfId="1544" xr:uid="{0645C1D6-5AD2-46FF-BF23-2DA6F7FAB7E9}"/>
    <cellStyle name="Note 2 3 2" xfId="3289" xr:uid="{5E301530-BA99-425E-9CB3-F17ABE9B97EE}"/>
    <cellStyle name="Note 2 3 2 2" xfId="5663" xr:uid="{1596C3B2-3222-4D16-89DD-BE028F9882F6}"/>
    <cellStyle name="Note 2 3 3" xfId="3305" xr:uid="{34AB6321-F0EC-4FCD-BF44-2AA822B372C2}"/>
    <cellStyle name="Note 2 3 3 2" xfId="5679" xr:uid="{13EE637E-805C-4338-9EE1-F2274CED4EF6}"/>
    <cellStyle name="Note 2 3 4" xfId="4130" xr:uid="{04913B86-D469-42EB-86EE-081ACEA403A6}"/>
    <cellStyle name="Note 2 4" xfId="1545" xr:uid="{1EAA1B1F-EC7E-4069-A206-D4A0A88FEA78}"/>
    <cellStyle name="Note 2 5" xfId="1546" xr:uid="{EABA095D-DB2E-4DFC-91E5-1FC903C36FE5}"/>
    <cellStyle name="Note 2 6" xfId="1547" xr:uid="{90A2C7B6-CD83-45B3-9A65-C73B7D6BD6E8}"/>
    <cellStyle name="Note 2 6 2" xfId="1973" xr:uid="{2003B62F-18C8-4764-A6E5-B6AF8231496A}"/>
    <cellStyle name="Note 2 6 2 2" xfId="2811" xr:uid="{70B0806F-E723-401F-8B4B-65A8E6CC5463}"/>
    <cellStyle name="Note 2 6 2 2 2" xfId="5246" xr:uid="{7CD24403-34FD-492E-9D3E-7F6D8685EEF4}"/>
    <cellStyle name="Note 2 6 2 3" xfId="4490" xr:uid="{AAB13C91-5A28-4815-B677-7076A705DEC3}"/>
    <cellStyle name="Note 2 6 3" xfId="2564" xr:uid="{032EE847-CA45-42B4-9F0B-1622EC1C1455}"/>
    <cellStyle name="Note 2 6 3 2" xfId="4999" xr:uid="{3D36B7A3-03D1-463F-AC64-EA1CD3A9590A}"/>
    <cellStyle name="Note 2 6 4" xfId="4131" xr:uid="{2BBDD420-393A-44B0-9C7A-75B626AC9E44}"/>
    <cellStyle name="Note 2 7" xfId="1803" xr:uid="{100940DF-780D-474C-967A-FCD47220126F}"/>
    <cellStyle name="Note 2 7 2" xfId="2641" xr:uid="{24ECF1FB-E188-4C3B-B897-2B8801A7A91C}"/>
    <cellStyle name="Note 2 7 2 2" xfId="5076" xr:uid="{4B2BE97C-8CC9-43ED-BC9E-07D76FE3EC6F}"/>
    <cellStyle name="Note 2 7 3" xfId="4320" xr:uid="{E4989896-F636-4CF2-8C66-A87AD117999D}"/>
    <cellStyle name="Note 2 8" xfId="2213" xr:uid="{00CD06D3-37B7-41F8-BC9A-5C51953D146F}"/>
    <cellStyle name="Note 2 8 2" xfId="4703" xr:uid="{9DAC332C-563B-4338-878F-3A8B4DF098A8}"/>
    <cellStyle name="Note 2 9" xfId="2563" xr:uid="{699D5530-6D92-432A-942C-76A25756B943}"/>
    <cellStyle name="Note 2 9 2" xfId="4998" xr:uid="{B3FA4D67-C686-4AA9-A9C2-29D386C6CA81}"/>
    <cellStyle name="Note 3" xfId="232" xr:uid="{00000000-0005-0000-0000-00000F030000}"/>
    <cellStyle name="Note 3 2" xfId="2968" xr:uid="{4A229F60-125B-4B8B-A7CE-A088A18AAFA5}"/>
    <cellStyle name="Note 3 2 2" xfId="5403" xr:uid="{F12FD567-A71F-4AE8-A6A9-17AE71B6EA8F}"/>
    <cellStyle name="Note 3 3" xfId="2130" xr:uid="{1A1B6121-D8F8-47C7-A8E2-14D921387F04}"/>
    <cellStyle name="Note 3 3 2" xfId="4647" xr:uid="{0D8B4CF8-6895-44BE-959A-F2EA42CA7A35}"/>
    <cellStyle name="Note 3 4" xfId="3375" xr:uid="{31628E5C-CB82-4707-96B5-B9843368ED39}"/>
    <cellStyle name="Note 4" xfId="278" xr:uid="{00000000-0005-0000-0000-000010030000}"/>
    <cellStyle name="Note 4 2" xfId="2159" xr:uid="{DE8DFE35-9B4C-461A-9270-8ECAFEE000C9}"/>
    <cellStyle name="Note 4 2 2" xfId="4660" xr:uid="{69A4029C-5F16-477A-9912-26FA212D48B3}"/>
    <cellStyle name="Note 4 3" xfId="3382" xr:uid="{95846E07-7F97-4E10-A014-EF5834578C30}"/>
    <cellStyle name="Note 5" xfId="327" xr:uid="{00000000-0005-0000-0000-000011030000}"/>
    <cellStyle name="Note 5 2" xfId="2173" xr:uid="{2274DBE0-5402-4F9D-A085-23875B90B9BB}"/>
    <cellStyle name="Note 5 2 2" xfId="4674" xr:uid="{D6D703A9-0112-4A92-A259-17077F883674}"/>
    <cellStyle name="Note 5 3" xfId="3391" xr:uid="{239F1857-685F-46E5-BEDA-285BB0EFCE41}"/>
    <cellStyle name="Note 6" xfId="391" xr:uid="{00000000-0005-0000-0000-000012030000}"/>
    <cellStyle name="Note 6 2" xfId="3041" xr:uid="{3F6746C8-F563-4E56-9BBA-CB064F8F92AE}"/>
    <cellStyle name="Note 6 2 2" xfId="5416" xr:uid="{D4B5EA21-2747-43B6-97F5-7203D3581C19}"/>
    <cellStyle name="Note 6 3" xfId="3414" xr:uid="{1536D08F-8F1B-48E7-9880-B20AE838BDB2}"/>
    <cellStyle name="Note 7" xfId="462" xr:uid="{00000000-0005-0000-0000-000013030000}"/>
    <cellStyle name="Note 7 2" xfId="2283" xr:uid="{111DE793-311B-421A-AD6B-DAAD01151306}"/>
    <cellStyle name="Note 7 2 2" xfId="4718" xr:uid="{8EB83275-1F12-4407-83F5-9A48F133C009}"/>
    <cellStyle name="Note 7 3" xfId="3445" xr:uid="{A70D53B6-81EC-46B1-9606-A04D9A549B31}"/>
    <cellStyle name="Note 8" xfId="566" xr:uid="{00000000-0005-0000-0000-000014030000}"/>
    <cellStyle name="Note 8 2" xfId="3503" xr:uid="{1D63B326-ED04-4CAA-945E-F855D7E9DE13}"/>
    <cellStyle name="Note 9" xfId="3316" xr:uid="{A57DF1FF-9DF2-440F-80B0-D90D0746E7BA}"/>
    <cellStyle name="Output" xfId="69" builtinId="21" customBuiltin="1"/>
    <cellStyle name="Output 10" xfId="3317" xr:uid="{CBB1D51C-4A51-4533-8B54-4A9CB8BD2961}"/>
    <cellStyle name="Output 2" xfId="187" xr:uid="{00000000-0005-0000-0000-000016030000}"/>
    <cellStyle name="Output 2 2" xfId="1549" xr:uid="{12332D61-2B52-4831-BDEB-9EB7A1EC4913}"/>
    <cellStyle name="Output 2 2 2" xfId="3082" xr:uid="{DCDC1C11-96FD-4E91-BF2E-D2719E759957}"/>
    <cellStyle name="Output 2 2 2 2" xfId="5456" xr:uid="{D4C744B8-4F27-4527-A920-636BC4162EF9}"/>
    <cellStyle name="Output 2 2 3" xfId="3134" xr:uid="{5B15CAFE-0139-4819-9FB4-2EB9BE49E2F3}"/>
    <cellStyle name="Output 2 2 3 2" xfId="5508" xr:uid="{AE2D56D2-ABCD-48ED-A9A2-35203977C317}"/>
    <cellStyle name="Output 2 2 4" xfId="4133" xr:uid="{DE94FC5B-F13D-44D4-8896-FF53222D5A50}"/>
    <cellStyle name="Output 2 3" xfId="3140" xr:uid="{4C75D20A-9A0C-4A20-85E5-76A759550F36}"/>
    <cellStyle name="Output 2 3 2" xfId="5514" xr:uid="{00AF7FC9-8CF7-4F06-B373-CD30B61A0713}"/>
    <cellStyle name="Output 2 4" xfId="3304" xr:uid="{46995F99-A8C1-4C47-8966-B59D09B1C165}"/>
    <cellStyle name="Output 2 4 2" xfId="5678" xr:uid="{9A5F289F-551B-4BDC-BA59-296E69B92F20}"/>
    <cellStyle name="Output 2 5" xfId="1548" xr:uid="{32837C36-1F56-484A-85CA-6C75B2E2C5DD}"/>
    <cellStyle name="Output 2 5 2" xfId="4132" xr:uid="{16A3633F-F7B1-47B2-AE62-140AA808AB4E}"/>
    <cellStyle name="Output 2 6" xfId="3370" xr:uid="{BAE2167A-AC6B-4DCE-9D82-0F4FC361A60A}"/>
    <cellStyle name="Output 3" xfId="233" xr:uid="{00000000-0005-0000-0000-000017030000}"/>
    <cellStyle name="Output 3 2" xfId="3376" xr:uid="{59AA6366-B6A4-4AE3-A2C4-EB8B910AAB39}"/>
    <cellStyle name="Output 4" xfId="279" xr:uid="{00000000-0005-0000-0000-000018030000}"/>
    <cellStyle name="Output 4 2" xfId="3383" xr:uid="{054C86AC-3002-4984-B767-C6634A32A54F}"/>
    <cellStyle name="Output 5" xfId="328" xr:uid="{00000000-0005-0000-0000-000019030000}"/>
    <cellStyle name="Output 5 2" xfId="3392" xr:uid="{18B54599-EA6F-4DD0-9DE9-C6DF2888D5FB}"/>
    <cellStyle name="Output 6" xfId="392" xr:uid="{00000000-0005-0000-0000-00001A030000}"/>
    <cellStyle name="Output 6 2" xfId="3415" xr:uid="{DB5398E8-DC74-4FAA-B14E-551D74CC7465}"/>
    <cellStyle name="Output 7" xfId="463" xr:uid="{00000000-0005-0000-0000-00001B030000}"/>
    <cellStyle name="Output 7 2" xfId="3446" xr:uid="{7432EEE5-A8D1-4FFB-970F-3DB4B67CB586}"/>
    <cellStyle name="Output 8" xfId="567" xr:uid="{00000000-0005-0000-0000-00001C030000}"/>
    <cellStyle name="Output 8 2" xfId="3504" xr:uid="{19D0B7CE-8134-4C7F-ACFD-CB6AE30E9BC6}"/>
    <cellStyle name="Output 9" xfId="987" xr:uid="{11AA6DC3-C581-4351-9A44-4F69B969AE09}"/>
    <cellStyle name="Percent" xfId="145" builtinId="5"/>
    <cellStyle name="Percent 10" xfId="1550" xr:uid="{D4DAB724-0A52-4A8E-AE02-61CB1B942485}"/>
    <cellStyle name="Percent 11" xfId="1551" xr:uid="{96C15CF8-9C43-4056-94B3-8007305697BC}"/>
    <cellStyle name="Percent 12" xfId="1552" xr:uid="{1C3DFD2B-827F-43B9-8799-31539230043D}"/>
    <cellStyle name="Percent 12 2" xfId="1553" xr:uid="{496127BC-A9D3-4B0E-AEBB-CEE4CAA1E761}"/>
    <cellStyle name="Percent 12 2 2" xfId="1554" xr:uid="{73CBFB8B-5066-4512-973B-651C955D8747}"/>
    <cellStyle name="Percent 12 3" xfId="1555" xr:uid="{B8DAE92C-771A-4418-BA20-0CE3A19594EF}"/>
    <cellStyle name="Percent 13" xfId="1556" xr:uid="{093453F1-3FDC-438B-8AA2-BD42B6A050FC}"/>
    <cellStyle name="Percent 13 2" xfId="1557" xr:uid="{BCE45CC4-3FF4-4087-90A4-D325958D9BBE}"/>
    <cellStyle name="Percent 14" xfId="1558" xr:uid="{088413F3-70D5-4434-9375-DCB005C2F4EF}"/>
    <cellStyle name="Percent 14 2" xfId="1559" xr:uid="{D4C252CE-DDE7-4F90-94BE-16757D141604}"/>
    <cellStyle name="Percent 15" xfId="1560" xr:uid="{F1DE624D-A2A7-4BB8-AF86-3F9E6ABB79D4}"/>
    <cellStyle name="Percent 15 2" xfId="1561" xr:uid="{98EBE407-CDCA-44BF-BBBB-9D9E5E5FD5A0}"/>
    <cellStyle name="Percent 16" xfId="1562" xr:uid="{6A4B7953-9EAE-4C67-8D25-388C24756C53}"/>
    <cellStyle name="Percent 16 2" xfId="1563" xr:uid="{76D0A8B6-D0C6-4C89-84D9-8C5A29DCACB8}"/>
    <cellStyle name="Percent 17" xfId="1564" xr:uid="{264B25C4-BDB1-4AEA-BE63-820037100440}"/>
    <cellStyle name="Percent 18" xfId="1565" xr:uid="{B3E59EF5-A9CF-434F-BB45-B44AAB034452}"/>
    <cellStyle name="Percent 2" xfId="70" xr:uid="{00000000-0005-0000-0000-00001E030000}"/>
    <cellStyle name="Percent 2 2" xfId="71" xr:uid="{00000000-0005-0000-0000-00001F030000}"/>
    <cellStyle name="Percent 2 2 2" xfId="1566" xr:uid="{3BB80B32-5647-4806-A86B-AC6DD6AACD7E}"/>
    <cellStyle name="Percent 2 2 3" xfId="1567" xr:uid="{3140239D-B432-4886-9633-66EEC9D1FA66}"/>
    <cellStyle name="Percent 2 2 4" xfId="1568" xr:uid="{341C110B-7E75-40E8-B154-D43BF167E460}"/>
    <cellStyle name="Percent 2 3" xfId="1569" xr:uid="{42F3B543-A991-431F-827E-CE56533D98F1}"/>
    <cellStyle name="Percent 2 3 2" xfId="1570" xr:uid="{1762FFA0-0BC1-4D99-A42C-1236A45D2EFD}"/>
    <cellStyle name="Percent 2 3 2 2" xfId="1571" xr:uid="{C79EB223-5805-426C-BB35-7706E5F7597B}"/>
    <cellStyle name="Percent 2 3 3" xfId="1572" xr:uid="{14113FDF-0D0A-4991-87B9-61C0A751C36B}"/>
    <cellStyle name="Percent 2 3 3 2" xfId="1573" xr:uid="{296DB058-A12A-4D86-BCD4-6A01A94CF388}"/>
    <cellStyle name="Percent 2 4" xfId="1574" xr:uid="{FCB857C3-51DD-4BEB-9E4A-1A73B4A2C531}"/>
    <cellStyle name="Percent 2 5" xfId="1575" xr:uid="{BCF03A6B-E5C7-44CA-AD3D-01456C3F2080}"/>
    <cellStyle name="Percent 2 6" xfId="1576" xr:uid="{3EFA2C8F-4E21-4BC9-B66E-B994FF7AB4FD}"/>
    <cellStyle name="Percent 2 7" xfId="1577" xr:uid="{6CFF4594-FD1E-46BC-BC49-74118D216CDB}"/>
    <cellStyle name="Percent 3" xfId="191" xr:uid="{00000000-0005-0000-0000-000020030000}"/>
    <cellStyle name="Percent 3 10" xfId="2565" xr:uid="{C78B9181-CB62-4D64-B701-D49EE1F9C918}"/>
    <cellStyle name="Percent 3 10 2" xfId="5000" xr:uid="{3CDC7995-77B5-49DC-B5AB-04AE36380683}"/>
    <cellStyle name="Percent 3 11" xfId="1578" xr:uid="{B88823E0-EA18-4E24-9830-B3B396632CA9}"/>
    <cellStyle name="Percent 3 11 2" xfId="4134" xr:uid="{54537BF8-1E4F-473C-A877-EB3085990C35}"/>
    <cellStyle name="Percent 3 2" xfId="1579" xr:uid="{999F96B5-2D6E-41B4-9734-419FAB92BD08}"/>
    <cellStyle name="Percent 3 3" xfId="1580" xr:uid="{2402D017-3F67-4BEB-B220-B9D90D240FBF}"/>
    <cellStyle name="Percent 3 4" xfId="1581" xr:uid="{E67718D6-67A6-4F3A-9DB3-4927D2C9BCAE}"/>
    <cellStyle name="Percent 3 5" xfId="1582" xr:uid="{4899E5ED-BC0C-408D-8CF5-7EB4169D4511}"/>
    <cellStyle name="Percent 3 6" xfId="1583" xr:uid="{0A25B061-394A-4B6F-8AED-4E869DB1CB9E}"/>
    <cellStyle name="Percent 3 7" xfId="1584" xr:uid="{0A63A3A5-9DBA-46BB-B317-E2274C733E7A}"/>
    <cellStyle name="Percent 3 7 2" xfId="1976" xr:uid="{92B89357-DFC8-4944-A889-0C99E39A4CCE}"/>
    <cellStyle name="Percent 3 7 2 2" xfId="2814" xr:uid="{EB7CC9A9-80E7-407E-A512-D5B423597609}"/>
    <cellStyle name="Percent 3 7 2 2 2" xfId="5249" xr:uid="{BA5286C2-C26E-45D0-9B67-8EDA42308595}"/>
    <cellStyle name="Percent 3 7 2 3" xfId="4493" xr:uid="{F9453441-6C11-4430-B033-5B0C4814E830}"/>
    <cellStyle name="Percent 3 7 3" xfId="2566" xr:uid="{31451742-7DC6-435C-B8B5-0303B32A3B89}"/>
    <cellStyle name="Percent 3 7 3 2" xfId="5001" xr:uid="{4059C6FB-9602-4D2C-A5F0-527EC38031B0}"/>
    <cellStyle name="Percent 3 7 4" xfId="4135" xr:uid="{5406BE76-76F4-4525-B47C-1F2AF98C990C}"/>
    <cellStyle name="Percent 3 8" xfId="1806" xr:uid="{20162927-A4C9-4D3E-BAC6-B316ADBBD940}"/>
    <cellStyle name="Percent 3 8 2" xfId="2644" xr:uid="{893CFA10-C85B-43C7-B2EA-6520240172C9}"/>
    <cellStyle name="Percent 3 8 2 2" xfId="5079" xr:uid="{E46F3D6C-6071-4543-BFDD-596224B7EF33}"/>
    <cellStyle name="Percent 3 8 3" xfId="4323" xr:uid="{F7E19EFC-333A-497F-A843-11FD33B6E3CB}"/>
    <cellStyle name="Percent 3 9" xfId="2215" xr:uid="{DEB76B9B-C753-4465-B22D-0DFE2C6F6013}"/>
    <cellStyle name="Percent 3 9 2" xfId="4705" xr:uid="{9E070AE3-5D4C-45F8-89D9-A29E4DF486ED}"/>
    <cellStyle name="Percent 4" xfId="237" xr:uid="{00000000-0005-0000-0000-000021030000}"/>
    <cellStyle name="Percent 4 2" xfId="1586" xr:uid="{E845FFA4-9F7A-4B13-A76E-E1DA8DDB8BF0}"/>
    <cellStyle name="Percent 4 3" xfId="1587" xr:uid="{65A582C6-7ABD-4D83-A7D2-DB14811CF821}"/>
    <cellStyle name="Percent 4 3 2" xfId="1588" xr:uid="{88B2A3E9-270C-4E66-A923-27A996B2E20C}"/>
    <cellStyle name="Percent 4 4" xfId="1589" xr:uid="{2A3ED891-65B2-4ABD-AA44-53F2E393EEE0}"/>
    <cellStyle name="Percent 4 5" xfId="1585" xr:uid="{A7C45049-355A-4F2B-94DF-3A477E616705}"/>
    <cellStyle name="Percent 5" xfId="283" xr:uid="{00000000-0005-0000-0000-000022030000}"/>
    <cellStyle name="Percent 5 2" xfId="1591" xr:uid="{1047F16F-B11C-42DF-B940-B3DD631E10F7}"/>
    <cellStyle name="Percent 5 3" xfId="1590" xr:uid="{86EDFBF1-C033-44B2-B06D-D72CF190409F}"/>
    <cellStyle name="Percent 6" xfId="332" xr:uid="{00000000-0005-0000-0000-000023030000}"/>
    <cellStyle name="Percent 6 2" xfId="1592" xr:uid="{4BE2B2F8-FDD8-43D9-8E57-A5FB435B64DC}"/>
    <cellStyle name="Percent 7" xfId="396" xr:uid="{00000000-0005-0000-0000-000024030000}"/>
    <cellStyle name="Percent 7 2" xfId="1593" xr:uid="{B81E2ED5-C055-4176-BA1D-50A910B3D2A3}"/>
    <cellStyle name="Percent 8" xfId="467" xr:uid="{00000000-0005-0000-0000-000025030000}"/>
    <cellStyle name="Percent 8 2" xfId="1594" xr:uid="{B4D578DB-71B3-4788-988D-28411C0B2491}"/>
    <cellStyle name="Percent 9" xfId="571" xr:uid="{00000000-0005-0000-0000-000026030000}"/>
    <cellStyle name="Percent 9 2" xfId="1595" xr:uid="{B103B797-D880-487F-B144-E6FF9F61D911}"/>
    <cellStyle name="Percent 9 2 2" xfId="1596" xr:uid="{1723523E-9338-4974-B02A-FD6AC26F7DEF}"/>
    <cellStyle name="Percent 9 3" xfId="1597" xr:uid="{18F2D73E-10B7-4342-AB35-9BA5E880F549}"/>
    <cellStyle name="SAPBEXaggData" xfId="72" xr:uid="{00000000-0005-0000-0000-000027030000}"/>
    <cellStyle name="SAPBEXaggData 2" xfId="1599" xr:uid="{8246A67F-2A2E-4183-A796-E0211397F995}"/>
    <cellStyle name="SAPBEXaggData 2 2" xfId="1600" xr:uid="{D598F2F7-2BC3-4315-B0EA-FB2B2CB63970}"/>
    <cellStyle name="SAPBEXaggData 2 2 2" xfId="1601" xr:uid="{A928C33D-E4B1-4272-A26E-29EAD33D305B}"/>
    <cellStyle name="SAPBEXaggData 2 2 2 2" xfId="3110" xr:uid="{F00A338C-4D75-4652-B483-FB53E17E402C}"/>
    <cellStyle name="SAPBEXaggData 2 2 2 2 2" xfId="5484" xr:uid="{DBE70EDC-47E1-4687-9061-BBE5C4816D37}"/>
    <cellStyle name="SAPBEXaggData 2 2 2 3" xfId="3191" xr:uid="{52A4C16A-2013-4D9A-A647-047877D1DE65}"/>
    <cellStyle name="SAPBEXaggData 2 2 2 3 2" xfId="5565" xr:uid="{BFBB723A-B761-4FFE-928A-2E3C443D2683}"/>
    <cellStyle name="SAPBEXaggData 2 2 2 4" xfId="4139" xr:uid="{4F266409-3C0E-454B-B0D6-B8F29F36B483}"/>
    <cellStyle name="SAPBEXaggData 2 2 3" xfId="3070" xr:uid="{13B672F4-90F9-412C-BD17-1BA21522297F}"/>
    <cellStyle name="SAPBEXaggData 2 2 3 2" xfId="5444" xr:uid="{65192020-07B6-4D1D-A72D-525C54A91E20}"/>
    <cellStyle name="SAPBEXaggData 2 2 4" xfId="3103" xr:uid="{DF52D1D5-9E00-4C7E-8FEF-C0C6E9D7BEF9}"/>
    <cellStyle name="SAPBEXaggData 2 2 4 2" xfId="5477" xr:uid="{F483D353-B1BB-4EF3-BB8A-ECF612A0E987}"/>
    <cellStyle name="SAPBEXaggData 2 2 5" xfId="4138" xr:uid="{EB642C2F-5076-477A-97E5-47B9DFDEE99E}"/>
    <cellStyle name="SAPBEXaggData 2 3" xfId="1602" xr:uid="{500FFBCD-24C1-458B-9F59-B59DAF1DAE96}"/>
    <cellStyle name="SAPBEXaggData 2 3 2" xfId="3273" xr:uid="{F4229EF9-3DD2-4F90-8C8C-90C0CDEBFD49}"/>
    <cellStyle name="SAPBEXaggData 2 3 2 2" xfId="5647" xr:uid="{7009EA8F-71D5-4055-85C3-6C2F63768DF9}"/>
    <cellStyle name="SAPBEXaggData 2 3 3" xfId="3293" xr:uid="{6BB1E32A-778B-4B86-8D88-B9C2B0D402CA}"/>
    <cellStyle name="SAPBEXaggData 2 3 3 2" xfId="5667" xr:uid="{F2B05211-4A1B-4136-BDEC-DCD9D6CF7C4E}"/>
    <cellStyle name="SAPBEXaggData 2 3 4" xfId="4140" xr:uid="{D9DA38A4-E8CC-43CD-A684-79178C3A5A46}"/>
    <cellStyle name="SAPBEXaggData 2 4" xfId="3287" xr:uid="{6CFF288F-39BB-434A-8C98-2805E73512EE}"/>
    <cellStyle name="SAPBEXaggData 2 4 2" xfId="5661" xr:uid="{DEAAA1D5-1179-4A19-8CCB-201A61EE22AB}"/>
    <cellStyle name="SAPBEXaggData 2 5" xfId="3206" xr:uid="{644FED61-BA6B-4A5E-AA33-6205814F5D8F}"/>
    <cellStyle name="SAPBEXaggData 2 5 2" xfId="5580" xr:uid="{9DBDE194-0D4B-4B47-A15A-093BFABE871B}"/>
    <cellStyle name="SAPBEXaggData 2 6" xfId="4137" xr:uid="{023123F2-D554-413C-984E-644933CF42A0}"/>
    <cellStyle name="SAPBEXaggData 3" xfId="3245" xr:uid="{728242AD-8B5D-4E50-BBB5-B065C83FF2EE}"/>
    <cellStyle name="SAPBEXaggData 3 2" xfId="5619" xr:uid="{84766C5C-B799-45B9-8F0A-9F842BA30F89}"/>
    <cellStyle name="SAPBEXaggData 4" xfId="3201" xr:uid="{A77C71DD-4570-4BAC-9C05-724CB39E2C5E}"/>
    <cellStyle name="SAPBEXaggData 4 2" xfId="5575" xr:uid="{1A6B2210-328F-4D79-A842-641DFC43E3FA}"/>
    <cellStyle name="SAPBEXaggData 5" xfId="1598" xr:uid="{E1FF5564-FEF7-4C2A-9B27-BBAE215AFEFF}"/>
    <cellStyle name="SAPBEXaggData 5 2" xfId="4136" xr:uid="{F7A6A2A7-C3E2-4725-AE5C-6736EB5069F5}"/>
    <cellStyle name="SAPBEXaggData 6" xfId="3318" xr:uid="{A1A3278E-9E35-4E74-9D0D-25C38B42A77C}"/>
    <cellStyle name="SAPBEXaggDataEmph" xfId="73" xr:uid="{00000000-0005-0000-0000-000028030000}"/>
    <cellStyle name="SAPBEXaggDataEmph 2" xfId="1604" xr:uid="{C041ED9C-9F28-4468-B5C1-72D22BA10D02}"/>
    <cellStyle name="SAPBEXaggDataEmph 2 2" xfId="3190" xr:uid="{C46E27BB-C29E-48C2-868A-A6DAA4F6D3C0}"/>
    <cellStyle name="SAPBEXaggDataEmph 2 2 2" xfId="5564" xr:uid="{844CB2D9-1EE6-4817-BB36-D769C731DFF0}"/>
    <cellStyle name="SAPBEXaggDataEmph 2 3" xfId="3192" xr:uid="{28E75EBD-981B-4129-AF7C-B29C2D926D14}"/>
    <cellStyle name="SAPBEXaggDataEmph 2 3 2" xfId="5566" xr:uid="{F97D6117-ABE4-4BAF-B5F7-AB2499AB0109}"/>
    <cellStyle name="SAPBEXaggDataEmph 2 4" xfId="4142" xr:uid="{0DC72068-C25E-4E3C-9251-6C15159176D7}"/>
    <cellStyle name="SAPBEXaggDataEmph 3" xfId="3099" xr:uid="{C7C2DC3E-DA4E-49E4-B079-0049D0BC31C3}"/>
    <cellStyle name="SAPBEXaggDataEmph 3 2" xfId="5473" xr:uid="{A73ECF67-2D64-4138-B95C-A4086A07E8DB}"/>
    <cellStyle name="SAPBEXaggDataEmph 4" xfId="3049" xr:uid="{7BA57EA1-81D4-4E58-8420-89E45FC00D4D}"/>
    <cellStyle name="SAPBEXaggDataEmph 4 2" xfId="5423" xr:uid="{011434C3-E39E-441B-BB67-47F30F550629}"/>
    <cellStyle name="SAPBEXaggDataEmph 5" xfId="1603" xr:uid="{881C820C-6178-48F3-8E60-54F1F6C97600}"/>
    <cellStyle name="SAPBEXaggDataEmph 5 2" xfId="4141" xr:uid="{0F7DEEB8-A957-4B2A-B49F-EE0767B7FD5E}"/>
    <cellStyle name="SAPBEXaggDataEmph 6" xfId="3319" xr:uid="{46A96FB7-8A79-4D24-8975-823AC9262E59}"/>
    <cellStyle name="SAPBEXaggItem" xfId="74" xr:uid="{00000000-0005-0000-0000-000029030000}"/>
    <cellStyle name="SAPBEXaggItem 2" xfId="1606" xr:uid="{7BFCD200-A5E0-4675-ACF8-F6B9DA2DE596}"/>
    <cellStyle name="SAPBEXaggItem 2 2" xfId="1607" xr:uid="{E655ACAC-0E18-4853-A15C-1BC8852DACB6}"/>
    <cellStyle name="SAPBEXaggItem 2 2 2" xfId="3195" xr:uid="{42BED1E7-B47C-4E0F-A1FB-F12223F5957D}"/>
    <cellStyle name="SAPBEXaggItem 2 2 2 2" xfId="5569" xr:uid="{DBE799E3-ADBC-4E79-BA70-C050A26E8879}"/>
    <cellStyle name="SAPBEXaggItem 2 2 3" xfId="3275" xr:uid="{52BC7399-2DCD-43D4-96B1-2DD8659D8774}"/>
    <cellStyle name="SAPBEXaggItem 2 2 3 2" xfId="5649" xr:uid="{E420124E-4610-4233-8B29-59EDF2680EB2}"/>
    <cellStyle name="SAPBEXaggItem 2 2 4" xfId="4145" xr:uid="{5C29070E-F1E8-490C-8847-3F8DF5547EEF}"/>
    <cellStyle name="SAPBEXaggItem 2 3" xfId="1608" xr:uid="{0D70B0D1-0AB2-4DCD-BBBD-EEF863038142}"/>
    <cellStyle name="SAPBEXaggItem 2 3 2" xfId="3119" xr:uid="{96313354-8F6E-4030-A465-08A04381CA26}"/>
    <cellStyle name="SAPBEXaggItem 2 3 2 2" xfId="5493" xr:uid="{FA8070C6-6E1B-4F25-AE36-17DEAA1350BB}"/>
    <cellStyle name="SAPBEXaggItem 2 3 3" xfId="3218" xr:uid="{52A69C1D-CF43-4B46-AE33-262E1E8B76AB}"/>
    <cellStyle name="SAPBEXaggItem 2 3 3 2" xfId="5592" xr:uid="{29D4EF10-01B4-43F7-81D5-5B10C58610FC}"/>
    <cellStyle name="SAPBEXaggItem 2 3 4" xfId="4146" xr:uid="{1C368E5E-B80E-42CE-A288-3FDA046728A1}"/>
    <cellStyle name="SAPBEXaggItem 2 4" xfId="3286" xr:uid="{90EB2062-5725-4275-9176-EA15E68E4BD0}"/>
    <cellStyle name="SAPBEXaggItem 2 4 2" xfId="5660" xr:uid="{FA9EE14D-2338-4AE3-AA21-DB940E6ED584}"/>
    <cellStyle name="SAPBEXaggItem 2 5" xfId="3288" xr:uid="{6146BE98-F930-40D7-83DD-818D855143CE}"/>
    <cellStyle name="SAPBEXaggItem 2 5 2" xfId="5662" xr:uid="{8B3F4782-086B-479B-BAEA-3420964B4F35}"/>
    <cellStyle name="SAPBEXaggItem 2 6" xfId="4144" xr:uid="{9D1AC21F-57AB-485F-B393-25A843DF3014}"/>
    <cellStyle name="SAPBEXaggItem 3" xfId="3128" xr:uid="{832246E8-D2F0-4761-9E6F-60BDD76BE216}"/>
    <cellStyle name="SAPBEXaggItem 3 2" xfId="5502" xr:uid="{B57EF528-8F46-41E2-A79D-6C9E289E450D}"/>
    <cellStyle name="SAPBEXaggItem 4" xfId="3126" xr:uid="{F26EE3E6-78C9-4121-AE8A-C4A698B326F1}"/>
    <cellStyle name="SAPBEXaggItem 4 2" xfId="5500" xr:uid="{973FFD63-A2BF-457D-B5FA-7A55097211B9}"/>
    <cellStyle name="SAPBEXaggItem 5" xfId="1605" xr:uid="{56610863-AF68-4AE6-BF11-A4BD265899BB}"/>
    <cellStyle name="SAPBEXaggItem 5 2" xfId="4143" xr:uid="{CA9C29E7-39D9-452F-9A08-5888D95BF865}"/>
    <cellStyle name="SAPBEXaggItem 6" xfId="3320" xr:uid="{6545D050-61C3-41DF-BAD4-880E28702F82}"/>
    <cellStyle name="SAPBEXaggItemX" xfId="75" xr:uid="{00000000-0005-0000-0000-00002A030000}"/>
    <cellStyle name="SAPBEXaggItemX 2" xfId="925" xr:uid="{94140530-6253-443E-BEEF-2F6537F93C3D}"/>
    <cellStyle name="SAPBEXaggItemX 2 2" xfId="3059" xr:uid="{E1E2A984-7B7E-4BF0-914F-0E0475E4691D}"/>
    <cellStyle name="SAPBEXaggItemX 2 2 2" xfId="5433" xr:uid="{E0C5529B-3CE8-4559-9B41-9C76E399B148}"/>
    <cellStyle name="SAPBEXaggItemX 2 3" xfId="3292" xr:uid="{8C7FE456-BCBD-40C2-9D1E-07210A2B7076}"/>
    <cellStyle name="SAPBEXaggItemX 2 3 2" xfId="5666" xr:uid="{A805003E-4087-4830-B8EA-9CA32375D000}"/>
    <cellStyle name="SAPBEXaggItemX 2 4" xfId="1610" xr:uid="{79F2AB99-60C5-4453-812C-D9484583766E}"/>
    <cellStyle name="SAPBEXaggItemX 2 4 2" xfId="4148" xr:uid="{B0F65E54-90AE-4EBC-B81E-2A8963630F80}"/>
    <cellStyle name="SAPBEXaggItemX 2 5" xfId="3829" xr:uid="{4B00D63F-371D-4C3A-B16B-3B5E2D0DB7EB}"/>
    <cellStyle name="SAPBEXaggItemX 3" xfId="3256" xr:uid="{BEAAB0CF-0165-445B-ACC7-D34A21FE21D0}"/>
    <cellStyle name="SAPBEXaggItemX 3 2" xfId="5630" xr:uid="{45AF94A7-A16A-4178-9C6D-52F05B31EE56}"/>
    <cellStyle name="SAPBEXaggItemX 4" xfId="3055" xr:uid="{A311F2D3-7405-4FC7-B9CA-0078AD4F458D}"/>
    <cellStyle name="SAPBEXaggItemX 4 2" xfId="5429" xr:uid="{3B8F74AF-85B7-4747-993A-11DAA99F0030}"/>
    <cellStyle name="SAPBEXaggItemX 5" xfId="1609" xr:uid="{FF30BE45-0C67-4CD2-9708-14B84A38B8C2}"/>
    <cellStyle name="SAPBEXaggItemX 5 2" xfId="4147" xr:uid="{CF56A25A-D487-49EA-9176-70A567EDAA9A}"/>
    <cellStyle name="SAPBEXaggItemX 6" xfId="3321" xr:uid="{C764CD59-E567-4474-95F6-6FB115264233}"/>
    <cellStyle name="SAPBEXchaText" xfId="76" xr:uid="{00000000-0005-0000-0000-00002B030000}"/>
    <cellStyle name="SAPBEXchaText 2" xfId="1612" xr:uid="{84FB8BC1-2706-46F0-A936-B722561534E7}"/>
    <cellStyle name="SAPBEXchaText 2 2" xfId="1613" xr:uid="{D21F7AEE-D36A-4319-ACC4-58BC7C887E37}"/>
    <cellStyle name="SAPBEXchaText 2 2 2" xfId="3089" xr:uid="{7AE4E3BE-5910-4127-8673-A5C841D7D275}"/>
    <cellStyle name="SAPBEXchaText 2 2 2 2" xfId="5463" xr:uid="{77D4952D-97AD-4E5C-9A91-CCD344A2CFBC}"/>
    <cellStyle name="SAPBEXchaText 2 2 3" xfId="3149" xr:uid="{18AE778D-965A-4980-9673-7706BC315CC5}"/>
    <cellStyle name="SAPBEXchaText 2 2 3 2" xfId="5523" xr:uid="{F9ADA6E4-4AA7-49B2-B814-247486CEF7D9}"/>
    <cellStyle name="SAPBEXchaText 2 2 4" xfId="4151" xr:uid="{8EE5AA18-5DC0-47E7-B707-AD76953C8CF0}"/>
    <cellStyle name="SAPBEXchaText 2 3" xfId="1614" xr:uid="{8FFE5D26-7913-4563-8BE2-5527E54DD550}"/>
    <cellStyle name="SAPBEXchaText 2 3 2" xfId="3177" xr:uid="{33E7CD87-A4DB-466A-9CAC-C5297343D0DD}"/>
    <cellStyle name="SAPBEXchaText 2 3 2 2" xfId="5551" xr:uid="{867AD6F0-1A2B-4DA2-A081-F51D36FF9367}"/>
    <cellStyle name="SAPBEXchaText 2 3 3" xfId="3135" xr:uid="{9A8C1388-A755-45A6-912B-457B4D74FAF8}"/>
    <cellStyle name="SAPBEXchaText 2 3 3 2" xfId="5509" xr:uid="{FD04C7DC-A1F2-4BA0-9128-44A4F88A1457}"/>
    <cellStyle name="SAPBEXchaText 2 3 4" xfId="4152" xr:uid="{09FABA00-C27F-42D7-A19B-14BA5800A1D4}"/>
    <cellStyle name="SAPBEXchaText 2 4" xfId="3183" xr:uid="{2B17602C-0541-4D71-94D4-150C8794DA3D}"/>
    <cellStyle name="SAPBEXchaText 2 4 2" xfId="5557" xr:uid="{6AF9C5DC-8C15-4A69-AB35-07BE80B27894}"/>
    <cellStyle name="SAPBEXchaText 2 5" xfId="3166" xr:uid="{39AEFDB2-3B1C-4232-A2C4-572257BD3634}"/>
    <cellStyle name="SAPBEXchaText 2 5 2" xfId="5540" xr:uid="{4D538514-9A55-49D0-8797-7503CCA045FE}"/>
    <cellStyle name="SAPBEXchaText 2 6" xfId="4150" xr:uid="{B1F53302-C89F-41DB-A6A2-3CE5DFECC3CC}"/>
    <cellStyle name="SAPBEXchaText 3" xfId="3200" xr:uid="{98A03DA7-1924-4C0F-8EB3-A9254319D46B}"/>
    <cellStyle name="SAPBEXchaText 3 2" xfId="5574" xr:uid="{311822A1-E793-4B88-BDF9-827BC9709DC1}"/>
    <cellStyle name="SAPBEXchaText 4" xfId="3153" xr:uid="{06A7AF2E-BCE0-4615-BAF0-79F94D6EC11B}"/>
    <cellStyle name="SAPBEXchaText 4 2" xfId="5527" xr:uid="{7AE3AE90-87E4-40B3-B6E6-00B248463BB5}"/>
    <cellStyle name="SAPBEXchaText 5" xfId="1611" xr:uid="{A97E2B4A-7B68-4429-9D31-5E2783B1DFCD}"/>
    <cellStyle name="SAPBEXchaText 5 2" xfId="4149" xr:uid="{15A715FD-D5C5-444B-8AC9-394851DA9B05}"/>
    <cellStyle name="SAPBEXchaText_BW Data" xfId="1615" xr:uid="{7FFAB1AD-AA1B-4BF8-BB16-DBD9B148D02D}"/>
    <cellStyle name="SAPBEXexcBad7" xfId="77" xr:uid="{00000000-0005-0000-0000-00002C030000}"/>
    <cellStyle name="SAPBEXexcBad7 2" xfId="128" xr:uid="{00000000-0005-0000-0000-00002D030000}"/>
    <cellStyle name="SAPBEXexcBad7 2 2" xfId="1618" xr:uid="{DD63D90E-9B66-4028-97E9-A8746000F7B5}"/>
    <cellStyle name="SAPBEXexcBad7 2 2 2" xfId="3173" xr:uid="{CEFA27C0-CE54-4660-B23E-7EC6EB3A3EEB}"/>
    <cellStyle name="SAPBEXexcBad7 2 2 2 2" xfId="5547" xr:uid="{7411AE61-FC7B-48E9-B0BC-D46F5DC07A61}"/>
    <cellStyle name="SAPBEXexcBad7 2 2 3" xfId="3133" xr:uid="{8AB29BB9-2152-49A9-A6A8-0DD25EF6B026}"/>
    <cellStyle name="SAPBEXexcBad7 2 2 3 2" xfId="5507" xr:uid="{61B90D7C-DF2B-45EC-86D5-120C7FF2775A}"/>
    <cellStyle name="SAPBEXexcBad7 2 2 4" xfId="4155" xr:uid="{9D6E77E2-30C0-40C1-BA1D-345C96F9CF44}"/>
    <cellStyle name="SAPBEXexcBad7 2 3" xfId="1619" xr:uid="{B440BB55-A191-412F-ABD4-6DA0F247668A}"/>
    <cellStyle name="SAPBEXexcBad7 2 3 2" xfId="3176" xr:uid="{E6138790-1B52-4FC8-B7BA-72F0D822A019}"/>
    <cellStyle name="SAPBEXexcBad7 2 3 2 2" xfId="5550" xr:uid="{70BE522E-8A45-4DAC-A3EE-4915A67F9144}"/>
    <cellStyle name="SAPBEXexcBad7 2 3 3" xfId="3291" xr:uid="{A3A266D0-C75B-42AF-823E-465BEB283F26}"/>
    <cellStyle name="SAPBEXexcBad7 2 3 3 2" xfId="5665" xr:uid="{60955CC2-D649-4D2D-AA09-4D2FF2E821E7}"/>
    <cellStyle name="SAPBEXexcBad7 2 3 4" xfId="4156" xr:uid="{987077A3-10D1-42B4-9A63-B0F637CD92FE}"/>
    <cellStyle name="SAPBEXexcBad7 2 4" xfId="3260" xr:uid="{27F249D8-5F00-40F1-87E3-C3300D3D2620}"/>
    <cellStyle name="SAPBEXexcBad7 2 4 2" xfId="5634" xr:uid="{0EB3FBF2-891A-40E5-A74D-0791191C6F48}"/>
    <cellStyle name="SAPBEXexcBad7 2 5" xfId="3272" xr:uid="{C0A00A8B-00F3-4202-B398-6491A2BE9DD7}"/>
    <cellStyle name="SAPBEXexcBad7 2 5 2" xfId="5646" xr:uid="{95BAFCD6-3C36-4E04-B826-56876F7D4221}"/>
    <cellStyle name="SAPBEXexcBad7 2 6" xfId="1617" xr:uid="{11C11065-CC76-433C-B359-D6C2715CC790}"/>
    <cellStyle name="SAPBEXexcBad7 2 6 2" xfId="4154" xr:uid="{33493737-0BDA-4A08-BAC2-855059C49793}"/>
    <cellStyle name="SAPBEXexcBad7 2 7" xfId="3350" xr:uid="{DB8192A9-36DA-4E21-B9D6-0EB98F93B140}"/>
    <cellStyle name="SAPBEXexcBad7 3" xfId="3211" xr:uid="{F3C8E92E-8819-4743-BCE1-0AD817F7E52E}"/>
    <cellStyle name="SAPBEXexcBad7 3 2" xfId="5585" xr:uid="{D83B2F63-A4D9-4A4D-B4BD-92F41DDA1AB5}"/>
    <cellStyle name="SAPBEXexcBad7 4" xfId="3088" xr:uid="{7A13A822-974D-4F2D-84C1-7207B518D1F4}"/>
    <cellStyle name="SAPBEXexcBad7 4 2" xfId="5462" xr:uid="{497401D4-B6F1-4A06-8A07-E8417FDE595A}"/>
    <cellStyle name="SAPBEXexcBad7 5" xfId="1616" xr:uid="{3A61B751-877F-441F-B6DC-F467DDD1AD75}"/>
    <cellStyle name="SAPBEXexcBad7 5 2" xfId="4153" xr:uid="{DEC08A06-B179-4047-89B8-420D1DDA9E84}"/>
    <cellStyle name="SAPBEXexcBad7 6" xfId="3322" xr:uid="{CF411293-02E2-4A9F-9C7C-58FE16E4684F}"/>
    <cellStyle name="SAPBEXexcBad8" xfId="78" xr:uid="{00000000-0005-0000-0000-00002E030000}"/>
    <cellStyle name="SAPBEXexcBad8 2" xfId="129" xr:uid="{00000000-0005-0000-0000-00002F030000}"/>
    <cellStyle name="SAPBEXexcBad8 2 2" xfId="1622" xr:uid="{13380745-8945-4C2C-834F-4F345A49BDA1}"/>
    <cellStyle name="SAPBEXexcBad8 2 2 2" xfId="3175" xr:uid="{643C3F85-DEC1-4961-AE16-30B86F2BFDBA}"/>
    <cellStyle name="SAPBEXexcBad8 2 2 2 2" xfId="5549" xr:uid="{B1ABA2D2-93C2-40AE-AAAB-386D2535201F}"/>
    <cellStyle name="SAPBEXexcBad8 2 2 3" xfId="3178" xr:uid="{2F09CD3F-CCCF-4864-AEA1-8FD637D63063}"/>
    <cellStyle name="SAPBEXexcBad8 2 2 3 2" xfId="5552" xr:uid="{F6FD215B-1C99-4C6B-A384-BD9CBBFB678D}"/>
    <cellStyle name="SAPBEXexcBad8 2 2 4" xfId="4159" xr:uid="{7E807083-A3A4-419E-BB19-73B9EA627026}"/>
    <cellStyle name="SAPBEXexcBad8 2 3" xfId="1623" xr:uid="{F07D32CC-997D-4CCD-8AB5-D8E1AE1FF1F3}"/>
    <cellStyle name="SAPBEXexcBad8 2 3 2" xfId="3255" xr:uid="{2D5676DF-AD12-4C52-AD2E-5035FD2CA0CB}"/>
    <cellStyle name="SAPBEXexcBad8 2 3 2 2" xfId="5629" xr:uid="{412FD524-FACE-4FF5-BF2C-AA44D9CD2504}"/>
    <cellStyle name="SAPBEXexcBad8 2 3 3" xfId="3122" xr:uid="{23BDE68F-7F44-416C-A9DA-B39651F352B0}"/>
    <cellStyle name="SAPBEXexcBad8 2 3 3 2" xfId="5496" xr:uid="{013D7F11-DD6B-41FE-8763-6C02AD668650}"/>
    <cellStyle name="SAPBEXexcBad8 2 3 4" xfId="4160" xr:uid="{C45F7CBD-23B9-4222-BDE8-7453E0E27361}"/>
    <cellStyle name="SAPBEXexcBad8 2 4" xfId="3263" xr:uid="{DF67F1D5-9768-4AF7-B64D-74F16281090B}"/>
    <cellStyle name="SAPBEXexcBad8 2 4 2" xfId="5637" xr:uid="{3083C649-65AB-4DA9-9307-939AADAC22A5}"/>
    <cellStyle name="SAPBEXexcBad8 2 5" xfId="3232" xr:uid="{84D2290F-C3A7-4364-8181-AFC6E88EEE71}"/>
    <cellStyle name="SAPBEXexcBad8 2 5 2" xfId="5606" xr:uid="{12467F6E-DC0A-44C9-B612-F058855E9F81}"/>
    <cellStyle name="SAPBEXexcBad8 2 6" xfId="1621" xr:uid="{2CBC5F18-CC01-441A-9BA4-8850DE3C6A63}"/>
    <cellStyle name="SAPBEXexcBad8 2 6 2" xfId="4158" xr:uid="{6E09DA94-3012-4858-A32B-B828EC76228B}"/>
    <cellStyle name="SAPBEXexcBad8 2 7" xfId="3351" xr:uid="{5AC8E919-2FB5-47CA-953D-28E1A82BFA7A}"/>
    <cellStyle name="SAPBEXexcBad8 3" xfId="3093" xr:uid="{B5F4DB96-7581-421F-BE09-085EC0F0D422}"/>
    <cellStyle name="SAPBEXexcBad8 3 2" xfId="5467" xr:uid="{AB9F3F85-6717-404E-9875-02F0A013653A}"/>
    <cellStyle name="SAPBEXexcBad8 4" xfId="3253" xr:uid="{7F53D327-E6AA-414E-AF67-41CB62F1C57F}"/>
    <cellStyle name="SAPBEXexcBad8 4 2" xfId="5627" xr:uid="{0B5C0A8A-124B-4077-AF1D-FF727237990B}"/>
    <cellStyle name="SAPBEXexcBad8 5" xfId="1620" xr:uid="{7C76A88E-D8F6-437D-B967-FD0321CF2DFC}"/>
    <cellStyle name="SAPBEXexcBad8 5 2" xfId="4157" xr:uid="{C7DAA98C-638B-4F5E-854D-B0AA4EFEF9D0}"/>
    <cellStyle name="SAPBEXexcBad8 6" xfId="3323" xr:uid="{932EE967-FEE0-42A3-90CF-FF69D8228312}"/>
    <cellStyle name="SAPBEXexcBad9" xfId="79" xr:uid="{00000000-0005-0000-0000-000030030000}"/>
    <cellStyle name="SAPBEXexcBad9 2" xfId="130" xr:uid="{00000000-0005-0000-0000-000031030000}"/>
    <cellStyle name="SAPBEXexcBad9 2 2" xfId="1626" xr:uid="{5C4F350D-CCC4-4BF2-986B-FC6598C20584}"/>
    <cellStyle name="SAPBEXexcBad9 2 2 2" xfId="3171" xr:uid="{3929BEA3-AE48-4168-8238-62625FB0BBE2}"/>
    <cellStyle name="SAPBEXexcBad9 2 2 2 2" xfId="5545" xr:uid="{A5417E88-A30B-413D-A8B3-14F7CCDB3C68}"/>
    <cellStyle name="SAPBEXexcBad9 2 2 3" xfId="3220" xr:uid="{C9BBD975-B4ED-4AAF-A4D0-99B1B2C50227}"/>
    <cellStyle name="SAPBEXexcBad9 2 2 3 2" xfId="5594" xr:uid="{86A2F71A-CF4F-4512-BA03-47522EF046CB}"/>
    <cellStyle name="SAPBEXexcBad9 2 2 4" xfId="4163" xr:uid="{8C46B01D-ED6E-43EB-8CDB-B9B63F16EE92}"/>
    <cellStyle name="SAPBEXexcBad9 2 3" xfId="1627" xr:uid="{B02961CA-EFCB-4875-AFAE-C08457194207}"/>
    <cellStyle name="SAPBEXexcBad9 2 3 2" xfId="3046" xr:uid="{D4DB5D2D-EDAD-4D3B-A534-63D2532E558B}"/>
    <cellStyle name="SAPBEXexcBad9 2 3 2 2" xfId="5420" xr:uid="{5E8155E5-CDD7-4E86-BAEC-A3D8A9B1A370}"/>
    <cellStyle name="SAPBEXexcBad9 2 3 3" xfId="3217" xr:uid="{86329FE1-FA2B-4E75-8555-8B5DCC80DCAF}"/>
    <cellStyle name="SAPBEXexcBad9 2 3 3 2" xfId="5591" xr:uid="{5AD12DCD-0CF0-491E-8439-E9D061A0C4D3}"/>
    <cellStyle name="SAPBEXexcBad9 2 3 4" xfId="4164" xr:uid="{1233F1B9-EC1F-454F-9EDF-C6F3D594AD3D}"/>
    <cellStyle name="SAPBEXexcBad9 2 4" xfId="3194" xr:uid="{1940D20D-E2D4-489E-B1D3-F424609D0027}"/>
    <cellStyle name="SAPBEXexcBad9 2 4 2" xfId="5568" xr:uid="{A9A88F24-9620-4FB8-BEB8-95CD181A0074}"/>
    <cellStyle name="SAPBEXexcBad9 2 5" xfId="3143" xr:uid="{6BCA57DD-4702-4E1B-BC80-9F3FF7697D26}"/>
    <cellStyle name="SAPBEXexcBad9 2 5 2" xfId="5517" xr:uid="{F666FAFA-9EDB-4E87-8656-595D8A3ECD1C}"/>
    <cellStyle name="SAPBEXexcBad9 2 6" xfId="1625" xr:uid="{47586EEB-70F0-4882-B95A-2A769B61D794}"/>
    <cellStyle name="SAPBEXexcBad9 2 6 2" xfId="4162" xr:uid="{D4C04A88-2D1E-4ADD-BD3E-82331B95125B}"/>
    <cellStyle name="SAPBEXexcBad9 2 7" xfId="3352" xr:uid="{4FE3963E-E0AF-4E87-87E8-CABFADC44818}"/>
    <cellStyle name="SAPBEXexcBad9 3" xfId="3156" xr:uid="{A05ACD26-1CF0-4752-821E-66F478506893}"/>
    <cellStyle name="SAPBEXexcBad9 3 2" xfId="5530" xr:uid="{BA3D6E38-222A-4412-84A7-E491E380C6C8}"/>
    <cellStyle name="SAPBEXexcBad9 4" xfId="3243" xr:uid="{9BAED454-5EFB-4E5B-9CFE-4FDFA10E8EB9}"/>
    <cellStyle name="SAPBEXexcBad9 4 2" xfId="5617" xr:uid="{83D6D51E-A760-42F9-8E21-CBA14523FC2B}"/>
    <cellStyle name="SAPBEXexcBad9 5" xfId="1624" xr:uid="{5066F295-F30D-4B4C-AF46-3D02AA7F123C}"/>
    <cellStyle name="SAPBEXexcBad9 5 2" xfId="4161" xr:uid="{94F4AA66-8C36-4E3B-B7F8-774B1C791D49}"/>
    <cellStyle name="SAPBEXexcBad9 6" xfId="3324" xr:uid="{D4ED05C1-BDCF-4308-9919-E829128B71C0}"/>
    <cellStyle name="SAPBEXexcCritical4" xfId="80" xr:uid="{00000000-0005-0000-0000-000032030000}"/>
    <cellStyle name="SAPBEXexcCritical4 2" xfId="131" xr:uid="{00000000-0005-0000-0000-000033030000}"/>
    <cellStyle name="SAPBEXexcCritical4 2 2" xfId="1630" xr:uid="{E92D181D-F0AC-42C1-9D58-0527A7D0B764}"/>
    <cellStyle name="SAPBEXexcCritical4 2 2 2" xfId="3187" xr:uid="{241E9D0C-B01D-4533-B837-CA7B96B730BA}"/>
    <cellStyle name="SAPBEXexcCritical4 2 2 2 2" xfId="5561" xr:uid="{88DFEE4F-006F-4B71-A29B-D04428E23793}"/>
    <cellStyle name="SAPBEXexcCritical4 2 2 3" xfId="3279" xr:uid="{41D66534-15D0-4034-A7DC-8453030307C9}"/>
    <cellStyle name="SAPBEXexcCritical4 2 2 3 2" xfId="5653" xr:uid="{857770B3-AE97-4ECC-A6B5-A206681A7034}"/>
    <cellStyle name="SAPBEXexcCritical4 2 2 4" xfId="4167" xr:uid="{E44A9745-B29B-4CB7-BB55-853AC1F00305}"/>
    <cellStyle name="SAPBEXexcCritical4 2 3" xfId="1631" xr:uid="{10D59B6A-608F-4E0B-8EB9-046D8EEBFC21}"/>
    <cellStyle name="SAPBEXexcCritical4 2 3 2" xfId="3064" xr:uid="{8966A808-A7DA-4CF9-B3A9-B1FDDE7FB29B}"/>
    <cellStyle name="SAPBEXexcCritical4 2 3 2 2" xfId="5438" xr:uid="{AF7E31BA-01E8-494B-85C1-B15180C6AE6B}"/>
    <cellStyle name="SAPBEXexcCritical4 2 3 3" xfId="3058" xr:uid="{AF78A8B6-35C7-4136-9FE8-46F501FF0A92}"/>
    <cellStyle name="SAPBEXexcCritical4 2 3 3 2" xfId="5432" xr:uid="{DCD4D7C8-2336-449C-A138-CEFAF0D0F075}"/>
    <cellStyle name="SAPBEXexcCritical4 2 3 4" xfId="4168" xr:uid="{E5A4F7F9-47D1-46D8-8950-F853021F12A3}"/>
    <cellStyle name="SAPBEXexcCritical4 2 4" xfId="3157" xr:uid="{C265D26E-82EE-4E15-B6AC-2AB6FE9865E1}"/>
    <cellStyle name="SAPBEXexcCritical4 2 4 2" xfId="5531" xr:uid="{E67FE5A0-9FB1-4D3A-87DB-30628BC43A10}"/>
    <cellStyle name="SAPBEXexcCritical4 2 5" xfId="3131" xr:uid="{6E9BD25D-CA92-4C64-9A46-13F61EFAD820}"/>
    <cellStyle name="SAPBEXexcCritical4 2 5 2" xfId="5505" xr:uid="{E4EDA921-CCC2-4053-A3D7-417D260945DC}"/>
    <cellStyle name="SAPBEXexcCritical4 2 6" xfId="1629" xr:uid="{1EF9C3D3-1C30-4722-A998-9835764EF207}"/>
    <cellStyle name="SAPBEXexcCritical4 2 6 2" xfId="4166" xr:uid="{B8780D74-E7E2-4FCD-A007-B8AC3A775119}"/>
    <cellStyle name="SAPBEXexcCritical4 2 7" xfId="3353" xr:uid="{BAF03FC3-D881-49D3-B882-DBFEB58BD0EA}"/>
    <cellStyle name="SAPBEXexcCritical4 3" xfId="3117" xr:uid="{D04F99AD-0B26-4CC0-846F-700B31D6007A}"/>
    <cellStyle name="SAPBEXexcCritical4 3 2" xfId="5491" xr:uid="{2DE948B0-BB2E-43E8-94E9-D742A384BE4C}"/>
    <cellStyle name="SAPBEXexcCritical4 4" xfId="3084" xr:uid="{A09043AB-8DE8-4C4C-845E-69BEB47AAA5D}"/>
    <cellStyle name="SAPBEXexcCritical4 4 2" xfId="5458" xr:uid="{CD356C44-A11B-4DC8-BE69-FC1728F6FE4F}"/>
    <cellStyle name="SAPBEXexcCritical4 5" xfId="1628" xr:uid="{6C11D61F-CCF3-4C6C-B295-E691AD9A335C}"/>
    <cellStyle name="SAPBEXexcCritical4 5 2" xfId="4165" xr:uid="{6912ED93-F1AF-40E2-818C-FC32C021AC0B}"/>
    <cellStyle name="SAPBEXexcCritical4 6" xfId="3325" xr:uid="{05A865A3-C0F3-4CB0-B8DF-8A8A906A6701}"/>
    <cellStyle name="SAPBEXexcCritical5" xfId="81" xr:uid="{00000000-0005-0000-0000-000034030000}"/>
    <cellStyle name="SAPBEXexcCritical5 2" xfId="132" xr:uid="{00000000-0005-0000-0000-000035030000}"/>
    <cellStyle name="SAPBEXexcCritical5 2 2" xfId="1634" xr:uid="{4E3EC300-E844-44B7-BF16-E60E448A91E2}"/>
    <cellStyle name="SAPBEXexcCritical5 2 2 2" xfId="3170" xr:uid="{535A7E0D-4708-4E12-AB09-A96068CA4669}"/>
    <cellStyle name="SAPBEXexcCritical5 2 2 2 2" xfId="5544" xr:uid="{CBCA7948-A564-4896-BCA2-4E1496059957}"/>
    <cellStyle name="SAPBEXexcCritical5 2 2 3" xfId="3268" xr:uid="{639076DC-F045-46B7-8A64-C408B796BA5A}"/>
    <cellStyle name="SAPBEXexcCritical5 2 2 3 2" xfId="5642" xr:uid="{75452D6C-C1F9-4FC2-AF3F-0A18D43B7822}"/>
    <cellStyle name="SAPBEXexcCritical5 2 2 4" xfId="4171" xr:uid="{6F0E7D19-4BB2-42ED-993A-037B0F5288D9}"/>
    <cellStyle name="SAPBEXexcCritical5 2 3" xfId="1635" xr:uid="{0444B89F-6AAD-4FFD-9380-24C96D8E632A}"/>
    <cellStyle name="SAPBEXexcCritical5 2 3 2" xfId="3181" xr:uid="{8DA2C76D-3603-43E3-B9B9-9A3A3EAAD459}"/>
    <cellStyle name="SAPBEXexcCritical5 2 3 2 2" xfId="5555" xr:uid="{66DCDC63-C60F-4A0C-9B58-096EC37A38F0}"/>
    <cellStyle name="SAPBEXexcCritical5 2 3 3" xfId="3186" xr:uid="{91A26455-F53A-4D4F-8568-EEBB3671584F}"/>
    <cellStyle name="SAPBEXexcCritical5 2 3 3 2" xfId="5560" xr:uid="{BB235A62-A872-499F-8AE0-1627B36683E4}"/>
    <cellStyle name="SAPBEXexcCritical5 2 3 4" xfId="4172" xr:uid="{48E59927-4CB3-4BD9-A84A-E7DA9F989D41}"/>
    <cellStyle name="SAPBEXexcCritical5 2 4" xfId="3120" xr:uid="{7DA2E082-ABA2-4B0B-B5DD-046FB52CFF04}"/>
    <cellStyle name="SAPBEXexcCritical5 2 4 2" xfId="5494" xr:uid="{A0DA2A8D-BA17-4C5A-9094-6DC095307C70}"/>
    <cellStyle name="SAPBEXexcCritical5 2 5" xfId="3202" xr:uid="{3E60FAA2-355A-4F2B-A11E-936342ABBA02}"/>
    <cellStyle name="SAPBEXexcCritical5 2 5 2" xfId="5576" xr:uid="{EBDBC85F-99C6-41F8-8ED6-AEB952F8EFA9}"/>
    <cellStyle name="SAPBEXexcCritical5 2 6" xfId="1633" xr:uid="{76AF7256-7E04-42B0-B1CB-A1B62B2D939E}"/>
    <cellStyle name="SAPBEXexcCritical5 2 6 2" xfId="4170" xr:uid="{B1805BE6-974B-43C2-B9D1-F73A59E535B0}"/>
    <cellStyle name="SAPBEXexcCritical5 2 7" xfId="3354" xr:uid="{E91D675A-FEAB-4503-8719-C1F7F976F02A}"/>
    <cellStyle name="SAPBEXexcCritical5 3" xfId="3278" xr:uid="{B9776818-624A-4106-9868-0C1A0C4AD335}"/>
    <cellStyle name="SAPBEXexcCritical5 3 2" xfId="5652" xr:uid="{DEFF48EB-FE88-4DA5-AC8F-9D597FF444F7}"/>
    <cellStyle name="SAPBEXexcCritical5 4" xfId="3066" xr:uid="{6F98B9B1-EB13-4F84-84CE-5132936C4AFA}"/>
    <cellStyle name="SAPBEXexcCritical5 4 2" xfId="5440" xr:uid="{E812C69D-D1CA-4285-BAE4-D98FC6EF1B0A}"/>
    <cellStyle name="SAPBEXexcCritical5 5" xfId="1632" xr:uid="{520696D9-1288-4A60-AB3D-7A8520C9C81B}"/>
    <cellStyle name="SAPBEXexcCritical5 5 2" xfId="4169" xr:uid="{FD613DE3-A09B-4BF8-ADA0-5D3646439CFD}"/>
    <cellStyle name="SAPBEXexcCritical5 6" xfId="3326" xr:uid="{71A5B541-1EEB-4070-AD63-148411EE0493}"/>
    <cellStyle name="SAPBEXexcCritical6" xfId="82" xr:uid="{00000000-0005-0000-0000-000036030000}"/>
    <cellStyle name="SAPBEXexcCritical6 2" xfId="133" xr:uid="{00000000-0005-0000-0000-000037030000}"/>
    <cellStyle name="SAPBEXexcCritical6 2 2" xfId="1638" xr:uid="{5FB35506-5396-4FFC-9D16-04B678A10D1D}"/>
    <cellStyle name="SAPBEXexcCritical6 2 2 2" xfId="3048" xr:uid="{4F5BA76D-AED3-4011-AB4D-23AF2B0C54F9}"/>
    <cellStyle name="SAPBEXexcCritical6 2 2 2 2" xfId="5422" xr:uid="{1B0F262A-1ACE-46D7-8653-270D6F271017}"/>
    <cellStyle name="SAPBEXexcCritical6 2 2 3" xfId="3138" xr:uid="{91DB0BFB-B6F2-43AF-B9D7-6DEDC46C1789}"/>
    <cellStyle name="SAPBEXexcCritical6 2 2 3 2" xfId="5512" xr:uid="{A7DE4DAD-5FD5-4F11-89A9-786577012A36}"/>
    <cellStyle name="SAPBEXexcCritical6 2 2 4" xfId="4175" xr:uid="{9EEA5C87-E582-46D5-85CE-14567D98BB23}"/>
    <cellStyle name="SAPBEXexcCritical6 2 3" xfId="1639" xr:uid="{AA9489A8-F72C-4664-A223-F36D56B4804F}"/>
    <cellStyle name="SAPBEXexcCritical6 2 3 2" xfId="3074" xr:uid="{D8C71C81-57F3-4977-BCF1-3B6BDBC8CEFE}"/>
    <cellStyle name="SAPBEXexcCritical6 2 3 2 2" xfId="5448" xr:uid="{DF9960BA-FC1C-4F5C-8785-211211EBEE97}"/>
    <cellStyle name="SAPBEXexcCritical6 2 3 3" xfId="3051" xr:uid="{FC0A2E2B-027B-4878-BDE3-E5EB94D8453F}"/>
    <cellStyle name="SAPBEXexcCritical6 2 3 3 2" xfId="5425" xr:uid="{4A1225AA-3993-40DD-B2F2-690BD9DA1259}"/>
    <cellStyle name="SAPBEXexcCritical6 2 3 4" xfId="4176" xr:uid="{E1470DD5-8C3F-4186-9979-E5BA65E53E1D}"/>
    <cellStyle name="SAPBEXexcCritical6 2 4" xfId="3106" xr:uid="{B258FCF1-CF81-45FF-8856-75FCD82EBD51}"/>
    <cellStyle name="SAPBEXexcCritical6 2 4 2" xfId="5480" xr:uid="{4BE7666C-0A92-4DA0-9830-804EA3D1F538}"/>
    <cellStyle name="SAPBEXexcCritical6 2 5" xfId="3071" xr:uid="{B397E12C-61C1-4BF4-A31D-7DB15391DD9F}"/>
    <cellStyle name="SAPBEXexcCritical6 2 5 2" xfId="5445" xr:uid="{3B720C15-A9EE-44C5-A9F4-1E1D0FF563B9}"/>
    <cellStyle name="SAPBEXexcCritical6 2 6" xfId="1637" xr:uid="{DBADD464-E9D8-4FFA-8C6F-6C9E07397993}"/>
    <cellStyle name="SAPBEXexcCritical6 2 6 2" xfId="4174" xr:uid="{EF77C0BF-B3D8-49BC-9475-2130886E812B}"/>
    <cellStyle name="SAPBEXexcCritical6 2 7" xfId="3355" xr:uid="{998FC712-C609-4936-9B4D-E40B22C74833}"/>
    <cellStyle name="SAPBEXexcCritical6 3" xfId="3209" xr:uid="{6120F2CA-1115-4675-B1BA-F246C8B822EC}"/>
    <cellStyle name="SAPBEXexcCritical6 3 2" xfId="5583" xr:uid="{A25D4061-B44C-4432-A64D-7A68609ADD44}"/>
    <cellStyle name="SAPBEXexcCritical6 4" xfId="3169" xr:uid="{CE2F60A9-6DC1-41E2-AFCF-AF6F320C4523}"/>
    <cellStyle name="SAPBEXexcCritical6 4 2" xfId="5543" xr:uid="{8C943CDE-9301-4D99-A7AA-0BAFE7E47A3B}"/>
    <cellStyle name="SAPBEXexcCritical6 5" xfId="1636" xr:uid="{42AAD9FE-5F43-4F0B-856A-815D1319F75D}"/>
    <cellStyle name="SAPBEXexcCritical6 5 2" xfId="4173" xr:uid="{7D368F3B-6A25-4C2D-A9E3-97338C5453CB}"/>
    <cellStyle name="SAPBEXexcCritical6 6" xfId="3327" xr:uid="{FC118B92-247B-4304-8199-5EA193755A9C}"/>
    <cellStyle name="SAPBEXexcGood1" xfId="83" xr:uid="{00000000-0005-0000-0000-000038030000}"/>
    <cellStyle name="SAPBEXexcGood1 2" xfId="134" xr:uid="{00000000-0005-0000-0000-000039030000}"/>
    <cellStyle name="SAPBEXexcGood1 2 2" xfId="1642" xr:uid="{CCCF8DD3-48A9-48E2-9B13-FED6DC2EAB88}"/>
    <cellStyle name="SAPBEXexcGood1 2 2 2" xfId="3168" xr:uid="{8DD7E45E-2712-4C63-8FCD-3B641107FB68}"/>
    <cellStyle name="SAPBEXexcGood1 2 2 2 2" xfId="5542" xr:uid="{7A3207AC-843B-4A02-8080-65882766DBAD}"/>
    <cellStyle name="SAPBEXexcGood1 2 2 3" xfId="3250" xr:uid="{3A462838-BEAD-47B2-92C8-962EF0BB8034}"/>
    <cellStyle name="SAPBEXexcGood1 2 2 3 2" xfId="5624" xr:uid="{8B397900-3B47-4955-A20C-5C08FC27847D}"/>
    <cellStyle name="SAPBEXexcGood1 2 2 4" xfId="4179" xr:uid="{8A937F81-A36D-437A-99BB-EBE8FE639102}"/>
    <cellStyle name="SAPBEXexcGood1 2 3" xfId="1643" xr:uid="{4E0ACAC5-6094-48CB-9F1F-DEB6B6399A8B}"/>
    <cellStyle name="SAPBEXexcGood1 2 3 2" xfId="3269" xr:uid="{17283035-CAFC-4D01-8F1B-5321BB5B72F4}"/>
    <cellStyle name="SAPBEXexcGood1 2 3 2 2" xfId="5643" xr:uid="{D7F1286B-75A0-4FBB-83A6-CA4F7A220BE5}"/>
    <cellStyle name="SAPBEXexcGood1 2 3 3" xfId="3236" xr:uid="{07AF9F8C-8D92-4B42-9763-2477AB3960EB}"/>
    <cellStyle name="SAPBEXexcGood1 2 3 3 2" xfId="5610" xr:uid="{06E7995B-46B6-47E1-A9D0-17642BD5454F}"/>
    <cellStyle name="SAPBEXexcGood1 2 3 4" xfId="4180" xr:uid="{AAACA7D2-73D3-42C7-828C-C3E887500A36}"/>
    <cellStyle name="SAPBEXexcGood1 2 4" xfId="3076" xr:uid="{BA228D25-8D11-4FA9-9745-E16A0C0CB133}"/>
    <cellStyle name="SAPBEXexcGood1 2 4 2" xfId="5450" xr:uid="{F0C52F41-1034-43E6-B1D0-BF85CFB9ECF7}"/>
    <cellStyle name="SAPBEXexcGood1 2 5" xfId="3212" xr:uid="{B460CD2F-80BC-4E54-BDEB-F4904EF1E9E2}"/>
    <cellStyle name="SAPBEXexcGood1 2 5 2" xfId="5586" xr:uid="{8C5A2DDD-73CF-4458-BD02-99F0B50DA563}"/>
    <cellStyle name="SAPBEXexcGood1 2 6" xfId="1641" xr:uid="{0E826CEF-3713-44D0-B5EB-803196A32B33}"/>
    <cellStyle name="SAPBEXexcGood1 2 6 2" xfId="4178" xr:uid="{81227BD5-F338-4492-89C2-A0A0B2143FCC}"/>
    <cellStyle name="SAPBEXexcGood1 2 7" xfId="3356" xr:uid="{A95EBBEC-4CFC-47C3-9528-FEBEDA759BBC}"/>
    <cellStyle name="SAPBEXexcGood1 3" xfId="3249" xr:uid="{7F68F78E-2F43-4C6C-988E-2CCFC1F91307}"/>
    <cellStyle name="SAPBEXexcGood1 3 2" xfId="5623" xr:uid="{FC46A674-54CA-4143-8066-4A73CBDDB29A}"/>
    <cellStyle name="SAPBEXexcGood1 4" xfId="3127" xr:uid="{B0318D05-E042-40AF-AE42-2308ACCE50A3}"/>
    <cellStyle name="SAPBEXexcGood1 4 2" xfId="5501" xr:uid="{BBF72E8A-950E-4FA1-AB34-FAFDFC5A3E87}"/>
    <cellStyle name="SAPBEXexcGood1 5" xfId="1640" xr:uid="{6544DC32-F387-41D8-9B3E-EB9BF2725F9B}"/>
    <cellStyle name="SAPBEXexcGood1 5 2" xfId="4177" xr:uid="{8F7CF46A-A543-458A-B91C-4663283BCDCD}"/>
    <cellStyle name="SAPBEXexcGood1 6" xfId="3328" xr:uid="{46ECF049-B470-46FC-9AA4-922561F79820}"/>
    <cellStyle name="SAPBEXexcGood2" xfId="84" xr:uid="{00000000-0005-0000-0000-00003A030000}"/>
    <cellStyle name="SAPBEXexcGood2 2" xfId="135" xr:uid="{00000000-0005-0000-0000-00003B030000}"/>
    <cellStyle name="SAPBEXexcGood2 2 2" xfId="1646" xr:uid="{B056D4DD-07CF-4183-A50B-DD778ED03B78}"/>
    <cellStyle name="SAPBEXexcGood2 2 2 2" xfId="3154" xr:uid="{1F34EF5A-A9CF-435D-963D-81F45DA5E8B9}"/>
    <cellStyle name="SAPBEXexcGood2 2 2 2 2" xfId="5528" xr:uid="{2F1DC876-2FE1-4477-89AC-0B8A8A1F9AF4}"/>
    <cellStyle name="SAPBEXexcGood2 2 2 3" xfId="3118" xr:uid="{FE8306C3-A9C1-4246-9161-697E30C9FB54}"/>
    <cellStyle name="SAPBEXexcGood2 2 2 3 2" xfId="5492" xr:uid="{6CEA24C8-452A-42AA-BF8C-7BFD7F5C77DF}"/>
    <cellStyle name="SAPBEXexcGood2 2 2 4" xfId="4183" xr:uid="{CAD4FA70-642F-4AA9-801E-9F4CFD90D89A}"/>
    <cellStyle name="SAPBEXexcGood2 2 3" xfId="1647" xr:uid="{2473FCFE-E1DC-453F-8181-03FD9E3BDE54}"/>
    <cellStyle name="SAPBEXexcGood2 2 3 2" xfId="3270" xr:uid="{B2174A8E-A5DD-4A69-8530-1AAA321F4D91}"/>
    <cellStyle name="SAPBEXexcGood2 2 3 2 2" xfId="5644" xr:uid="{03815C29-5547-4285-8D8B-FCAF5F0A8AEB}"/>
    <cellStyle name="SAPBEXexcGood2 2 3 3" xfId="3225" xr:uid="{5777397E-8956-4ADC-9053-991FB2497404}"/>
    <cellStyle name="SAPBEXexcGood2 2 3 3 2" xfId="5599" xr:uid="{9471E41C-02D7-432F-87E7-74C5E70C42F1}"/>
    <cellStyle name="SAPBEXexcGood2 2 3 4" xfId="4184" xr:uid="{E2274566-BCF0-4D83-8C4C-F95873F11BD6}"/>
    <cellStyle name="SAPBEXexcGood2 2 4" xfId="3129" xr:uid="{4E4D8A40-14DB-4FDE-B241-D5E1A3BEAF28}"/>
    <cellStyle name="SAPBEXexcGood2 2 4 2" xfId="5503" xr:uid="{670FF6B5-69F2-42C9-9929-158B075ADB03}"/>
    <cellStyle name="SAPBEXexcGood2 2 5" xfId="3087" xr:uid="{8E4F3D60-E7E9-42FA-ADF5-7CAD1946D1A9}"/>
    <cellStyle name="SAPBEXexcGood2 2 5 2" xfId="5461" xr:uid="{75DF8946-298F-4072-92FB-FF3A14AB3371}"/>
    <cellStyle name="SAPBEXexcGood2 2 6" xfId="1645" xr:uid="{E5C11307-DEB0-4D1E-8A3F-851ABD93C9E2}"/>
    <cellStyle name="SAPBEXexcGood2 2 6 2" xfId="4182" xr:uid="{AF210221-3C4E-4AB8-85A3-109E598AFB23}"/>
    <cellStyle name="SAPBEXexcGood2 2 7" xfId="3357" xr:uid="{24267C96-15E6-4B6E-ABED-0955E740FB20}"/>
    <cellStyle name="SAPBEXexcGood2 3" xfId="3267" xr:uid="{6125C4BE-304B-499E-BEB6-74E44473E6C9}"/>
    <cellStyle name="SAPBEXexcGood2 3 2" xfId="5641" xr:uid="{11F3D0C2-1EBA-47CB-BF32-CD5222C15CAF}"/>
    <cellStyle name="SAPBEXexcGood2 4" xfId="3205" xr:uid="{6A59D1C4-82F1-478C-AD0F-0CA4FBBC8A9E}"/>
    <cellStyle name="SAPBEXexcGood2 4 2" xfId="5579" xr:uid="{DEB77ED5-5F7A-48F7-B604-6D321B1A6B3E}"/>
    <cellStyle name="SAPBEXexcGood2 5" xfId="1644" xr:uid="{C01ECB1E-F108-4707-BAA2-21BB02687559}"/>
    <cellStyle name="SAPBEXexcGood2 5 2" xfId="4181" xr:uid="{03DCBBEE-DE8B-4501-A57D-0C486E4B67A0}"/>
    <cellStyle name="SAPBEXexcGood2 6" xfId="3329" xr:uid="{906DAD6D-5458-4A1C-9568-BF2F558808ED}"/>
    <cellStyle name="SAPBEXexcGood3" xfId="85" xr:uid="{00000000-0005-0000-0000-00003C030000}"/>
    <cellStyle name="SAPBEXexcGood3 2" xfId="136" xr:uid="{00000000-0005-0000-0000-00003D030000}"/>
    <cellStyle name="SAPBEXexcGood3 2 2" xfId="1650" xr:uid="{A4D61156-F851-4404-970E-002F2FCD6746}"/>
    <cellStyle name="SAPBEXexcGood3 2 2 2" xfId="3282" xr:uid="{50320BD0-FF99-40DE-9491-AC71E0B71E54}"/>
    <cellStyle name="SAPBEXexcGood3 2 2 2 2" xfId="5656" xr:uid="{1A300843-3EEA-4A94-AE9A-06AE82F0B7B1}"/>
    <cellStyle name="SAPBEXexcGood3 2 2 3" xfId="3251" xr:uid="{E331FDCF-DEE1-4B87-AF4F-33BBDDE408DD}"/>
    <cellStyle name="SAPBEXexcGood3 2 2 3 2" xfId="5625" xr:uid="{22983CC6-C5A5-4DD1-A64C-BEE7DFDF0BB0}"/>
    <cellStyle name="SAPBEXexcGood3 2 2 4" xfId="4187" xr:uid="{66839DB0-6299-40AB-849C-DA1991A2CBB9}"/>
    <cellStyle name="SAPBEXexcGood3 2 3" xfId="1651" xr:uid="{7E1C8BD4-697A-40D3-BD28-0513C712BF87}"/>
    <cellStyle name="SAPBEXexcGood3 2 3 2" xfId="3246" xr:uid="{980396A0-5E14-4DAA-ADD7-B32E9CD680E2}"/>
    <cellStyle name="SAPBEXexcGood3 2 3 2 2" xfId="5620" xr:uid="{62B57022-0278-4C34-823D-5546C67FC23F}"/>
    <cellStyle name="SAPBEXexcGood3 2 3 3" xfId="3124" xr:uid="{846BD0DA-2A4F-4A27-A3D1-222BABF0A339}"/>
    <cellStyle name="SAPBEXexcGood3 2 3 3 2" xfId="5498" xr:uid="{FAC9D116-4CA1-42DA-9178-33804783C0F2}"/>
    <cellStyle name="SAPBEXexcGood3 2 3 4" xfId="4188" xr:uid="{7FE7AC29-2509-4136-A931-9F26A5504DB7}"/>
    <cellStyle name="SAPBEXexcGood3 2 4" xfId="3063" xr:uid="{31E110BC-DAA4-4F81-82B2-0DC73FDD6A7A}"/>
    <cellStyle name="SAPBEXexcGood3 2 4 2" xfId="5437" xr:uid="{320CB6DB-26E7-4714-833B-5015D8DFB608}"/>
    <cellStyle name="SAPBEXexcGood3 2 5" xfId="3115" xr:uid="{5EF2567F-B64C-4B48-9894-B9E058A273D4}"/>
    <cellStyle name="SAPBEXexcGood3 2 5 2" xfId="5489" xr:uid="{B621CCF8-9A0A-4F35-88D5-C7A5D5B7D421}"/>
    <cellStyle name="SAPBEXexcGood3 2 6" xfId="1649" xr:uid="{E35BCF35-6DC0-4F6D-86AE-A309F77FA97A}"/>
    <cellStyle name="SAPBEXexcGood3 2 6 2" xfId="4186" xr:uid="{C3CCB38D-0EAA-4A66-B430-D78697D94A59}"/>
    <cellStyle name="SAPBEXexcGood3 2 7" xfId="3358" xr:uid="{FB6E062E-B69F-4A81-8BE5-6E8646FD04C4}"/>
    <cellStyle name="SAPBEXexcGood3 3" xfId="3069" xr:uid="{6407E7F9-5EB6-4C10-BAFD-1C8AF442B495}"/>
    <cellStyle name="SAPBEXexcGood3 3 2" xfId="5443" xr:uid="{7BE3B646-06D3-4111-8367-DAE5937D5B70}"/>
    <cellStyle name="SAPBEXexcGood3 4" xfId="3164" xr:uid="{1CC7D2F6-EB72-4CBD-BD6B-1D8CE0A52C24}"/>
    <cellStyle name="SAPBEXexcGood3 4 2" xfId="5538" xr:uid="{3EF6B874-47E8-427C-A9EB-42BBF0D6E69C}"/>
    <cellStyle name="SAPBEXexcGood3 5" xfId="1648" xr:uid="{8F14273A-1D45-488C-B08E-57660CD41D2B}"/>
    <cellStyle name="SAPBEXexcGood3 5 2" xfId="4185" xr:uid="{F48DE49A-F62A-42B6-BA3B-32456A3FC4AB}"/>
    <cellStyle name="SAPBEXexcGood3 6" xfId="3330" xr:uid="{BC41B650-A88D-45EE-BB95-9115F42084AC}"/>
    <cellStyle name="SAPBEXfilterDrill" xfId="86" xr:uid="{00000000-0005-0000-0000-00003E030000}"/>
    <cellStyle name="SAPBEXfilterDrill 2" xfId="1653" xr:uid="{AA0948EE-2C35-48BE-B8DA-B4A3832DF3DE}"/>
    <cellStyle name="SAPBEXfilterDrill 2 2" xfId="1654" xr:uid="{8709A415-A95F-4A84-9C6C-568443C19589}"/>
    <cellStyle name="SAPBEXfilterDrill 2 2 2" xfId="3222" xr:uid="{5352647C-02F9-4C50-BA02-4FC69A4DDCBD}"/>
    <cellStyle name="SAPBEXfilterDrill 2 2 2 2" xfId="5596" xr:uid="{7053E96B-B29C-4C17-99B1-1310557A8857}"/>
    <cellStyle name="SAPBEXfilterDrill 2 2 3" xfId="3101" xr:uid="{3B442078-63BE-4AEE-96D0-E928A0737388}"/>
    <cellStyle name="SAPBEXfilterDrill 2 2 3 2" xfId="5475" xr:uid="{3BE18AD4-45DF-40F0-8004-4CE00D4BA6C5}"/>
    <cellStyle name="SAPBEXfilterDrill 2 2 4" xfId="4191" xr:uid="{ED18476B-5750-4FEE-AC15-FA08093A0C11}"/>
    <cellStyle name="SAPBEXfilterDrill 2 3" xfId="1655" xr:uid="{E4714BA9-B7CE-431B-90D2-7B5837BD2C35}"/>
    <cellStyle name="SAPBEXfilterDrill 2 3 2" xfId="3047" xr:uid="{46AD5C18-16D2-4345-9C19-F0F99E64C55C}"/>
    <cellStyle name="SAPBEXfilterDrill 2 3 2 2" xfId="5421" xr:uid="{4CFBF9A6-C1D9-4125-A32B-9A5CA1555E83}"/>
    <cellStyle name="SAPBEXfilterDrill 2 3 3" xfId="3174" xr:uid="{09822ECA-A373-4A99-9E60-20A853CC7107}"/>
    <cellStyle name="SAPBEXfilterDrill 2 3 3 2" xfId="5548" xr:uid="{F4975F0F-C316-4060-8D00-12E354E303FA}"/>
    <cellStyle name="SAPBEXfilterDrill 2 3 4" xfId="4192" xr:uid="{0E786D51-0CA6-4F4F-A83A-22CC4F26AFAD}"/>
    <cellStyle name="SAPBEXfilterDrill 2 4" xfId="3136" xr:uid="{DF46AE6B-73F0-43A0-8548-4B85734E9A24}"/>
    <cellStyle name="SAPBEXfilterDrill 2 4 2" xfId="5510" xr:uid="{86D29935-3708-485A-ADBB-D1B1CBB7E7FE}"/>
    <cellStyle name="SAPBEXfilterDrill 2 5" xfId="3112" xr:uid="{C076FA5F-BF2D-4DF0-8B92-561EB2BD1C7D}"/>
    <cellStyle name="SAPBEXfilterDrill 2 5 2" xfId="5486" xr:uid="{2EDD4B0B-D394-4E56-8ED2-183668E6949C}"/>
    <cellStyle name="SAPBEXfilterDrill 2 6" xfId="4190" xr:uid="{55961F2E-9553-4299-87A9-E9B3900164F2}"/>
    <cellStyle name="SAPBEXfilterDrill 3" xfId="3075" xr:uid="{442107BC-4A92-4792-B707-2B4E74AC37AC}"/>
    <cellStyle name="SAPBEXfilterDrill 3 2" xfId="5449" xr:uid="{422B98E0-FC46-4A04-A67E-727A455A4FA3}"/>
    <cellStyle name="SAPBEXfilterDrill 4" xfId="3204" xr:uid="{512064FE-81AE-4DED-AC66-7294DEF7C46A}"/>
    <cellStyle name="SAPBEXfilterDrill 4 2" xfId="5578" xr:uid="{83853B67-C0F6-435C-8610-61C05FD90FD2}"/>
    <cellStyle name="SAPBEXfilterDrill 5" xfId="1652" xr:uid="{CA55BA2E-CB05-434B-99BA-681A7FBE4E84}"/>
    <cellStyle name="SAPBEXfilterDrill 5 2" xfId="4189" xr:uid="{80BBCFE2-E247-44FE-852B-23A842F0CC61}"/>
    <cellStyle name="SAPBEXfilterItem" xfId="87" xr:uid="{00000000-0005-0000-0000-00003F030000}"/>
    <cellStyle name="SAPBEXfilterItem 2" xfId="137" xr:uid="{00000000-0005-0000-0000-000040030000}"/>
    <cellStyle name="SAPBEXfilterItem 2 2" xfId="3196" xr:uid="{26DDC478-4B83-40C9-A39F-3DFB8178C2FD}"/>
    <cellStyle name="SAPBEXfilterItem 2 2 2" xfId="5570" xr:uid="{CB3B5C81-7E4D-4A85-99A3-A3E07ACDBA76}"/>
    <cellStyle name="SAPBEXfilterItem 2 3" xfId="3198" xr:uid="{18D34F26-06AC-4E81-8EBB-36EE3DB2368F}"/>
    <cellStyle name="SAPBEXfilterItem 2 3 2" xfId="5572" xr:uid="{773F0752-3C13-4350-8BA2-F84B3FA426BB}"/>
    <cellStyle name="SAPBEXfilterItem 2 4" xfId="1657" xr:uid="{B3C68D2B-7FF0-4A4F-BE6C-452FFD3B9A86}"/>
    <cellStyle name="SAPBEXfilterItem 2 4 2" xfId="4194" xr:uid="{BADF643C-7B1F-47DC-AAD9-36DBF43F6CB7}"/>
    <cellStyle name="SAPBEXfilterItem 3" xfId="3056" xr:uid="{55CFED75-56D0-456E-A9BC-2CB3D061E5F6}"/>
    <cellStyle name="SAPBEXfilterItem 3 2" xfId="5430" xr:uid="{0B6E4E49-5243-468F-827D-FFF4F5855A6D}"/>
    <cellStyle name="SAPBEXfilterItem 4" xfId="1656" xr:uid="{7BC29FEA-E576-4E4F-B57E-5D6DE5502520}"/>
    <cellStyle name="SAPBEXfilterItem 4 2" xfId="4193" xr:uid="{2B7614F3-829F-48A3-B1AB-23DA9A31AB70}"/>
    <cellStyle name="SAPBEXfilterText" xfId="88" xr:uid="{00000000-0005-0000-0000-000041030000}"/>
    <cellStyle name="SAPBEXfilterText 2" xfId="1659" xr:uid="{2EAFFB29-3F08-4266-9241-CF3B4D1C05DF}"/>
    <cellStyle name="SAPBEXfilterText 2 2" xfId="3203" xr:uid="{EBF5D647-6FFC-4536-B73D-A6D2CE56CD38}"/>
    <cellStyle name="SAPBEXfilterText 2 2 2" xfId="5577" xr:uid="{5DE59176-53CC-48B1-86F4-19B02BA80C12}"/>
    <cellStyle name="SAPBEXfilterText 2 3" xfId="3280" xr:uid="{202CDC45-E8FE-4DD6-B36E-5ABA6ED71F2F}"/>
    <cellStyle name="SAPBEXfilterText 2 3 2" xfId="5654" xr:uid="{CF9B5040-88CA-4ABE-802C-1089F4EA4FB3}"/>
    <cellStyle name="SAPBEXfilterText 2 4" xfId="4195" xr:uid="{74510BFB-F991-44D6-937A-B7CA0C9CCE57}"/>
    <cellStyle name="SAPBEXfilterText 3" xfId="1658" xr:uid="{2EFFD2FB-4EFF-4BB5-9ECE-E19E93844D9E}"/>
    <cellStyle name="SAPBEXformats" xfId="89" xr:uid="{00000000-0005-0000-0000-000042030000}"/>
    <cellStyle name="SAPBEXformats 2" xfId="138" xr:uid="{00000000-0005-0000-0000-000043030000}"/>
    <cellStyle name="SAPBEXformats 2 2" xfId="1662" xr:uid="{B940E059-2B50-4168-B331-DDEAB57A1B61}"/>
    <cellStyle name="SAPBEXformats 2 2 2" xfId="3240" xr:uid="{5EC3A3D7-F8FF-4731-8DC3-F171D47924F4}"/>
    <cellStyle name="SAPBEXformats 2 2 2 2" xfId="5614" xr:uid="{61461216-0E43-4C68-9E3D-2A464F6EF117}"/>
    <cellStyle name="SAPBEXformats 2 2 3" xfId="3223" xr:uid="{C685FAC2-D748-4A2A-BF82-05F7B49B2697}"/>
    <cellStyle name="SAPBEXformats 2 2 3 2" xfId="5597" xr:uid="{DB843D10-7BB6-46F8-BD10-DBC323980825}"/>
    <cellStyle name="SAPBEXformats 2 2 4" xfId="4198" xr:uid="{F4FC0D95-A6F1-466D-915D-3C1B6D079996}"/>
    <cellStyle name="SAPBEXformats 2 3" xfId="1663" xr:uid="{4ECBCEA1-C1DE-43CA-9D78-A002EE25FEF8}"/>
    <cellStyle name="SAPBEXformats 2 3 2" xfId="3155" xr:uid="{23FFB165-B6F0-4581-893D-729ED88952E7}"/>
    <cellStyle name="SAPBEXformats 2 3 2 2" xfId="5529" xr:uid="{060C118E-308D-4055-917C-98A4F4C339CA}"/>
    <cellStyle name="SAPBEXformats 2 3 3" xfId="3237" xr:uid="{892E4439-009D-4C49-9C82-117EE0905FB5}"/>
    <cellStyle name="SAPBEXformats 2 3 3 2" xfId="5611" xr:uid="{6998E6D8-AF2C-4DFA-966E-8D67361B595B}"/>
    <cellStyle name="SAPBEXformats 2 3 4" xfId="4199" xr:uid="{C4B4DB4D-ABE7-4AAB-A923-70CE0ED01437}"/>
    <cellStyle name="SAPBEXformats 2 4" xfId="3091" xr:uid="{4EE5D656-9808-4C75-8783-D09910C08B48}"/>
    <cellStyle name="SAPBEXformats 2 4 2" xfId="5465" xr:uid="{4E9E46AD-0A06-40FC-87CE-0D746DF72377}"/>
    <cellStyle name="SAPBEXformats 2 5" xfId="3182" xr:uid="{9E6AC1C4-FDF9-439F-9C11-65E3810FBF29}"/>
    <cellStyle name="SAPBEXformats 2 5 2" xfId="5556" xr:uid="{2258ED9B-459A-4C28-B529-2EA1F86BE229}"/>
    <cellStyle name="SAPBEXformats 2 6" xfId="1661" xr:uid="{917D38CA-E680-4611-95E8-770B9227277A}"/>
    <cellStyle name="SAPBEXformats 2 6 2" xfId="4197" xr:uid="{6DD99085-EBE9-42BF-8306-8DF0051632E8}"/>
    <cellStyle name="SAPBEXformats 2 7" xfId="3359" xr:uid="{67282BB5-1606-4917-8684-1E5585FD27D7}"/>
    <cellStyle name="SAPBEXformats 3" xfId="3092" xr:uid="{F8490C7C-FD25-42A3-932C-E6CF57BAE55A}"/>
    <cellStyle name="SAPBEXformats 3 2" xfId="5466" xr:uid="{7942C92D-6291-4D06-8DD7-3654AEE528B9}"/>
    <cellStyle name="SAPBEXformats 4" xfId="3185" xr:uid="{099559A9-2D0B-434F-A77C-A1E934A5D2B3}"/>
    <cellStyle name="SAPBEXformats 4 2" xfId="5559" xr:uid="{70B640DA-1EB5-4CDA-9988-1B2528A5DC34}"/>
    <cellStyle name="SAPBEXformats 5" xfId="1660" xr:uid="{EAD56A5B-43C3-43B1-8B8E-3A885F87B1DF}"/>
    <cellStyle name="SAPBEXformats 5 2" xfId="4196" xr:uid="{5D64FC15-9DCE-4B9B-BF08-FD3B17C1DEF7}"/>
    <cellStyle name="SAPBEXformats 6" xfId="3331" xr:uid="{5FCAA5D1-3DD9-4D9A-BD23-0F19E7716CF7}"/>
    <cellStyle name="SAPBEXheaderItem" xfId="90" xr:uid="{00000000-0005-0000-0000-000044030000}"/>
    <cellStyle name="SAPBEXheaderItem 2" xfId="1665" xr:uid="{7BCED91B-E93B-4279-A022-5C096C0E258B}"/>
    <cellStyle name="SAPBEXheaderItem 2 2" xfId="1666" xr:uid="{A110E022-D11E-420C-866B-F2A9DA8C20D3}"/>
    <cellStyle name="SAPBEXheaderItem 2 2 2" xfId="3125" xr:uid="{CDBB871A-AE43-4D8C-9720-6AE11DF21208}"/>
    <cellStyle name="SAPBEXheaderItem 2 2 2 2" xfId="5499" xr:uid="{FF42C634-587E-449C-93A8-14D549956B01}"/>
    <cellStyle name="SAPBEXheaderItem 2 2 3" xfId="3277" xr:uid="{CEF6A255-19E9-4B31-B11E-448113DEA785}"/>
    <cellStyle name="SAPBEXheaderItem 2 2 3 2" xfId="5651" xr:uid="{35074C82-2305-49C0-9B70-96C6DD9640A9}"/>
    <cellStyle name="SAPBEXheaderItem 2 2 4" xfId="4202" xr:uid="{03F1D92C-A186-4D33-9DBA-3690E7E5274C}"/>
    <cellStyle name="SAPBEXheaderItem 2 3" xfId="1667" xr:uid="{73365FD4-F9FB-4AD2-BE01-15C597FDED53}"/>
    <cellStyle name="SAPBEXheaderItem 2 3 2" xfId="3121" xr:uid="{AD57CECD-DB90-43DE-942B-3E41AFAD88EA}"/>
    <cellStyle name="SAPBEXheaderItem 2 3 2 2" xfId="5495" xr:uid="{76278D70-69E2-4A9D-AE43-8A3F7EADA814}"/>
    <cellStyle name="SAPBEXheaderItem 2 3 3" xfId="3096" xr:uid="{40DAB32C-61C6-447C-86D5-175D4A8DB09C}"/>
    <cellStyle name="SAPBEXheaderItem 2 3 3 2" xfId="5470" xr:uid="{7D75FC85-98F1-4FAF-B742-1A13BE3B8185}"/>
    <cellStyle name="SAPBEXheaderItem 2 3 4" xfId="4203" xr:uid="{A9A9D296-7004-4036-A68A-16F192BC8166}"/>
    <cellStyle name="SAPBEXheaderItem 2 4" xfId="3146" xr:uid="{8EBE583F-0268-48B3-ABB7-26D48B03AA82}"/>
    <cellStyle name="SAPBEXheaderItem 2 4 2" xfId="5520" xr:uid="{D97CD8EA-F0D9-49B1-9DEE-28B7053DCEF8}"/>
    <cellStyle name="SAPBEXheaderItem 2 5" xfId="3079" xr:uid="{82072485-BD4E-442E-BEDF-A8749C5A7F18}"/>
    <cellStyle name="SAPBEXheaderItem 2 5 2" xfId="5453" xr:uid="{310C2548-118F-4D52-AF32-53416FB1B3FB}"/>
    <cellStyle name="SAPBEXheaderItem 2 6" xfId="4201" xr:uid="{0056D81F-A7E7-4DDE-979C-1DB9460DDFBD}"/>
    <cellStyle name="SAPBEXheaderItem 3" xfId="3235" xr:uid="{D53ABB5E-3643-42E6-9B21-08EEA69DE1EA}"/>
    <cellStyle name="SAPBEXheaderItem 3 2" xfId="5609" xr:uid="{3FA59EDC-C35D-492A-A1E5-E2C345BEE200}"/>
    <cellStyle name="SAPBEXheaderItem 4" xfId="3158" xr:uid="{3DB807E6-BD30-4779-92F2-3B6DCECDC804}"/>
    <cellStyle name="SAPBEXheaderItem 4 2" xfId="5532" xr:uid="{6474D8F1-7D40-4021-AE98-F47F34D6C3A3}"/>
    <cellStyle name="SAPBEXheaderItem 5" xfId="1664" xr:uid="{3FC98029-37DE-49A6-AC7E-ABAEE4420013}"/>
    <cellStyle name="SAPBEXheaderItem 5 2" xfId="4200" xr:uid="{76086955-234F-4136-9B84-B2A917BAB332}"/>
    <cellStyle name="SAPBEXheaderText" xfId="91" xr:uid="{00000000-0005-0000-0000-000045030000}"/>
    <cellStyle name="SAPBEXheaderText 2" xfId="1669" xr:uid="{0E4D9BB7-34C9-4A28-82FD-D244AA8F9CA5}"/>
    <cellStyle name="SAPBEXheaderText 2 2" xfId="1670" xr:uid="{A3FEF62C-79E7-430A-B5C7-5CCE5033C9C2}"/>
    <cellStyle name="SAPBEXheaderText 2 2 2" xfId="3283" xr:uid="{842DAEAC-72B0-4CF8-8AD6-72689CFC7EF5}"/>
    <cellStyle name="SAPBEXheaderText 2 2 2 2" xfId="5657" xr:uid="{414D8BB8-CFD0-4093-ABE5-B230F01524A8}"/>
    <cellStyle name="SAPBEXheaderText 2 2 3" xfId="3130" xr:uid="{9A8FBC6B-CCFC-4273-B4B0-3A71ACAE7F34}"/>
    <cellStyle name="SAPBEXheaderText 2 2 3 2" xfId="5504" xr:uid="{68B6D192-6265-4206-B800-6461CE810633}"/>
    <cellStyle name="SAPBEXheaderText 2 2 4" xfId="4206" xr:uid="{73159E38-3E44-42D4-90F8-7CE32DDD6D65}"/>
    <cellStyle name="SAPBEXheaderText 2 3" xfId="1671" xr:uid="{FEA0F069-5E53-45FC-B583-57DCFC6F8D64}"/>
    <cellStyle name="SAPBEXheaderText 2 3 2" xfId="3285" xr:uid="{A25D66E2-9BCA-4761-95A1-FFC09244C22A}"/>
    <cellStyle name="SAPBEXheaderText 2 3 2 2" xfId="5659" xr:uid="{CF1ECA2C-9F8B-4C2A-80D8-7DE6C27F9706}"/>
    <cellStyle name="SAPBEXheaderText 2 3 3" xfId="3123" xr:uid="{ED5E1908-D043-40D6-B3FE-C7C82E1ED9ED}"/>
    <cellStyle name="SAPBEXheaderText 2 3 3 2" xfId="5497" xr:uid="{C6C4D615-4000-4D89-B223-4571C24EC008}"/>
    <cellStyle name="SAPBEXheaderText 2 3 4" xfId="4207" xr:uid="{AA5DFB8A-CF90-4295-BECD-2D4FC8662B8A}"/>
    <cellStyle name="SAPBEXheaderText 2 4" xfId="3233" xr:uid="{1DB7A1FF-F92F-4D76-B70B-C94F977E8EDB}"/>
    <cellStyle name="SAPBEXheaderText 2 4 2" xfId="5607" xr:uid="{2F5E3676-ECC9-4ECC-BBD0-60C24C6B4617}"/>
    <cellStyle name="SAPBEXheaderText 2 5" xfId="3221" xr:uid="{7D6BF8C5-3C2A-483B-9B40-F49916D94FD9}"/>
    <cellStyle name="SAPBEXheaderText 2 5 2" xfId="5595" xr:uid="{6B268ADE-4B28-4829-A717-CD84B50FF19D}"/>
    <cellStyle name="SAPBEXheaderText 2 6" xfId="4205" xr:uid="{E6342F36-CE35-47B4-981D-E57A7C13B659}"/>
    <cellStyle name="SAPBEXheaderText 3" xfId="3144" xr:uid="{7B55D53C-9EA3-4CF5-8157-D2F5E09B5BC5}"/>
    <cellStyle name="SAPBEXheaderText 3 2" xfId="5518" xr:uid="{4AABACDB-15FD-4D53-81ED-54DEF692B57A}"/>
    <cellStyle name="SAPBEXheaderText 4" xfId="3073" xr:uid="{FD02BF4F-842A-408B-8730-FBFD970C2019}"/>
    <cellStyle name="SAPBEXheaderText 4 2" xfId="5447" xr:uid="{5BB37F44-B6EC-4B48-883B-1C857B6C8E7E}"/>
    <cellStyle name="SAPBEXheaderText 5" xfId="1668" xr:uid="{6B0897FD-BAE9-4299-B132-3D800C1B68F2}"/>
    <cellStyle name="SAPBEXheaderText 5 2" xfId="4204" xr:uid="{941FF39E-0ACD-4884-9315-BD8014E4EBCF}"/>
    <cellStyle name="SAPBEXHLevel0" xfId="92" xr:uid="{00000000-0005-0000-0000-000046030000}"/>
    <cellStyle name="SAPBEXHLevel0 2" xfId="933" xr:uid="{138A92E3-7D55-4952-AEFB-C1782E9DFF2F}"/>
    <cellStyle name="SAPBEXHLevel0 2 2" xfId="1674" xr:uid="{36D9D267-5281-46A4-A1DA-573AF10B6BAA}"/>
    <cellStyle name="SAPBEXHLevel0 2 2 2" xfId="3276" xr:uid="{2B5579B0-D920-4A1E-9D1F-6CAA37193063}"/>
    <cellStyle name="SAPBEXHLevel0 2 2 2 2" xfId="5650" xr:uid="{67C54598-EA0C-4A8E-8E78-522D91B16776}"/>
    <cellStyle name="SAPBEXHLevel0 2 2 3" xfId="3065" xr:uid="{E914C898-D2BD-4BBF-BB68-AB6CC65734FD}"/>
    <cellStyle name="SAPBEXHLevel0 2 2 3 2" xfId="5439" xr:uid="{22420A2A-5B0E-4498-81BF-C3FCF8DF09C6}"/>
    <cellStyle name="SAPBEXHLevel0 2 2 4" xfId="4210" xr:uid="{4D2D2032-CD87-4438-A872-7A01B9E76135}"/>
    <cellStyle name="SAPBEXHLevel0 2 3" xfId="1675" xr:uid="{B27FC2F0-F263-4D18-879B-CF196FB0A6DE}"/>
    <cellStyle name="SAPBEXHLevel0 2 3 2" xfId="3057" xr:uid="{157B5CCA-3C69-47DC-9831-7EB07731AB6B}"/>
    <cellStyle name="SAPBEXHLevel0 2 3 2 2" xfId="5431" xr:uid="{98DD41C2-3EF9-48BA-9CEF-3CE9FEAAC7D4}"/>
    <cellStyle name="SAPBEXHLevel0 2 3 3" xfId="3067" xr:uid="{F6C17396-4025-4F47-9D88-B4D2F7AC8553}"/>
    <cellStyle name="SAPBEXHLevel0 2 3 3 2" xfId="5441" xr:uid="{6AF87A54-8310-4CD2-916C-989E45D03941}"/>
    <cellStyle name="SAPBEXHLevel0 2 3 4" xfId="4211" xr:uid="{1E425DBC-497B-488F-B450-7A39EE11CEF7}"/>
    <cellStyle name="SAPBEXHLevel0 2 4" xfId="3163" xr:uid="{C7A02F57-6BF0-4D0F-A1EF-52AB2D4AC8AD}"/>
    <cellStyle name="SAPBEXHLevel0 2 4 2" xfId="5537" xr:uid="{F15E12A2-C7BA-4164-B6E5-0AED0D55DCBC}"/>
    <cellStyle name="SAPBEXHLevel0 2 5" xfId="3234" xr:uid="{37AA15B5-E5C6-44D9-BCE9-E15CB5D70551}"/>
    <cellStyle name="SAPBEXHLevel0 2 5 2" xfId="5608" xr:uid="{546F3025-87DE-42C2-9D8D-8166404DE6A6}"/>
    <cellStyle name="SAPBEXHLevel0 2 6" xfId="1673" xr:uid="{4FFD3559-416C-4418-913E-589139F47BC8}"/>
    <cellStyle name="SAPBEXHLevel0 2 6 2" xfId="4209" xr:uid="{1E34678E-500A-48BF-A05B-21D1AC0CA4C2}"/>
    <cellStyle name="SAPBEXHLevel0 2 7" xfId="3831" xr:uid="{10861CCE-96AA-436F-8123-73632B7080AE}"/>
    <cellStyle name="SAPBEXHLevel0 3" xfId="3054" xr:uid="{5482EA0F-F472-4C49-9A3B-40D951BDFCC5}"/>
    <cellStyle name="SAPBEXHLevel0 3 2" xfId="5428" xr:uid="{E371F977-85F5-4832-B8D4-A1DB094B50F7}"/>
    <cellStyle name="SAPBEXHLevel0 4" xfId="3086" xr:uid="{7D43D4A9-CF33-4142-92D2-E01DEE52393D}"/>
    <cellStyle name="SAPBEXHLevel0 4 2" xfId="5460" xr:uid="{CE9E4384-1910-450D-B6D8-4CEDE851F24F}"/>
    <cellStyle name="SAPBEXHLevel0 5" xfId="1672" xr:uid="{260F3BE1-1942-46A2-A562-B5B766064538}"/>
    <cellStyle name="SAPBEXHLevel0 5 2" xfId="4208" xr:uid="{A23D882A-90AE-4A45-AF82-1161667287CC}"/>
    <cellStyle name="SAPBEXHLevel0 6" xfId="3332" xr:uid="{F3F976E6-7CF9-44FB-8D7E-4ADF0B963DA8}"/>
    <cellStyle name="SAPBEXHLevel0X" xfId="93" xr:uid="{00000000-0005-0000-0000-000047030000}"/>
    <cellStyle name="SAPBEXHLevel0X 2" xfId="934" xr:uid="{813EE4E2-02AD-4BA4-B4E0-FB3EBA2FA67B}"/>
    <cellStyle name="SAPBEXHLevel0X 2 2" xfId="3224" xr:uid="{8F8CCF87-FF13-4FCF-8670-1B867124CC4C}"/>
    <cellStyle name="SAPBEXHLevel0X 2 2 2" xfId="5598" xr:uid="{93707180-4E41-4695-86AA-9258B552ACEA}"/>
    <cellStyle name="SAPBEXHLevel0X 2 3" xfId="3219" xr:uid="{D8C54BDF-2670-4CE5-B37F-B38527CA0278}"/>
    <cellStyle name="SAPBEXHLevel0X 2 3 2" xfId="5593" xr:uid="{41B27FAC-2F4B-454D-9C00-FDFE2E2788FB}"/>
    <cellStyle name="SAPBEXHLevel0X 2 4" xfId="1677" xr:uid="{32B63010-329F-4D76-8A7F-9FD229022CDF}"/>
    <cellStyle name="SAPBEXHLevel0X 2 4 2" xfId="4213" xr:uid="{3A448438-42D0-413C-AAA4-3538A5A2A881}"/>
    <cellStyle name="SAPBEXHLevel0X 2 5" xfId="3832" xr:uid="{59FDBCFC-53B4-4141-BECF-756F00B25457}"/>
    <cellStyle name="SAPBEXHLevel0X 3" xfId="3199" xr:uid="{EEAFB0A1-DEB3-4A98-875C-62B4CB6B81A9}"/>
    <cellStyle name="SAPBEXHLevel0X 3 2" xfId="5573" xr:uid="{2F620243-F1BE-4A4B-A50C-BAC29950D417}"/>
    <cellStyle name="SAPBEXHLevel0X 4" xfId="3193" xr:uid="{DCBA5B0E-57AA-4F1F-944D-44CB4BBA7ECC}"/>
    <cellStyle name="SAPBEXHLevel0X 4 2" xfId="5567" xr:uid="{FD762F34-C532-4821-AF39-F44AD444FB20}"/>
    <cellStyle name="SAPBEXHLevel0X 5" xfId="1676" xr:uid="{2B51D8E9-D1A4-403B-B2D6-36E138A0549F}"/>
    <cellStyle name="SAPBEXHLevel0X 5 2" xfId="4212" xr:uid="{B2398A4B-4FBD-4021-B9DF-43FE3BE8297B}"/>
    <cellStyle name="SAPBEXHLevel0X 6" xfId="3333" xr:uid="{3CA242C7-29FF-43C4-93C8-8237320BEBB9}"/>
    <cellStyle name="SAPBEXHLevel1" xfId="94" xr:uid="{00000000-0005-0000-0000-000048030000}"/>
    <cellStyle name="SAPBEXHLevel1 2" xfId="935" xr:uid="{1E5748E1-CCDE-447F-A92D-3D37BD09F332}"/>
    <cellStyle name="SAPBEXHLevel1 2 2" xfId="1680" xr:uid="{C106B658-C5B2-4B1E-B2C3-D9120C3D9AC1}"/>
    <cellStyle name="SAPBEXHLevel1 2 2 2" xfId="3188" xr:uid="{A8E64A5C-F606-4A78-8DF1-F7A3EC7F9343}"/>
    <cellStyle name="SAPBEXHLevel1 2 2 2 2" xfId="5562" xr:uid="{C05670E2-8557-4329-A35F-B2CB9C8977B3}"/>
    <cellStyle name="SAPBEXHLevel1 2 2 3" xfId="3216" xr:uid="{D96BDD4F-CBA9-41F6-AFCD-C9E5F4E88061}"/>
    <cellStyle name="SAPBEXHLevel1 2 2 3 2" xfId="5590" xr:uid="{4B98FEE1-E63E-42DE-A728-A17C2392D67A}"/>
    <cellStyle name="SAPBEXHLevel1 2 2 4" xfId="4216" xr:uid="{C503C903-EF2D-4CE5-8CF0-60915A1849C1}"/>
    <cellStyle name="SAPBEXHLevel1 2 3" xfId="1681" xr:uid="{81F47840-BE41-487F-8D39-AC08035EE070}"/>
    <cellStyle name="SAPBEXHLevel1 2 3 2" xfId="3061" xr:uid="{DC77A17B-E078-43F2-8B44-84E2BEF2B92B}"/>
    <cellStyle name="SAPBEXHLevel1 2 3 2 2" xfId="5435" xr:uid="{847C2E62-C60A-41D5-A260-087FD74DB7A6}"/>
    <cellStyle name="SAPBEXHLevel1 2 3 3" xfId="3179" xr:uid="{1B4A4CE9-03F6-48EE-8A89-03514D11A30B}"/>
    <cellStyle name="SAPBEXHLevel1 2 3 3 2" xfId="5553" xr:uid="{FAFFB840-C00D-40FE-8EAB-3713BF2DAB3E}"/>
    <cellStyle name="SAPBEXHLevel1 2 3 4" xfId="4217" xr:uid="{D0219CC4-9FFA-41D3-8883-6E6FD828D63E}"/>
    <cellStyle name="SAPBEXHLevel1 2 4" xfId="3226" xr:uid="{8ABAB0FD-D553-443E-A739-3BCA558E441E}"/>
    <cellStyle name="SAPBEXHLevel1 2 4 2" xfId="5600" xr:uid="{85407F7F-98BC-40E0-8AC7-AF5B0FB7678A}"/>
    <cellStyle name="SAPBEXHLevel1 2 5" xfId="3072" xr:uid="{6A09DDA2-6E4D-409D-962E-F08B34156114}"/>
    <cellStyle name="SAPBEXHLevel1 2 5 2" xfId="5446" xr:uid="{F44605D7-3459-4E22-A41F-008BA6B8B497}"/>
    <cellStyle name="SAPBEXHLevel1 2 6" xfId="1679" xr:uid="{B67C742D-F57F-428E-985D-E5EAFEE208DC}"/>
    <cellStyle name="SAPBEXHLevel1 2 6 2" xfId="4215" xr:uid="{828776C1-509B-4ABE-8BED-4F6EBF21ED2B}"/>
    <cellStyle name="SAPBEXHLevel1 2 7" xfId="3833" xr:uid="{B103F903-BAE2-4AE8-8E68-8E73ED73E25F}"/>
    <cellStyle name="SAPBEXHLevel1 3" xfId="3281" xr:uid="{BA804709-4A62-4CB3-BA1A-E9A6DDE4BCBF}"/>
    <cellStyle name="SAPBEXHLevel1 3 2" xfId="5655" xr:uid="{91C5EA0F-4F11-4D36-B0E1-B0B387E9720B}"/>
    <cellStyle name="SAPBEXHLevel1 4" xfId="3242" xr:uid="{F31E819A-0659-483B-8D96-6110D3190870}"/>
    <cellStyle name="SAPBEXHLevel1 4 2" xfId="5616" xr:uid="{2907E35E-5ECF-44ED-B12D-F1703BC9ECB3}"/>
    <cellStyle name="SAPBEXHLevel1 5" xfId="1678" xr:uid="{62258D7D-8031-45D0-90DB-1C1F40C782D3}"/>
    <cellStyle name="SAPBEXHLevel1 5 2" xfId="4214" xr:uid="{2F4A9481-9E6A-4F97-B4F3-B169FE04D6AA}"/>
    <cellStyle name="SAPBEXHLevel1 6" xfId="3334" xr:uid="{F2DE6417-491D-41F8-8ED7-F4751EAE75B6}"/>
    <cellStyle name="SAPBEXHLevel1X" xfId="95" xr:uid="{00000000-0005-0000-0000-000049030000}"/>
    <cellStyle name="SAPBEXHLevel1X 2" xfId="936" xr:uid="{4198AE00-CB9B-4A91-9629-87766F783E40}"/>
    <cellStyle name="SAPBEXHLevel1X 2 2" xfId="3132" xr:uid="{F6549A4C-F75A-40FC-A0C6-95A2F56842B1}"/>
    <cellStyle name="SAPBEXHLevel1X 2 2 2" xfId="5506" xr:uid="{DBBAAEF4-E339-4A4D-B28A-9A21B98FBBE6}"/>
    <cellStyle name="SAPBEXHLevel1X 2 3" xfId="3102" xr:uid="{D401DEA8-3682-4F5A-9E5C-43DD484DBCA8}"/>
    <cellStyle name="SAPBEXHLevel1X 2 3 2" xfId="5476" xr:uid="{72EDAC8F-2CC7-405D-99EB-8802383E58E4}"/>
    <cellStyle name="SAPBEXHLevel1X 2 4" xfId="1683" xr:uid="{EB5E3A6F-DCF9-4D74-81D2-AB8762A7BC6A}"/>
    <cellStyle name="SAPBEXHLevel1X 2 4 2" xfId="4219" xr:uid="{EDDE5062-6C15-42B9-B5CE-E96F8A9505E0}"/>
    <cellStyle name="SAPBEXHLevel1X 2 5" xfId="3834" xr:uid="{294E6A77-0425-410C-9907-794F42C9D273}"/>
    <cellStyle name="SAPBEXHLevel1X 3" xfId="3085" xr:uid="{F2A2836D-3FDF-4231-8FF4-02AB8ECB1EBB}"/>
    <cellStyle name="SAPBEXHLevel1X 3 2" xfId="5459" xr:uid="{11497F1E-4B8C-4C24-8875-966C5931BC66}"/>
    <cellStyle name="SAPBEXHLevel1X 4" xfId="3264" xr:uid="{63D45063-636F-489B-8378-B22C4F0AD139}"/>
    <cellStyle name="SAPBEXHLevel1X 4 2" xfId="5638" xr:uid="{A795B233-653E-4C8E-97E1-17B9B016D817}"/>
    <cellStyle name="SAPBEXHLevel1X 5" xfId="1682" xr:uid="{7AA82E9D-E1D7-4196-894E-EC1CD17581F1}"/>
    <cellStyle name="SAPBEXHLevel1X 5 2" xfId="4218" xr:uid="{BEE03B4C-2FC9-42A2-BBFE-5AC636401789}"/>
    <cellStyle name="SAPBEXHLevel1X 6" xfId="3335" xr:uid="{31D5C3FD-8E9E-4C29-BAAE-3A20BBE22289}"/>
    <cellStyle name="SAPBEXHLevel2" xfId="96" xr:uid="{00000000-0005-0000-0000-00004A030000}"/>
    <cellStyle name="SAPBEXHLevel2 2" xfId="937" xr:uid="{112184E3-3731-4B01-B8BE-C6F1F802D2B8}"/>
    <cellStyle name="SAPBEXHLevel2 2 2" xfId="1686" xr:uid="{714145B0-5052-4C76-BFCA-3BD9D4B8FFBF}"/>
    <cellStyle name="SAPBEXHLevel2 2 2 2" xfId="3189" xr:uid="{EE676274-4697-4607-9CAF-9A1815999F54}"/>
    <cellStyle name="SAPBEXHLevel2 2 2 2 2" xfId="5563" xr:uid="{E88E69B4-FF6E-41D8-B889-A040036B4841}"/>
    <cellStyle name="SAPBEXHLevel2 2 2 3" xfId="3266" xr:uid="{3EF86291-25F5-4611-B950-C58FB3E48C6B}"/>
    <cellStyle name="SAPBEXHLevel2 2 2 3 2" xfId="5640" xr:uid="{B2316DDC-4572-4D63-A615-7C32308608E1}"/>
    <cellStyle name="SAPBEXHLevel2 2 2 4" xfId="4222" xr:uid="{5E128F58-B43F-405F-AF9B-25445ADE457F}"/>
    <cellStyle name="SAPBEXHLevel2 2 3" xfId="1687" xr:uid="{F3A6212E-BBDC-41EB-AE04-C8C0D8FB7DD3}"/>
    <cellStyle name="SAPBEXHLevel2 2 3 2" xfId="3152" xr:uid="{7BC8A612-3A88-44FD-BD08-93C1BB2DEDD8}"/>
    <cellStyle name="SAPBEXHLevel2 2 3 2 2" xfId="5526" xr:uid="{CC58880A-7E69-4CE8-B8DF-ECA3DD796FF0}"/>
    <cellStyle name="SAPBEXHLevel2 2 3 3" xfId="3077" xr:uid="{1C8FA20C-B05D-4A71-9B83-0926A2EB85AF}"/>
    <cellStyle name="SAPBEXHLevel2 2 3 3 2" xfId="5451" xr:uid="{26D2DD2A-35B5-426D-A957-E3D7B259203A}"/>
    <cellStyle name="SAPBEXHLevel2 2 3 4" xfId="4223" xr:uid="{3520AE4C-F75E-4B47-8A17-AEAE975D1F34}"/>
    <cellStyle name="SAPBEXHLevel2 2 4" xfId="3094" xr:uid="{2187196E-C82C-47D1-84EA-3DF46AABC06A}"/>
    <cellStyle name="SAPBEXHLevel2 2 4 2" xfId="5468" xr:uid="{9CA45251-E5ED-47E0-923A-EFAFF46F275D}"/>
    <cellStyle name="SAPBEXHLevel2 2 5" xfId="3197" xr:uid="{12B87643-93D9-4BF2-8E1C-D6B4D2EAD30F}"/>
    <cellStyle name="SAPBEXHLevel2 2 5 2" xfId="5571" xr:uid="{DD81B9A2-E5BB-4969-B408-3F39E5E837D3}"/>
    <cellStyle name="SAPBEXHLevel2 2 6" xfId="1685" xr:uid="{2D80E795-DAC9-46F1-B95C-C10036BC1501}"/>
    <cellStyle name="SAPBEXHLevel2 2 6 2" xfId="4221" xr:uid="{864D8988-4A80-4744-925F-84A66B7DB089}"/>
    <cellStyle name="SAPBEXHLevel2 2 7" xfId="3835" xr:uid="{B1D10EC1-6262-4B66-BCF4-60A8275FB038}"/>
    <cellStyle name="SAPBEXHLevel2 3" xfId="3258" xr:uid="{CD214021-66A2-4D77-9F80-FA952FB153DD}"/>
    <cellStyle name="SAPBEXHLevel2 3 2" xfId="5632" xr:uid="{D7C5CDA5-0410-4CFC-813C-D37681F2C024}"/>
    <cellStyle name="SAPBEXHLevel2 4" xfId="3214" xr:uid="{4461AEE9-A85A-443E-BE2A-40891D7BE9F5}"/>
    <cellStyle name="SAPBEXHLevel2 4 2" xfId="5588" xr:uid="{B9348CC0-2B83-4E8D-9CBF-6FA39A089771}"/>
    <cellStyle name="SAPBEXHLevel2 5" xfId="1684" xr:uid="{2D1B3528-73AD-4F5B-98F1-AAD6A1F325EB}"/>
    <cellStyle name="SAPBEXHLevel2 5 2" xfId="4220" xr:uid="{7C4C8ED6-4497-4B77-A1DB-F86071B08271}"/>
    <cellStyle name="SAPBEXHLevel2 6" xfId="3336" xr:uid="{5A6C6A95-81A8-4D56-BF1B-C1457391BA84}"/>
    <cellStyle name="SAPBEXHLevel2X" xfId="97" xr:uid="{00000000-0005-0000-0000-00004B030000}"/>
    <cellStyle name="SAPBEXHLevel2X 2" xfId="938" xr:uid="{A67F28C8-8B88-4CF6-963E-478BFA3751FA}"/>
    <cellStyle name="SAPBEXHLevel2X 2 2" xfId="3231" xr:uid="{C1CA2D7D-33F5-4B52-B31C-3511AAFC3784}"/>
    <cellStyle name="SAPBEXHLevel2X 2 2 2" xfId="5605" xr:uid="{21CD9EE5-8364-4A53-B3F3-D89BF0D4E24F}"/>
    <cellStyle name="SAPBEXHLevel2X 2 3" xfId="3161" xr:uid="{47EB5110-FB10-4FB0-B4FB-DAD9B141F86B}"/>
    <cellStyle name="SAPBEXHLevel2X 2 3 2" xfId="5535" xr:uid="{1A1DDD78-426F-4A66-8A86-6CAA53908265}"/>
    <cellStyle name="SAPBEXHLevel2X 2 4" xfId="1689" xr:uid="{BDAA82C9-BCFF-408F-9D6B-51E125A3265C}"/>
    <cellStyle name="SAPBEXHLevel2X 2 4 2" xfId="4225" xr:uid="{3EEE0C88-04D1-48C2-AB70-9A4DBE2B576F}"/>
    <cellStyle name="SAPBEXHLevel2X 2 5" xfId="3836" xr:uid="{536E0248-1CD0-4C82-AA71-79C9F5BC9524}"/>
    <cellStyle name="SAPBEXHLevel2X 3" xfId="3139" xr:uid="{BBF79FAF-D7FA-4F3D-AFB8-A253EAB0BBEE}"/>
    <cellStyle name="SAPBEXHLevel2X 3 2" xfId="5513" xr:uid="{7AE0BC09-4275-42CE-9A2C-69CB9FF055DC}"/>
    <cellStyle name="SAPBEXHLevel2X 4" xfId="3167" xr:uid="{85558F91-DA11-4406-A70E-BFF59C320976}"/>
    <cellStyle name="SAPBEXHLevel2X 4 2" xfId="5541" xr:uid="{3903588A-50A4-4DF7-8BD5-D0E427AFC13A}"/>
    <cellStyle name="SAPBEXHLevel2X 5" xfId="1688" xr:uid="{F72307C4-13D2-4B84-8999-A0614543A787}"/>
    <cellStyle name="SAPBEXHLevel2X 5 2" xfId="4224" xr:uid="{10A0FB65-B1F9-4E42-B07C-D2DFFAF910F3}"/>
    <cellStyle name="SAPBEXHLevel2X 6" xfId="3337" xr:uid="{E399A763-B999-45DC-B044-7BA0F070C7AE}"/>
    <cellStyle name="SAPBEXHLevel3" xfId="98" xr:uid="{00000000-0005-0000-0000-00004C030000}"/>
    <cellStyle name="SAPBEXHLevel3 2" xfId="939" xr:uid="{7777D467-0747-40AA-9F66-1D866D47CBF4}"/>
    <cellStyle name="SAPBEXHLevel3 2 2" xfId="1692" xr:uid="{C5AB1ED3-EB95-4D64-A7BF-F3FA712E0883}"/>
    <cellStyle name="SAPBEXHLevel3 2 2 2" xfId="3053" xr:uid="{0A628118-39AB-46FC-B219-0D99E3BC4D1B}"/>
    <cellStyle name="SAPBEXHLevel3 2 2 2 2" xfId="5427" xr:uid="{93879C2C-F563-468A-8A9C-BC3E5484DED3}"/>
    <cellStyle name="SAPBEXHLevel3 2 2 3" xfId="3090" xr:uid="{7835B5FF-CBBC-471F-841D-A7E421953FC2}"/>
    <cellStyle name="SAPBEXHLevel3 2 2 3 2" xfId="5464" xr:uid="{851E7CB1-8D52-4AA5-8A2D-83DE5397B6D0}"/>
    <cellStyle name="SAPBEXHLevel3 2 2 4" xfId="4228" xr:uid="{73056ECB-676D-4AEB-A9AE-35D66F75E7DA}"/>
    <cellStyle name="SAPBEXHLevel3 2 3" xfId="1693" xr:uid="{EEC42B18-8434-4A9C-8573-47B77FB10DB1}"/>
    <cellStyle name="SAPBEXHLevel3 2 3 2" xfId="3147" xr:uid="{79AA4573-92F1-4125-AA13-F58437461D4A}"/>
    <cellStyle name="SAPBEXHLevel3 2 3 2 2" xfId="5521" xr:uid="{D22F378C-6803-49C8-A65C-8C589D64BDB1}"/>
    <cellStyle name="SAPBEXHLevel3 2 3 3" xfId="3215" xr:uid="{20608DAD-DC2E-468B-8444-938DDE98C1C1}"/>
    <cellStyle name="SAPBEXHLevel3 2 3 3 2" xfId="5589" xr:uid="{4182BC22-81C1-4912-86D0-C9AB0990D2E6}"/>
    <cellStyle name="SAPBEXHLevel3 2 3 4" xfId="4229" xr:uid="{9BE93428-DA7B-44DA-8326-9D51E208A732}"/>
    <cellStyle name="SAPBEXHLevel3 2 4" xfId="3238" xr:uid="{F81D12E0-72B9-4A7C-A99E-4C90C4A6772A}"/>
    <cellStyle name="SAPBEXHLevel3 2 4 2" xfId="5612" xr:uid="{42A12FBD-EA5F-4104-8BCB-C9494ADE8ED5}"/>
    <cellStyle name="SAPBEXHLevel3 2 5" xfId="3248" xr:uid="{C7E5924D-95F4-4D23-B446-41703BF07A32}"/>
    <cellStyle name="SAPBEXHLevel3 2 5 2" xfId="5622" xr:uid="{51442A61-18FB-4A3E-AAE5-57BEA19ADC2E}"/>
    <cellStyle name="SAPBEXHLevel3 2 6" xfId="1691" xr:uid="{38D6B4A2-C277-49D6-A7DD-DF7D6215FF46}"/>
    <cellStyle name="SAPBEXHLevel3 2 6 2" xfId="4227" xr:uid="{7F763750-FAE2-4BBA-BD0C-A2E9785C09D9}"/>
    <cellStyle name="SAPBEXHLevel3 2 7" xfId="3837" xr:uid="{07C7C0F2-0DEE-4008-A72F-A12B43223F81}"/>
    <cellStyle name="SAPBEXHLevel3 3" xfId="3050" xr:uid="{194FD71D-4B6A-45DD-B082-5E5267BCB116}"/>
    <cellStyle name="SAPBEXHLevel3 3 2" xfId="5424" xr:uid="{8CA14961-AB86-4EF5-BCA4-2D0AC3043194}"/>
    <cellStyle name="SAPBEXHLevel3 4" xfId="3252" xr:uid="{3002B438-73DC-41D3-ABBB-FA217E67C2B0}"/>
    <cellStyle name="SAPBEXHLevel3 4 2" xfId="5626" xr:uid="{12BFA2FC-A92D-4A71-9E1D-57BAC462DB0A}"/>
    <cellStyle name="SAPBEXHLevel3 5" xfId="1690" xr:uid="{8B81F412-77FC-4173-9B40-8D37A3A8E7E9}"/>
    <cellStyle name="SAPBEXHLevel3 5 2" xfId="4226" xr:uid="{EF6B7FAF-9FF3-4BD9-A1CD-D459ADE22901}"/>
    <cellStyle name="SAPBEXHLevel3 6" xfId="3338" xr:uid="{3F68943A-8C04-43FC-82FE-EBBB74874617}"/>
    <cellStyle name="SAPBEXHLevel3X" xfId="99" xr:uid="{00000000-0005-0000-0000-00004D030000}"/>
    <cellStyle name="SAPBEXHLevel3X 2" xfId="940" xr:uid="{16EE4387-87B1-4194-BBF1-16E8DA5257CE}"/>
    <cellStyle name="SAPBEXHLevel3X 2 2" xfId="3137" xr:uid="{062B4B9E-5E32-4305-9261-4C98C71F730F}"/>
    <cellStyle name="SAPBEXHLevel3X 2 2 2" xfId="5511" xr:uid="{36F4BC2A-99F3-4C12-B398-8794E5ED9AB8}"/>
    <cellStyle name="SAPBEXHLevel3X 2 3" xfId="3062" xr:uid="{B74864E9-5A7E-4129-9466-C1FC17D3F159}"/>
    <cellStyle name="SAPBEXHLevel3X 2 3 2" xfId="5436" xr:uid="{86D097EE-7D68-4033-8FD7-B81A03480E59}"/>
    <cellStyle name="SAPBEXHLevel3X 2 4" xfId="1695" xr:uid="{97CC3850-8912-44A7-AECC-9B7D5CBE139B}"/>
    <cellStyle name="SAPBEXHLevel3X 2 4 2" xfId="4231" xr:uid="{5D101530-DF46-4C6E-A20D-A34DB3159139}"/>
    <cellStyle name="SAPBEXHLevel3X 2 5" xfId="3838" xr:uid="{03033A44-CE05-43B4-8820-32A49FF15A53}"/>
    <cellStyle name="SAPBEXHLevel3X 3" xfId="3111" xr:uid="{0BA86707-23F3-4FF7-B9DD-0B363DA9B6C7}"/>
    <cellStyle name="SAPBEXHLevel3X 3 2" xfId="5485" xr:uid="{4021B919-FFF4-4F2C-A1F1-C027A61EC350}"/>
    <cellStyle name="SAPBEXHLevel3X 4" xfId="3150" xr:uid="{E96530CB-15B7-4064-A42B-A5CC62FB4C40}"/>
    <cellStyle name="SAPBEXHLevel3X 4 2" xfId="5524" xr:uid="{A691ACCD-A71D-4A43-B6D2-40725994FEBA}"/>
    <cellStyle name="SAPBEXHLevel3X 5" xfId="1694" xr:uid="{59CD1ED2-1588-4CDF-B9BC-DE2D6DB8967E}"/>
    <cellStyle name="SAPBEXHLevel3X 5 2" xfId="4230" xr:uid="{28BFA658-AD8E-4870-BF1C-9275F7F801FC}"/>
    <cellStyle name="SAPBEXHLevel3X 6" xfId="3339" xr:uid="{D86B91FE-C9AE-479B-BF00-715290AB56AA}"/>
    <cellStyle name="SAPBEXinputData" xfId="100" xr:uid="{00000000-0005-0000-0000-00004E030000}"/>
    <cellStyle name="SAPBEXinputData 10" xfId="2567" xr:uid="{AAF63542-08EA-4DE3-B8EC-4EEC7ECD119E}"/>
    <cellStyle name="SAPBEXinputData 10 2" xfId="5002" xr:uid="{40BBF454-2344-42D9-8BDD-C08AFCFE26F5}"/>
    <cellStyle name="SAPBEXinputData 11" xfId="1696" xr:uid="{1A579113-A5AE-4617-B77A-69AB844094E5}"/>
    <cellStyle name="SAPBEXinputData 11 2" xfId="4232" xr:uid="{3922B5AA-7000-45D0-A53E-C0274740EBF3}"/>
    <cellStyle name="SAPBEXinputData 2" xfId="941" xr:uid="{0148C0AB-2C94-485E-8FA3-50BFBF1A297C}"/>
    <cellStyle name="SAPBEXinputData 2 2" xfId="1697" xr:uid="{6FC52AA1-B276-4D4A-BF9A-EEE5C27D1103}"/>
    <cellStyle name="SAPBEXinputData 3" xfId="1698" xr:uid="{B1194430-3E4E-4135-917A-1C0AE77D20E6}"/>
    <cellStyle name="SAPBEXinputData 3 2" xfId="1699" xr:uid="{04F2F544-8439-4F37-8E79-33428810D98E}"/>
    <cellStyle name="SAPBEXinputData 3 2 2" xfId="1700" xr:uid="{7C25E428-B92B-49A9-BB73-C492C79F518F}"/>
    <cellStyle name="SAPBEXinputData 3 2 2 2" xfId="1701" xr:uid="{B8E33FD1-AF59-4792-BDB9-20A1EB58F4CF}"/>
    <cellStyle name="SAPBEXinputData 3 2 2 2 2" xfId="1702" xr:uid="{1F25D1F0-D7A5-4FB0-958E-0FF43633001C}"/>
    <cellStyle name="SAPBEXinputData 3 2 2 2 2 2" xfId="2099" xr:uid="{C0A9C0AD-64AE-4D49-A50B-4F2890F833E8}"/>
    <cellStyle name="SAPBEXinputData 3 2 2 2 2 2 2" xfId="2937" xr:uid="{B57229BB-9EF3-4DC3-A3B9-0DF9F263BF37}"/>
    <cellStyle name="SAPBEXinputData 3 2 2 2 2 2 2 2" xfId="5372" xr:uid="{DDCEC28C-1640-40A5-A37C-36B58BBAE962}"/>
    <cellStyle name="SAPBEXinputData 3 2 2 2 2 2 3" xfId="4616" xr:uid="{C0CAE623-7AB2-4916-8DAE-6397F20999A4}"/>
    <cellStyle name="SAPBEXinputData 3 2 2 2 2 3" xfId="2572" xr:uid="{DDF15937-116F-432B-9703-DA44E538CD8C}"/>
    <cellStyle name="SAPBEXinputData 3 2 2 2 2 3 2" xfId="5007" xr:uid="{FD562959-C2F8-40A4-A6F8-1C87B4175A9E}"/>
    <cellStyle name="SAPBEXinputData 3 2 2 2 2 4" xfId="4237" xr:uid="{277F3E23-D12E-4FA7-9EA7-9A0C20DD5BE4}"/>
    <cellStyle name="SAPBEXinputData 3 2 2 2 3" xfId="1929" xr:uid="{49B078E0-2BC9-4B68-AA2D-1BF2B55605CA}"/>
    <cellStyle name="SAPBEXinputData 3 2 2 2 3 2" xfId="2767" xr:uid="{96195523-41E3-4534-8D1C-3B8A9D18A796}"/>
    <cellStyle name="SAPBEXinputData 3 2 2 2 3 2 2" xfId="5202" xr:uid="{45D6AB71-934F-441F-8E21-3CC6BC25ECD9}"/>
    <cellStyle name="SAPBEXinputData 3 2 2 2 3 3" xfId="4446" xr:uid="{5014F3C8-4235-4236-88C1-5BCE6198C13E}"/>
    <cellStyle name="SAPBEXinputData 3 2 2 2 4" xfId="2571" xr:uid="{4F49B3A6-CE7E-4BB1-84C6-F1422AD08AD9}"/>
    <cellStyle name="SAPBEXinputData 3 2 2 2 4 2" xfId="5006" xr:uid="{6A8EBEBB-3E4D-46EB-A061-C8E5F2EB75AC}"/>
    <cellStyle name="SAPBEXinputData 3 2 2 2 5" xfId="4236" xr:uid="{4BBABC54-B07C-4B9F-8B98-4AD95E165BAD}"/>
    <cellStyle name="SAPBEXinputData 3 2 2 3" xfId="1703" xr:uid="{17893D3B-CD40-4749-9F28-188A502AA394}"/>
    <cellStyle name="SAPBEXinputData 3 2 2 3 2" xfId="1704" xr:uid="{0FD30FC4-EE41-4FE7-A1C9-B17D013D38B6}"/>
    <cellStyle name="SAPBEXinputData 3 2 2 3 2 2" xfId="2100" xr:uid="{19D45336-758F-4709-9259-396471067A13}"/>
    <cellStyle name="SAPBEXinputData 3 2 2 3 2 2 2" xfId="2938" xr:uid="{73118DEC-DD9F-439B-8A5D-807838BF9A74}"/>
    <cellStyle name="SAPBEXinputData 3 2 2 3 2 2 2 2" xfId="5373" xr:uid="{B0404280-37D3-4F23-B2C8-04BE2818D5B4}"/>
    <cellStyle name="SAPBEXinputData 3 2 2 3 2 2 3" xfId="4617" xr:uid="{A6BEF6DC-749A-4D71-9186-5B9BB8BBEB2C}"/>
    <cellStyle name="SAPBEXinputData 3 2 2 3 2 3" xfId="2574" xr:uid="{E089D064-D85F-48D3-AD62-2DDD538D7EAD}"/>
    <cellStyle name="SAPBEXinputData 3 2 2 3 2 3 2" xfId="5009" xr:uid="{30EF3464-27AF-4BC0-8AB0-298504C27121}"/>
    <cellStyle name="SAPBEXinputData 3 2 2 3 2 4" xfId="4239" xr:uid="{1CD1E717-D5C2-475C-9548-355A0DA68F52}"/>
    <cellStyle name="SAPBEXinputData 3 2 2 3 3" xfId="1930" xr:uid="{E589F60E-E408-40EF-9D5D-2D815D389A79}"/>
    <cellStyle name="SAPBEXinputData 3 2 2 3 3 2" xfId="2768" xr:uid="{71A7BD67-A496-4D25-8D8F-8DD2DE6537D9}"/>
    <cellStyle name="SAPBEXinputData 3 2 2 3 3 2 2" xfId="5203" xr:uid="{CAF18B6C-772A-4814-9127-09308595FD0E}"/>
    <cellStyle name="SAPBEXinputData 3 2 2 3 3 3" xfId="4447" xr:uid="{E289F265-8249-4A53-B1FB-91725068B0C3}"/>
    <cellStyle name="SAPBEXinputData 3 2 2 3 4" xfId="2573" xr:uid="{EA3EEF08-16BD-4672-8273-2462D1EC20A8}"/>
    <cellStyle name="SAPBEXinputData 3 2 2 3 4 2" xfId="5008" xr:uid="{835FEAB2-C8CD-487A-9EBE-5432BA231791}"/>
    <cellStyle name="SAPBEXinputData 3 2 2 3 5" xfId="4238" xr:uid="{5FF0F830-6FBE-4442-B60D-B8B18299EFF3}"/>
    <cellStyle name="SAPBEXinputData 3 2 2 4" xfId="1705" xr:uid="{668D6E70-9F13-464B-BE69-869AF50516A9}"/>
    <cellStyle name="SAPBEXinputData 3 2 2 4 2" xfId="2098" xr:uid="{2CD84618-8D71-48BC-A158-0F8F6B36432E}"/>
    <cellStyle name="SAPBEXinputData 3 2 2 4 2 2" xfId="2936" xr:uid="{463E53C9-C3F2-4D75-B829-A1C263A4E096}"/>
    <cellStyle name="SAPBEXinputData 3 2 2 4 2 2 2" xfId="5371" xr:uid="{3BBED34C-48DD-419B-8884-33839BCE7F34}"/>
    <cellStyle name="SAPBEXinputData 3 2 2 4 2 3" xfId="4615" xr:uid="{C2D32AE8-8BDB-405E-9E58-6301724E09AC}"/>
    <cellStyle name="SAPBEXinputData 3 2 2 4 3" xfId="2575" xr:uid="{99635248-C55F-4E76-A7E0-4B72064230DB}"/>
    <cellStyle name="SAPBEXinputData 3 2 2 4 3 2" xfId="5010" xr:uid="{92230EFB-8ED3-4940-8F2F-C6BFE3AEB6E7}"/>
    <cellStyle name="SAPBEXinputData 3 2 2 4 4" xfId="4240" xr:uid="{F0E69322-ABA2-48BE-BBBA-2ABF2F5AE142}"/>
    <cellStyle name="SAPBEXinputData 3 2 2 5" xfId="1928" xr:uid="{09E99A3D-B8EA-4B58-B0AC-44996109097B}"/>
    <cellStyle name="SAPBEXinputData 3 2 2 5 2" xfId="2766" xr:uid="{47821799-FA36-45BE-AC38-9F0F527D012D}"/>
    <cellStyle name="SAPBEXinputData 3 2 2 5 2 2" xfId="5201" xr:uid="{95B6E774-D7BC-450E-8FD1-C8AE0BCBCAA4}"/>
    <cellStyle name="SAPBEXinputData 3 2 2 5 3" xfId="4445" xr:uid="{5AACCB15-39F8-46E0-A61A-3C698746D268}"/>
    <cellStyle name="SAPBEXinputData 3 2 2 6" xfId="2570" xr:uid="{0A2A4471-46F4-443C-B9E9-695CB7C0620E}"/>
    <cellStyle name="SAPBEXinputData 3 2 2 6 2" xfId="5005" xr:uid="{0A3FE3F9-1DA1-444F-AF10-E57F35D4718A}"/>
    <cellStyle name="SAPBEXinputData 3 2 2 7" xfId="4235" xr:uid="{DAEE97A7-95D4-4661-83C9-BCEA2E4E18A2}"/>
    <cellStyle name="SAPBEXinputData 3 2 3" xfId="1706" xr:uid="{78A5B5CD-52E1-48F1-A1F2-E339A4C07EA4}"/>
    <cellStyle name="SAPBEXinputData 3 2 3 2" xfId="1707" xr:uid="{18A44AE7-20EA-4235-AFCC-EF3746BB92F0}"/>
    <cellStyle name="SAPBEXinputData 3 2 3 2 2" xfId="2101" xr:uid="{CD497E80-4461-4D4D-BD1B-E634A0767D37}"/>
    <cellStyle name="SAPBEXinputData 3 2 3 2 2 2" xfId="2939" xr:uid="{788B0D04-3541-4D0F-BC33-942821D4A027}"/>
    <cellStyle name="SAPBEXinputData 3 2 3 2 2 2 2" xfId="5374" xr:uid="{8F5ED226-3E97-4137-8AEC-9EE5760573A8}"/>
    <cellStyle name="SAPBEXinputData 3 2 3 2 2 3" xfId="4618" xr:uid="{742A945F-3681-44AB-9E0B-358790743963}"/>
    <cellStyle name="SAPBEXinputData 3 2 3 2 3" xfId="2577" xr:uid="{FCC10257-E003-4A50-8083-40E0B47C3C8C}"/>
    <cellStyle name="SAPBEXinputData 3 2 3 2 3 2" xfId="5012" xr:uid="{BC2FE3D1-8385-481A-86DC-2E9E101B3B26}"/>
    <cellStyle name="SAPBEXinputData 3 2 3 2 4" xfId="4242" xr:uid="{66CB0AE3-05C5-4A4B-9BF1-072609AE29FA}"/>
    <cellStyle name="SAPBEXinputData 3 2 3 3" xfId="1931" xr:uid="{39C9F305-08C7-4C07-830C-59EBC22A23AC}"/>
    <cellStyle name="SAPBEXinputData 3 2 3 3 2" xfId="2769" xr:uid="{77B45266-43A8-46A3-910E-3DA7B6CA3299}"/>
    <cellStyle name="SAPBEXinputData 3 2 3 3 2 2" xfId="5204" xr:uid="{35E3867F-BA9E-434E-8528-6F003398E209}"/>
    <cellStyle name="SAPBEXinputData 3 2 3 3 3" xfId="4448" xr:uid="{0525F4D4-60FE-4C76-BBD1-69E662231B57}"/>
    <cellStyle name="SAPBEXinputData 3 2 3 4" xfId="2576" xr:uid="{810C84F1-F424-46AE-ACB8-B5F0DEE1CADC}"/>
    <cellStyle name="SAPBEXinputData 3 2 3 4 2" xfId="5011" xr:uid="{B71B0A76-4AFF-4CCC-90C2-63CA134DE916}"/>
    <cellStyle name="SAPBEXinputData 3 2 3 5" xfId="4241" xr:uid="{18BD5A5F-9317-4F6A-8890-94E0F1611864}"/>
    <cellStyle name="SAPBEXinputData 3 2 4" xfId="1708" xr:uid="{6AF6BF63-7BCB-462B-8232-7BDAE20AE0AF}"/>
    <cellStyle name="SAPBEXinputData 3 2 4 2" xfId="1709" xr:uid="{243A1E57-7656-4E30-BF9D-424C53E55B1E}"/>
    <cellStyle name="SAPBEXinputData 3 2 4 2 2" xfId="2102" xr:uid="{CF7D1051-7367-4054-BFB8-BB906A626636}"/>
    <cellStyle name="SAPBEXinputData 3 2 4 2 2 2" xfId="2940" xr:uid="{708A2E5D-F964-41B1-B67E-C7A128B34DB5}"/>
    <cellStyle name="SAPBEXinputData 3 2 4 2 2 2 2" xfId="5375" xr:uid="{9DE719EC-53A0-4FF9-B27A-FC3CE6AB3593}"/>
    <cellStyle name="SAPBEXinputData 3 2 4 2 2 3" xfId="4619" xr:uid="{67CC101B-8DD3-455B-A949-F67012BB6D15}"/>
    <cellStyle name="SAPBEXinputData 3 2 4 2 3" xfId="2579" xr:uid="{3BEF5AEF-669D-4116-B83F-8AA92404E331}"/>
    <cellStyle name="SAPBEXinputData 3 2 4 2 3 2" xfId="5014" xr:uid="{558987F3-8B21-49F3-9064-106349F1B068}"/>
    <cellStyle name="SAPBEXinputData 3 2 4 2 4" xfId="4244" xr:uid="{191D661A-AB83-4B3B-9DC8-E8B387D29018}"/>
    <cellStyle name="SAPBEXinputData 3 2 4 3" xfId="1932" xr:uid="{33DDD796-3835-4DA9-995F-E1B96575DB61}"/>
    <cellStyle name="SAPBEXinputData 3 2 4 3 2" xfId="2770" xr:uid="{B4F57D7E-B15A-4C22-9C6F-26301AD4503C}"/>
    <cellStyle name="SAPBEXinputData 3 2 4 3 2 2" xfId="5205" xr:uid="{B43F42DA-2899-49FB-A19A-FE100259EDDF}"/>
    <cellStyle name="SAPBEXinputData 3 2 4 3 3" xfId="4449" xr:uid="{3A5728AB-B5F2-4F8E-A106-41B36DA71F3F}"/>
    <cellStyle name="SAPBEXinputData 3 2 4 4" xfId="2578" xr:uid="{A8D59F88-9AB3-4A96-A2EF-D66360185B84}"/>
    <cellStyle name="SAPBEXinputData 3 2 4 4 2" xfId="5013" xr:uid="{29666E23-3035-4B57-A296-EDE2D0DCC1EC}"/>
    <cellStyle name="SAPBEXinputData 3 2 4 5" xfId="4243" xr:uid="{C30B0778-9A29-4E48-A94B-59491973F739}"/>
    <cellStyle name="SAPBEXinputData 3 2 5" xfId="1710" xr:uid="{7AA6126F-332E-40D7-8BA8-994F8E2EDC98}"/>
    <cellStyle name="SAPBEXinputData 3 2 5 2" xfId="2097" xr:uid="{1FF4BD47-D98D-4F6B-9612-765A2ABD413A}"/>
    <cellStyle name="SAPBEXinputData 3 2 5 2 2" xfId="2935" xr:uid="{7823D7AF-2470-4345-B628-926266C299D5}"/>
    <cellStyle name="SAPBEXinputData 3 2 5 2 2 2" xfId="5370" xr:uid="{49B6AD80-CA01-4D4B-BC28-325395101598}"/>
    <cellStyle name="SAPBEXinputData 3 2 5 2 3" xfId="4614" xr:uid="{F3D9255A-0898-4EC6-A276-F8542C3AA563}"/>
    <cellStyle name="SAPBEXinputData 3 2 5 3" xfId="2580" xr:uid="{EC90F5FD-D4F5-4F91-B837-532FAEECA4CB}"/>
    <cellStyle name="SAPBEXinputData 3 2 5 3 2" xfId="5015" xr:uid="{D7158EA9-BBFD-4ED0-9AB4-B331E64F3D29}"/>
    <cellStyle name="SAPBEXinputData 3 2 5 4" xfId="4245" xr:uid="{56424AA1-2A39-4898-BC17-920ECF0DE06F}"/>
    <cellStyle name="SAPBEXinputData 3 2 6" xfId="1927" xr:uid="{2DCAAEF4-3A18-4631-A305-AF391C47E61D}"/>
    <cellStyle name="SAPBEXinputData 3 2 6 2" xfId="2765" xr:uid="{0D56C213-040A-48FF-B6D8-A286984A10AA}"/>
    <cellStyle name="SAPBEXinputData 3 2 6 2 2" xfId="5200" xr:uid="{F22678BA-2B47-4A10-93CA-6F85AA44929F}"/>
    <cellStyle name="SAPBEXinputData 3 2 6 3" xfId="4444" xr:uid="{586B3576-219B-499E-951B-A1A9A16C7C4F}"/>
    <cellStyle name="SAPBEXinputData 3 2 7" xfId="2569" xr:uid="{3C9E0BEB-F2FC-4601-9BD9-9976393D77A1}"/>
    <cellStyle name="SAPBEXinputData 3 2 7 2" xfId="5004" xr:uid="{D324CAF6-7D73-4F48-A1C4-BBCC508D2A2D}"/>
    <cellStyle name="SAPBEXinputData 3 2 8" xfId="4234" xr:uid="{AD23C2D4-DF61-467D-A06F-47EA196AE0E1}"/>
    <cellStyle name="SAPBEXinputData 3 3" xfId="1711" xr:uid="{91996F28-14AE-4835-B37C-0E933BE052B5}"/>
    <cellStyle name="SAPBEXinputData 3 3 2" xfId="1712" xr:uid="{E267E28A-1EB7-41D0-A906-17C08C79854F}"/>
    <cellStyle name="SAPBEXinputData 3 3 2 2" xfId="1713" xr:uid="{CB9CDCEE-BDFF-43C6-BD48-83334761FFFD}"/>
    <cellStyle name="SAPBEXinputData 3 3 2 2 2" xfId="2104" xr:uid="{8DBF22E0-83E6-417B-8705-D819110FF003}"/>
    <cellStyle name="SAPBEXinputData 3 3 2 2 2 2" xfId="2942" xr:uid="{D23364FC-685F-4EC3-828A-EFB00BD9ADA1}"/>
    <cellStyle name="SAPBEXinputData 3 3 2 2 2 2 2" xfId="5377" xr:uid="{BAFA45DD-5923-496F-8CB3-5505177BB969}"/>
    <cellStyle name="SAPBEXinputData 3 3 2 2 2 3" xfId="4621" xr:uid="{F9D30D69-B85D-4EEA-B5B6-E0521D81FE57}"/>
    <cellStyle name="SAPBEXinputData 3 3 2 2 3" xfId="2583" xr:uid="{2FB5F220-EEFB-44FE-98CB-3131F12155B0}"/>
    <cellStyle name="SAPBEXinputData 3 3 2 2 3 2" xfId="5018" xr:uid="{8F5334EF-A364-4879-B512-91B9B4690F50}"/>
    <cellStyle name="SAPBEXinputData 3 3 2 2 4" xfId="4248" xr:uid="{6F812BE6-06CD-44F5-A1EF-6F5520AB757C}"/>
    <cellStyle name="SAPBEXinputData 3 3 2 3" xfId="1934" xr:uid="{1ECFBDC3-44E8-4C5D-A86F-CE39CFCF9D1D}"/>
    <cellStyle name="SAPBEXinputData 3 3 2 3 2" xfId="2772" xr:uid="{F5716692-C209-413B-B8E9-2B44814AF0FD}"/>
    <cellStyle name="SAPBEXinputData 3 3 2 3 2 2" xfId="5207" xr:uid="{22B9B60C-420A-405A-8012-1FF82D90E104}"/>
    <cellStyle name="SAPBEXinputData 3 3 2 3 3" xfId="4451" xr:uid="{B0DAC841-BDC1-4C39-B2C2-2E5B85234BB0}"/>
    <cellStyle name="SAPBEXinputData 3 3 2 4" xfId="2582" xr:uid="{6B97D162-B437-46BE-A40A-228959DE96BA}"/>
    <cellStyle name="SAPBEXinputData 3 3 2 4 2" xfId="5017" xr:uid="{B4EE16FA-5B18-466D-B74F-2E3A564D0EF9}"/>
    <cellStyle name="SAPBEXinputData 3 3 2 5" xfId="4247" xr:uid="{2C137BAA-D27D-40D8-A92B-3A1EF393B717}"/>
    <cellStyle name="SAPBEXinputData 3 3 3" xfId="1714" xr:uid="{2BF9BE9D-4FAB-43CB-855B-C7865BD38BE0}"/>
    <cellStyle name="SAPBEXinputData 3 3 3 2" xfId="1715" xr:uid="{3CAC144B-5D74-428C-82A0-0A24E95A957A}"/>
    <cellStyle name="SAPBEXinputData 3 3 3 2 2" xfId="2105" xr:uid="{8A637E50-982D-4125-B29C-70C494F4B933}"/>
    <cellStyle name="SAPBEXinputData 3 3 3 2 2 2" xfId="2943" xr:uid="{3367BC72-3A10-4B85-9BC7-4C5D793A9A3C}"/>
    <cellStyle name="SAPBEXinputData 3 3 3 2 2 2 2" xfId="5378" xr:uid="{65EDA595-DA97-4DE3-86AC-36228A0416EE}"/>
    <cellStyle name="SAPBEXinputData 3 3 3 2 2 3" xfId="4622" xr:uid="{37DEDC46-02C9-46FC-8A86-CA2F738FB79D}"/>
    <cellStyle name="SAPBEXinputData 3 3 3 2 3" xfId="2585" xr:uid="{79481D60-6783-4AB2-877E-B0985AE06EDC}"/>
    <cellStyle name="SAPBEXinputData 3 3 3 2 3 2" xfId="5020" xr:uid="{6D45E1CF-8888-43FB-8793-406AFBBE6D22}"/>
    <cellStyle name="SAPBEXinputData 3 3 3 2 4" xfId="4250" xr:uid="{B8195268-A1AA-41E2-8AFE-6CFD6772EB91}"/>
    <cellStyle name="SAPBEXinputData 3 3 3 3" xfId="1935" xr:uid="{27ADB23A-A418-4A14-AC22-A4E8A8C4F24C}"/>
    <cellStyle name="SAPBEXinputData 3 3 3 3 2" xfId="2773" xr:uid="{E22F1A86-4D5C-4D34-93B2-953F68ED9945}"/>
    <cellStyle name="SAPBEXinputData 3 3 3 3 2 2" xfId="5208" xr:uid="{990B18E2-238C-45FD-B92A-8E52D5DDC8F3}"/>
    <cellStyle name="SAPBEXinputData 3 3 3 3 3" xfId="4452" xr:uid="{9389F7A5-FD50-412C-A235-6D656FEF72FB}"/>
    <cellStyle name="SAPBEXinputData 3 3 3 4" xfId="2584" xr:uid="{A9A9F4E4-E5C1-4FFF-A799-76F15328A3F7}"/>
    <cellStyle name="SAPBEXinputData 3 3 3 4 2" xfId="5019" xr:uid="{0C85DBA7-7A19-487C-A403-E74C06D9434B}"/>
    <cellStyle name="SAPBEXinputData 3 3 3 5" xfId="4249" xr:uid="{B47C5001-576A-4B60-BAEF-3E57E7B83CE5}"/>
    <cellStyle name="SAPBEXinputData 3 3 4" xfId="1716" xr:uid="{4D408A54-B5ED-40E4-923A-D8467199F613}"/>
    <cellStyle name="SAPBEXinputData 3 3 4 2" xfId="2103" xr:uid="{8F93ED7B-ECC5-4FFB-AE7B-E7D4E848FF5A}"/>
    <cellStyle name="SAPBEXinputData 3 3 4 2 2" xfId="2941" xr:uid="{10465F02-F2E7-4FCE-86CD-FDFAB56EFA2E}"/>
    <cellStyle name="SAPBEXinputData 3 3 4 2 2 2" xfId="5376" xr:uid="{CD5AABA8-A491-4EB0-934B-6654CBAC758E}"/>
    <cellStyle name="SAPBEXinputData 3 3 4 2 3" xfId="4620" xr:uid="{33F07994-5014-4C5A-AF55-ABACB651182D}"/>
    <cellStyle name="SAPBEXinputData 3 3 4 3" xfId="2586" xr:uid="{0AB524D2-C6E2-435F-8C75-99AC390E6EEA}"/>
    <cellStyle name="SAPBEXinputData 3 3 4 3 2" xfId="5021" xr:uid="{C9119ED5-20D8-4A66-B065-2E8F5F87244B}"/>
    <cellStyle name="SAPBEXinputData 3 3 4 4" xfId="4251" xr:uid="{81C586F6-62E9-4A61-9A4B-E447EB4FDA90}"/>
    <cellStyle name="SAPBEXinputData 3 3 5" xfId="1933" xr:uid="{82E14327-FC2E-42F1-A990-3EA35D112C92}"/>
    <cellStyle name="SAPBEXinputData 3 3 5 2" xfId="2771" xr:uid="{5BF0BF84-C591-4C44-AB95-50AE4CE8BA6D}"/>
    <cellStyle name="SAPBEXinputData 3 3 5 2 2" xfId="5206" xr:uid="{298C2A0F-DEE3-4662-A741-6F00991DB950}"/>
    <cellStyle name="SAPBEXinputData 3 3 5 3" xfId="4450" xr:uid="{339EA93A-475F-4BBB-9C15-261CA323E7DA}"/>
    <cellStyle name="SAPBEXinputData 3 3 6" xfId="2581" xr:uid="{762A5257-34DD-4611-B4D5-CB2B981C6F48}"/>
    <cellStyle name="SAPBEXinputData 3 3 6 2" xfId="5016" xr:uid="{6CDF7C48-ED0B-4D6A-8EF2-9C357D48C6E9}"/>
    <cellStyle name="SAPBEXinputData 3 3 7" xfId="4246" xr:uid="{46C5EE81-3784-4312-9B2D-A78D3E92F8DB}"/>
    <cellStyle name="SAPBEXinputData 3 4" xfId="1717" xr:uid="{DED8D001-BFA1-4383-B8A0-E990A6A3E58C}"/>
    <cellStyle name="SAPBEXinputData 3 4 2" xfId="1718" xr:uid="{B93EAE69-F8E5-4083-ABD2-51DB61B3220F}"/>
    <cellStyle name="SAPBEXinputData 3 4 2 2" xfId="2106" xr:uid="{93862EDE-D185-48BB-869D-8D4D6E48F987}"/>
    <cellStyle name="SAPBEXinputData 3 4 2 2 2" xfId="2944" xr:uid="{09729F31-54AD-4830-B976-8EF6367B70A4}"/>
    <cellStyle name="SAPBEXinputData 3 4 2 2 2 2" xfId="5379" xr:uid="{85627A21-6D5A-440D-94FE-11CE132F4A12}"/>
    <cellStyle name="SAPBEXinputData 3 4 2 2 3" xfId="4623" xr:uid="{D2ED13E9-13E2-4399-82E9-9B1FCFBB7CFC}"/>
    <cellStyle name="SAPBEXinputData 3 4 2 3" xfId="2588" xr:uid="{E42E7BEE-5108-493C-9706-BBC294382E90}"/>
    <cellStyle name="SAPBEXinputData 3 4 2 3 2" xfId="5023" xr:uid="{AF21F321-9E16-41E0-968F-5CD90BEC3E8A}"/>
    <cellStyle name="SAPBEXinputData 3 4 2 4" xfId="4253" xr:uid="{A2A23581-F397-4E50-9529-40DC3DCA039D}"/>
    <cellStyle name="SAPBEXinputData 3 4 3" xfId="1936" xr:uid="{F1C7D784-5A72-41BB-8BE1-52DF61EE07FA}"/>
    <cellStyle name="SAPBEXinputData 3 4 3 2" xfId="2774" xr:uid="{701F95A4-0EDA-41F0-B6E2-8FBB9351C097}"/>
    <cellStyle name="SAPBEXinputData 3 4 3 2 2" xfId="5209" xr:uid="{AEE03905-7F0E-461B-B992-E0FBA6D101D8}"/>
    <cellStyle name="SAPBEXinputData 3 4 3 3" xfId="4453" xr:uid="{85C6664D-AA62-46B0-B731-F815F59D857E}"/>
    <cellStyle name="SAPBEXinputData 3 4 4" xfId="2587" xr:uid="{E56333AD-37C3-426D-8AB9-AD73E2B0DAE9}"/>
    <cellStyle name="SAPBEXinputData 3 4 4 2" xfId="5022" xr:uid="{8EB0932C-C033-4E2B-A753-803EC4876EDC}"/>
    <cellStyle name="SAPBEXinputData 3 4 5" xfId="4252" xr:uid="{26DDA670-9357-447E-9137-89B91F7E30E3}"/>
    <cellStyle name="SAPBEXinputData 3 5" xfId="1719" xr:uid="{16BFFB29-3A13-4DF1-BD21-094AE0AEDF19}"/>
    <cellStyle name="SAPBEXinputData 3 5 2" xfId="1720" xr:uid="{498D8D6B-70E9-4394-9E38-DC350F4BDB90}"/>
    <cellStyle name="SAPBEXinputData 3 5 2 2" xfId="2107" xr:uid="{956C48D7-A560-4631-9A69-5990542694D3}"/>
    <cellStyle name="SAPBEXinputData 3 5 2 2 2" xfId="2945" xr:uid="{D000C9E1-9011-4E7D-8907-B6847999FE91}"/>
    <cellStyle name="SAPBEXinputData 3 5 2 2 2 2" xfId="5380" xr:uid="{85C2270B-3E6B-448C-AE79-91032951C3DD}"/>
    <cellStyle name="SAPBEXinputData 3 5 2 2 3" xfId="4624" xr:uid="{F6422E0D-5714-4885-AB46-6625534ECA44}"/>
    <cellStyle name="SAPBEXinputData 3 5 2 3" xfId="2590" xr:uid="{4D66178D-F3EC-45C6-93BD-D35A7A050298}"/>
    <cellStyle name="SAPBEXinputData 3 5 2 3 2" xfId="5025" xr:uid="{146E2E40-16FD-4582-9934-AB09A0D5A769}"/>
    <cellStyle name="SAPBEXinputData 3 5 2 4" xfId="4255" xr:uid="{65B9FAFF-6B30-458E-B065-79B51421F138}"/>
    <cellStyle name="SAPBEXinputData 3 5 3" xfId="1937" xr:uid="{8478C87B-EA67-47D7-8E48-4F864B5B9C06}"/>
    <cellStyle name="SAPBEXinputData 3 5 3 2" xfId="2775" xr:uid="{43B3F61D-8489-4CFF-A08C-3C832FF9D56B}"/>
    <cellStyle name="SAPBEXinputData 3 5 3 2 2" xfId="5210" xr:uid="{2920D18B-4531-49DA-8759-C47BC98B832B}"/>
    <cellStyle name="SAPBEXinputData 3 5 3 3" xfId="4454" xr:uid="{36A81AB0-CD38-4116-B97A-3CA92D0A5B72}"/>
    <cellStyle name="SAPBEXinputData 3 5 4" xfId="2589" xr:uid="{81B53D3E-A5D6-4ADE-9D84-6C400B8B5687}"/>
    <cellStyle name="SAPBEXinputData 3 5 4 2" xfId="5024" xr:uid="{77701A65-87EC-4215-A9F2-C2EDB6E55883}"/>
    <cellStyle name="SAPBEXinputData 3 5 5" xfId="4254" xr:uid="{B700A44E-76B2-4C79-8953-9F63333C1CF6}"/>
    <cellStyle name="SAPBEXinputData 3 6" xfId="1721" xr:uid="{8D92FC36-DCD2-4FE9-895B-4EEC31657FDB}"/>
    <cellStyle name="SAPBEXinputData 3 6 2" xfId="2096" xr:uid="{F4E9A190-476B-4810-AA58-EE2746A72E56}"/>
    <cellStyle name="SAPBEXinputData 3 6 2 2" xfId="2934" xr:uid="{1615206E-F9D2-44E3-AC2D-0A57CEF6212B}"/>
    <cellStyle name="SAPBEXinputData 3 6 2 2 2" xfId="5369" xr:uid="{5C78FA22-6476-4EF1-8E41-25EB80EFD0C3}"/>
    <cellStyle name="SAPBEXinputData 3 6 2 3" xfId="4613" xr:uid="{199D51ED-7836-46FA-A070-BDDE3471703E}"/>
    <cellStyle name="SAPBEXinputData 3 6 3" xfId="2591" xr:uid="{59957EFD-77FF-4D98-88D2-B46D41BAD10A}"/>
    <cellStyle name="SAPBEXinputData 3 6 3 2" xfId="5026" xr:uid="{070F42D5-8280-46E5-B165-E812C6D66884}"/>
    <cellStyle name="SAPBEXinputData 3 6 4" xfId="4256" xr:uid="{2E0E3F1A-DE7D-4519-92D2-F691F534B5F7}"/>
    <cellStyle name="SAPBEXinputData 3 7" xfId="1926" xr:uid="{1DDF0F80-74EA-4C2E-ADDC-0D1D081FB545}"/>
    <cellStyle name="SAPBEXinputData 3 7 2" xfId="2764" xr:uid="{224F7EBB-9B2B-47D3-B3C9-6F7B174F7596}"/>
    <cellStyle name="SAPBEXinputData 3 7 2 2" xfId="5199" xr:uid="{7A972553-56F5-43C5-9E31-5E05AF8CCC14}"/>
    <cellStyle name="SAPBEXinputData 3 7 3" xfId="4443" xr:uid="{AB1FCD97-DDDC-4423-8F0A-4308AE098F3A}"/>
    <cellStyle name="SAPBEXinputData 3 8" xfId="2568" xr:uid="{646A1240-742C-4B5D-86DC-F7A85D1E5C7E}"/>
    <cellStyle name="SAPBEXinputData 3 8 2" xfId="5003" xr:uid="{4CC097A4-D900-4F85-A639-D8358725EBB6}"/>
    <cellStyle name="SAPBEXinputData 3 9" xfId="4233" xr:uid="{258B7CE2-FFEA-43F2-905A-22EFE8695FE8}"/>
    <cellStyle name="SAPBEXinputData 4" xfId="1722" xr:uid="{F86C70C2-D51C-4681-99E7-379267F8BFEF}"/>
    <cellStyle name="SAPBEXinputData 4 2" xfId="1723" xr:uid="{6A0B938B-16EF-4685-9D6D-1A28B283B0DE}"/>
    <cellStyle name="SAPBEXinputData 4 2 2" xfId="1724" xr:uid="{50189E35-EEAD-47DC-B51A-A453604F9694}"/>
    <cellStyle name="SAPBEXinputData 4 2 2 2" xfId="1725" xr:uid="{8F549E5B-8BAD-4B11-A95A-E3A081454539}"/>
    <cellStyle name="SAPBEXinputData 4 2 2 2 2" xfId="2110" xr:uid="{422ABE01-94B9-4E22-A433-E9136F6C82FD}"/>
    <cellStyle name="SAPBEXinputData 4 2 2 2 2 2" xfId="2948" xr:uid="{3A55464A-FFD0-46E2-BA49-F00EDF5F53A8}"/>
    <cellStyle name="SAPBEXinputData 4 2 2 2 2 2 2" xfId="5383" xr:uid="{DB24497E-2015-4BDD-B3F2-A5DB0B5ADDB3}"/>
    <cellStyle name="SAPBEXinputData 4 2 2 2 2 3" xfId="4627" xr:uid="{BA92D004-E528-4614-BACF-AF8F64A2A860}"/>
    <cellStyle name="SAPBEXinputData 4 2 2 2 3" xfId="2595" xr:uid="{2EAE74A1-CDF6-40CF-B62F-3D9D82DB721F}"/>
    <cellStyle name="SAPBEXinputData 4 2 2 2 3 2" xfId="5030" xr:uid="{292861AB-3164-4093-9B3A-7AE83A2FD823}"/>
    <cellStyle name="SAPBEXinputData 4 2 2 2 4" xfId="4260" xr:uid="{BAA1AA0C-540E-4FBE-832F-D88C5A86F70A}"/>
    <cellStyle name="SAPBEXinputData 4 2 2 3" xfId="1940" xr:uid="{88B75914-9B56-46B7-A624-5A08AB9400DA}"/>
    <cellStyle name="SAPBEXinputData 4 2 2 3 2" xfId="2778" xr:uid="{28DAA0EE-37E3-499D-A984-9C70D1C841FF}"/>
    <cellStyle name="SAPBEXinputData 4 2 2 3 2 2" xfId="5213" xr:uid="{05E3E233-41C0-4329-9007-EB15B51CA0FC}"/>
    <cellStyle name="SAPBEXinputData 4 2 2 3 3" xfId="4457" xr:uid="{1AEDFAF7-7841-4500-A278-B35FE117F462}"/>
    <cellStyle name="SAPBEXinputData 4 2 2 4" xfId="2594" xr:uid="{6D0E931D-F845-4D84-8BD1-632459D01994}"/>
    <cellStyle name="SAPBEXinputData 4 2 2 4 2" xfId="5029" xr:uid="{689FBF51-9D30-4597-9729-8A99F80E3553}"/>
    <cellStyle name="SAPBEXinputData 4 2 2 5" xfId="4259" xr:uid="{91D329EF-E3A0-4456-957E-BE1443382FC6}"/>
    <cellStyle name="SAPBEXinputData 4 2 3" xfId="1726" xr:uid="{8DB53F7D-BA0B-4062-9C40-FF820ACA9D40}"/>
    <cellStyle name="SAPBEXinputData 4 2 3 2" xfId="1727" xr:uid="{C6A58774-E25B-42A1-884C-3A22196D08C3}"/>
    <cellStyle name="SAPBEXinputData 4 2 3 2 2" xfId="2111" xr:uid="{77E60597-9230-4339-9597-9482BEE23384}"/>
    <cellStyle name="SAPBEXinputData 4 2 3 2 2 2" xfId="2949" xr:uid="{63721460-05E8-4A6C-8D94-CD85342547E8}"/>
    <cellStyle name="SAPBEXinputData 4 2 3 2 2 2 2" xfId="5384" xr:uid="{75838B51-5ADC-4146-AD65-DDA87FC3A936}"/>
    <cellStyle name="SAPBEXinputData 4 2 3 2 2 3" xfId="4628" xr:uid="{2C4CB1CE-0B61-44C0-B7BD-0B1A0ECFCDD1}"/>
    <cellStyle name="SAPBEXinputData 4 2 3 2 3" xfId="2597" xr:uid="{B1902837-7A3A-40AD-A158-2C138FD38254}"/>
    <cellStyle name="SAPBEXinputData 4 2 3 2 3 2" xfId="5032" xr:uid="{63439BF6-60F9-4D11-9CDE-8D50FFFDEE01}"/>
    <cellStyle name="SAPBEXinputData 4 2 3 2 4" xfId="4262" xr:uid="{AA03456B-05AB-4043-BBDD-1DBA2A689170}"/>
    <cellStyle name="SAPBEXinputData 4 2 3 3" xfId="1941" xr:uid="{B01859D4-A00B-41D3-B2AC-A94E0B54FBB3}"/>
    <cellStyle name="SAPBEXinputData 4 2 3 3 2" xfId="2779" xr:uid="{AC1015E7-4002-4B32-89A2-26B19218282A}"/>
    <cellStyle name="SAPBEXinputData 4 2 3 3 2 2" xfId="5214" xr:uid="{9D05F15A-20D5-4D15-883B-C53AF27664E3}"/>
    <cellStyle name="SAPBEXinputData 4 2 3 3 3" xfId="4458" xr:uid="{DBD4C37F-F051-4CE9-86A9-2693B08F5F99}"/>
    <cellStyle name="SAPBEXinputData 4 2 3 4" xfId="2596" xr:uid="{D4F25CC6-122A-49F4-8288-B1C578DDF1ED}"/>
    <cellStyle name="SAPBEXinputData 4 2 3 4 2" xfId="5031" xr:uid="{CC3D40C8-7B91-4FFE-A87E-4E8F64C45619}"/>
    <cellStyle name="SAPBEXinputData 4 2 3 5" xfId="4261" xr:uid="{3C2FB233-1FED-412A-AA2F-6AB865A28849}"/>
    <cellStyle name="SAPBEXinputData 4 2 4" xfId="1728" xr:uid="{34D7F090-6CC1-47B5-B2F5-CCFB4A0CE391}"/>
    <cellStyle name="SAPBEXinputData 4 2 4 2" xfId="2109" xr:uid="{0F1E612D-452F-46DF-B4EB-A7F9FB9D9198}"/>
    <cellStyle name="SAPBEXinputData 4 2 4 2 2" xfId="2947" xr:uid="{82EE6838-DA26-4DF2-AD0F-66E97F4FF867}"/>
    <cellStyle name="SAPBEXinputData 4 2 4 2 2 2" xfId="5382" xr:uid="{8A855AE8-D107-4622-93E0-9274B57DCB4C}"/>
    <cellStyle name="SAPBEXinputData 4 2 4 2 3" xfId="4626" xr:uid="{B36CB8DA-4543-4C96-9894-B5CA1A2700D2}"/>
    <cellStyle name="SAPBEXinputData 4 2 4 3" xfId="2598" xr:uid="{6915977F-6868-4F0E-A54B-CE51D3E66155}"/>
    <cellStyle name="SAPBEXinputData 4 2 4 3 2" xfId="5033" xr:uid="{68F37A7B-3E4E-4462-B585-6B51669194AF}"/>
    <cellStyle name="SAPBEXinputData 4 2 4 4" xfId="4263" xr:uid="{8DD07F0B-95DA-4D8A-97C6-2279A984147C}"/>
    <cellStyle name="SAPBEXinputData 4 2 5" xfId="1939" xr:uid="{5EB2C34E-A30C-4BC4-8AAC-678F3E9E0313}"/>
    <cellStyle name="SAPBEXinputData 4 2 5 2" xfId="2777" xr:uid="{F7B7B427-AE75-4512-840E-B573F17E34C6}"/>
    <cellStyle name="SAPBEXinputData 4 2 5 2 2" xfId="5212" xr:uid="{6C33964B-DD4D-4849-8395-57388C2CE013}"/>
    <cellStyle name="SAPBEXinputData 4 2 5 3" xfId="4456" xr:uid="{5D6D2D47-CA1E-4A11-BFB4-38C2704A193F}"/>
    <cellStyle name="SAPBEXinputData 4 2 6" xfId="2593" xr:uid="{2BD2FBB2-CE01-4772-9C0A-1C4E0A555D94}"/>
    <cellStyle name="SAPBEXinputData 4 2 6 2" xfId="5028" xr:uid="{22E2781C-3BDE-487C-8882-C5FD7E2F5463}"/>
    <cellStyle name="SAPBEXinputData 4 2 7" xfId="4258" xr:uid="{AEAE8C13-EF09-43B7-BC73-7B68656A8B45}"/>
    <cellStyle name="SAPBEXinputData 4 3" xfId="1729" xr:uid="{BFCCA7AE-8AA1-46BC-B0E3-F92303DFB6EB}"/>
    <cellStyle name="SAPBEXinputData 4 3 2" xfId="1730" xr:uid="{22EAA5F7-03A3-4E85-B740-9E9DB18A47E7}"/>
    <cellStyle name="SAPBEXinputData 4 3 2 2" xfId="2112" xr:uid="{E5A49941-6E9E-4A02-8987-5924A1FE3F16}"/>
    <cellStyle name="SAPBEXinputData 4 3 2 2 2" xfId="2950" xr:uid="{57D30073-9DC2-4ED6-8203-17AFA49BA9C0}"/>
    <cellStyle name="SAPBEXinputData 4 3 2 2 2 2" xfId="5385" xr:uid="{D4F65CA6-9B7E-407F-AE2E-0A3A6E00BF5A}"/>
    <cellStyle name="SAPBEXinputData 4 3 2 2 3" xfId="4629" xr:uid="{5B87D475-F3E2-4888-8D10-F085C75587F8}"/>
    <cellStyle name="SAPBEXinputData 4 3 2 3" xfId="2600" xr:uid="{C8C8EFCE-76E0-4C40-AE54-1640848F4E8E}"/>
    <cellStyle name="SAPBEXinputData 4 3 2 3 2" xfId="5035" xr:uid="{36633675-18A7-40F1-B8F1-CE32215C91BC}"/>
    <cellStyle name="SAPBEXinputData 4 3 2 4" xfId="4265" xr:uid="{36FC3921-2893-4988-B594-27935BEFD7D9}"/>
    <cellStyle name="SAPBEXinputData 4 3 3" xfId="1942" xr:uid="{8E6CC0FA-E2E0-4CB4-BB52-DA182DBA2F2A}"/>
    <cellStyle name="SAPBEXinputData 4 3 3 2" xfId="2780" xr:uid="{75DB3914-4466-443D-9D9D-23BB075DB32E}"/>
    <cellStyle name="SAPBEXinputData 4 3 3 2 2" xfId="5215" xr:uid="{277D1994-E483-47BF-B463-4E62C9E6BB77}"/>
    <cellStyle name="SAPBEXinputData 4 3 3 3" xfId="4459" xr:uid="{919F7574-DA32-4BBB-B4E4-E838694CE98C}"/>
    <cellStyle name="SAPBEXinputData 4 3 4" xfId="2599" xr:uid="{7EADADB6-353A-4EF0-92C0-E5709730C644}"/>
    <cellStyle name="SAPBEXinputData 4 3 4 2" xfId="5034" xr:uid="{4C7FD76F-85E3-4721-8293-0071DFF217CE}"/>
    <cellStyle name="SAPBEXinputData 4 3 5" xfId="4264" xr:uid="{1DC9F9CE-EE78-490E-8076-06A3637C7D09}"/>
    <cellStyle name="SAPBEXinputData 4 4" xfId="1731" xr:uid="{1DF2D2FA-FD80-4EFE-9FDF-BA3A5639E8EB}"/>
    <cellStyle name="SAPBEXinputData 4 4 2" xfId="1732" xr:uid="{159A95B9-2DF0-49C0-ACFA-3311E142DDF7}"/>
    <cellStyle name="SAPBEXinputData 4 4 2 2" xfId="2113" xr:uid="{A180B4C3-EFF8-416C-B84D-5EC5638E7710}"/>
    <cellStyle name="SAPBEXinputData 4 4 2 2 2" xfId="2951" xr:uid="{4112376F-6FB6-41E2-88E9-FB61C30087E1}"/>
    <cellStyle name="SAPBEXinputData 4 4 2 2 2 2" xfId="5386" xr:uid="{F6D22EFF-9ED7-4246-B792-7F8F6D2B4D45}"/>
    <cellStyle name="SAPBEXinputData 4 4 2 2 3" xfId="4630" xr:uid="{BA185174-24EC-4EAF-B463-6ED9A7E87626}"/>
    <cellStyle name="SAPBEXinputData 4 4 2 3" xfId="2602" xr:uid="{B14EB756-E5A7-475E-8E29-6F837E480DEE}"/>
    <cellStyle name="SAPBEXinputData 4 4 2 3 2" xfId="5037" xr:uid="{985E592D-44E3-4A83-B9D9-19592174D9A4}"/>
    <cellStyle name="SAPBEXinputData 4 4 2 4" xfId="4267" xr:uid="{2693DD9B-FD52-4063-A116-C7B9893BA4D6}"/>
    <cellStyle name="SAPBEXinputData 4 4 3" xfId="1943" xr:uid="{ECD161EF-C41C-4218-B765-E7300B860C18}"/>
    <cellStyle name="SAPBEXinputData 4 4 3 2" xfId="2781" xr:uid="{1310E3C7-9AB5-4A77-899B-54BAACD49821}"/>
    <cellStyle name="SAPBEXinputData 4 4 3 2 2" xfId="5216" xr:uid="{85C67C44-F4E4-433C-887E-28693F5F1827}"/>
    <cellStyle name="SAPBEXinputData 4 4 3 3" xfId="4460" xr:uid="{338161AE-DEBD-417D-BB62-7ADF5DFCCB19}"/>
    <cellStyle name="SAPBEXinputData 4 4 4" xfId="2601" xr:uid="{FABC820D-BA09-42D3-85E4-95AA0D20124A}"/>
    <cellStyle name="SAPBEXinputData 4 4 4 2" xfId="5036" xr:uid="{91735020-016A-40ED-ABFC-F2F1D65593D6}"/>
    <cellStyle name="SAPBEXinputData 4 4 5" xfId="4266" xr:uid="{040625C5-4964-43F5-9137-FCFFD53CBA18}"/>
    <cellStyle name="SAPBEXinputData 4 5" xfId="1733" xr:uid="{BCB4BDFE-4CF9-44D0-BE0D-5D9459CD7CE6}"/>
    <cellStyle name="SAPBEXinputData 4 5 2" xfId="2108" xr:uid="{28A472B6-00FC-484A-82AE-37019F78F01D}"/>
    <cellStyle name="SAPBEXinputData 4 5 2 2" xfId="2946" xr:uid="{4557CDF0-58A6-46F6-8742-0C9EB966047A}"/>
    <cellStyle name="SAPBEXinputData 4 5 2 2 2" xfId="5381" xr:uid="{22183BD0-81F1-4374-A6AD-860AC0A6266D}"/>
    <cellStyle name="SAPBEXinputData 4 5 2 3" xfId="4625" xr:uid="{071FB007-8162-4B15-A4D3-6620F54A15F4}"/>
    <cellStyle name="SAPBEXinputData 4 5 3" xfId="2603" xr:uid="{C54BF548-223D-4364-9F65-CC04C59043D9}"/>
    <cellStyle name="SAPBEXinputData 4 5 3 2" xfId="5038" xr:uid="{D85394DB-03B5-404B-9BE8-E62837BC5983}"/>
    <cellStyle name="SAPBEXinputData 4 5 4" xfId="4268" xr:uid="{629BF795-64D5-4C2A-A9BA-119405863193}"/>
    <cellStyle name="SAPBEXinputData 4 6" xfId="1938" xr:uid="{ADCF935C-74F4-438C-9B55-C08943C103DF}"/>
    <cellStyle name="SAPBEXinputData 4 6 2" xfId="2776" xr:uid="{C68B494D-9C2F-457B-A575-640E7A037CC7}"/>
    <cellStyle name="SAPBEXinputData 4 6 2 2" xfId="5211" xr:uid="{C535E8A4-5BEC-4AE6-B7C7-F2216A2808DC}"/>
    <cellStyle name="SAPBEXinputData 4 6 3" xfId="4455" xr:uid="{C409E946-C30C-4C06-9DD7-E5FB076F702F}"/>
    <cellStyle name="SAPBEXinputData 4 7" xfId="2592" xr:uid="{B0660C25-8D44-4B4C-98D6-67E5695C59B3}"/>
    <cellStyle name="SAPBEXinputData 4 7 2" xfId="5027" xr:uid="{E2136055-B27A-4F36-9C7A-36A1517C3974}"/>
    <cellStyle name="SAPBEXinputData 4 8" xfId="4257" xr:uid="{C29C5910-C274-41A2-957F-0995510D1B11}"/>
    <cellStyle name="SAPBEXinputData 5" xfId="1734" xr:uid="{0D1EA735-CB7F-4E59-8FA2-2E407DCF8172}"/>
    <cellStyle name="SAPBEXinputData 5 2" xfId="1735" xr:uid="{8395ED8E-4DBE-440E-BA3A-B47179916084}"/>
    <cellStyle name="SAPBEXinputData 5 2 2" xfId="1736" xr:uid="{759DAB5D-8E37-4A17-BA62-9E1CBE47EC3D}"/>
    <cellStyle name="SAPBEXinputData 5 2 2 2" xfId="2115" xr:uid="{F47141D3-E797-4324-AD0E-5F3FFCAD70FD}"/>
    <cellStyle name="SAPBEXinputData 5 2 2 2 2" xfId="2953" xr:uid="{D60F6199-EC52-4599-83DB-87F2408EFB26}"/>
    <cellStyle name="SAPBEXinputData 5 2 2 2 2 2" xfId="5388" xr:uid="{C09E9B4B-E5A9-4548-8816-F675C7099AD2}"/>
    <cellStyle name="SAPBEXinputData 5 2 2 2 3" xfId="4632" xr:uid="{44ED45D8-7BBF-4AE0-98DF-C125DA5CBB94}"/>
    <cellStyle name="SAPBEXinputData 5 2 2 3" xfId="2606" xr:uid="{651D8948-BE09-46F2-9274-65AC252440D8}"/>
    <cellStyle name="SAPBEXinputData 5 2 2 3 2" xfId="5041" xr:uid="{7E7594F6-86D3-488A-BF46-1861A76773A2}"/>
    <cellStyle name="SAPBEXinputData 5 2 2 4" xfId="4271" xr:uid="{3B7A28BE-A37F-4163-BA71-688942BB8E6E}"/>
    <cellStyle name="SAPBEXinputData 5 2 3" xfId="1945" xr:uid="{BBEA4784-D1A6-4899-8798-BD8662343B3B}"/>
    <cellStyle name="SAPBEXinputData 5 2 3 2" xfId="2783" xr:uid="{E5733EF6-8BA0-4D5E-A08E-E1BD63D27CFF}"/>
    <cellStyle name="SAPBEXinputData 5 2 3 2 2" xfId="5218" xr:uid="{8E5FCDE0-1A11-4FD7-B28F-BC3DC0744944}"/>
    <cellStyle name="SAPBEXinputData 5 2 3 3" xfId="4462" xr:uid="{64D4987B-8387-49D1-B008-342AB80FE0AF}"/>
    <cellStyle name="SAPBEXinputData 5 2 4" xfId="2605" xr:uid="{0F0A4A30-63A5-4D4E-BA3D-BD857392CDCD}"/>
    <cellStyle name="SAPBEXinputData 5 2 4 2" xfId="5040" xr:uid="{21CD1FFB-4A17-45DB-AE97-3407E2661ACF}"/>
    <cellStyle name="SAPBEXinputData 5 2 5" xfId="4270" xr:uid="{990C60A4-3200-4B58-884E-820F26A163E9}"/>
    <cellStyle name="SAPBEXinputData 5 3" xfId="1737" xr:uid="{0A35D69B-987D-4CE8-B943-DC73F11B3A41}"/>
    <cellStyle name="SAPBEXinputData 5 3 2" xfId="1738" xr:uid="{21070AFE-0ED0-4224-966E-E6F9AC3CDEED}"/>
    <cellStyle name="SAPBEXinputData 5 3 2 2" xfId="2116" xr:uid="{A82EE016-144B-4E03-87C3-F7F62E516427}"/>
    <cellStyle name="SAPBEXinputData 5 3 2 2 2" xfId="2954" xr:uid="{AA2623FC-C9E6-4708-95D2-29D457565E8C}"/>
    <cellStyle name="SAPBEXinputData 5 3 2 2 2 2" xfId="5389" xr:uid="{A4065314-FBCA-47D3-ACF9-EC32670CB154}"/>
    <cellStyle name="SAPBEXinputData 5 3 2 2 3" xfId="4633" xr:uid="{6DEA340B-B8A3-4798-80CA-A0BC21F926C3}"/>
    <cellStyle name="SAPBEXinputData 5 3 2 3" xfId="2608" xr:uid="{9C3445DF-9509-421C-B633-5F31EC43F1A1}"/>
    <cellStyle name="SAPBEXinputData 5 3 2 3 2" xfId="5043" xr:uid="{09C79892-E37E-4B25-92BA-92300D6EAC21}"/>
    <cellStyle name="SAPBEXinputData 5 3 2 4" xfId="4273" xr:uid="{A9CB53B4-D61A-4A07-B0CA-0DACA8FBF103}"/>
    <cellStyle name="SAPBEXinputData 5 3 3" xfId="1946" xr:uid="{9A203C3B-A693-4550-A338-1D7BF656CF12}"/>
    <cellStyle name="SAPBEXinputData 5 3 3 2" xfId="2784" xr:uid="{61F4CEA1-34B5-47EA-8585-61E838D4A701}"/>
    <cellStyle name="SAPBEXinputData 5 3 3 2 2" xfId="5219" xr:uid="{373C8D0C-1D8C-45BE-8F25-E1FBB320145B}"/>
    <cellStyle name="SAPBEXinputData 5 3 3 3" xfId="4463" xr:uid="{F1005711-D0A9-4972-88D9-00C2154DC3E3}"/>
    <cellStyle name="SAPBEXinputData 5 3 4" xfId="2607" xr:uid="{202778C2-CEDD-4B64-830B-6D01744CF48B}"/>
    <cellStyle name="SAPBEXinputData 5 3 4 2" xfId="5042" xr:uid="{F4615492-DB1A-40E8-8444-2C4760D14F45}"/>
    <cellStyle name="SAPBEXinputData 5 3 5" xfId="4272" xr:uid="{9511D5E0-2698-473E-B75B-D2ED8704C8E9}"/>
    <cellStyle name="SAPBEXinputData 5 4" xfId="1739" xr:uid="{26ED4FF3-3D0E-4E55-8962-0EFE1A87EA87}"/>
    <cellStyle name="SAPBEXinputData 5 4 2" xfId="2114" xr:uid="{0DAF5ED4-E90B-4BD6-91B5-134C1F4F71A4}"/>
    <cellStyle name="SAPBEXinputData 5 4 2 2" xfId="2952" xr:uid="{7AA8DF3C-5F99-4B66-BF47-E1DDE1DC3F00}"/>
    <cellStyle name="SAPBEXinputData 5 4 2 2 2" xfId="5387" xr:uid="{DAC6BDFF-2C4F-445A-81E3-47161DEEAB11}"/>
    <cellStyle name="SAPBEXinputData 5 4 2 3" xfId="4631" xr:uid="{491D71A6-7463-4EB2-8D3B-5174199ECB33}"/>
    <cellStyle name="SAPBEXinputData 5 4 3" xfId="2609" xr:uid="{77591C62-202A-411E-97A4-D92049A492B3}"/>
    <cellStyle name="SAPBEXinputData 5 4 3 2" xfId="5044" xr:uid="{508FA169-600A-4B9A-92CD-E49E54866402}"/>
    <cellStyle name="SAPBEXinputData 5 4 4" xfId="4274" xr:uid="{CE52E37C-8324-478C-84F0-9509F27D1892}"/>
    <cellStyle name="SAPBEXinputData 5 5" xfId="1944" xr:uid="{2BFA106E-7F0D-46CD-9C49-8F67178707F6}"/>
    <cellStyle name="SAPBEXinputData 5 5 2" xfId="2782" xr:uid="{A744B0A5-E6C7-4751-A352-3160158C18A0}"/>
    <cellStyle name="SAPBEXinputData 5 5 2 2" xfId="5217" xr:uid="{8A1256D9-3FCB-4BB8-84A2-BEF40266978C}"/>
    <cellStyle name="SAPBEXinputData 5 5 3" xfId="4461" xr:uid="{20134D7F-AA96-43AC-9D7D-A5F1C56D64BA}"/>
    <cellStyle name="SAPBEXinputData 5 6" xfId="2604" xr:uid="{726AE2ED-CF95-4FED-879B-952EBE38E111}"/>
    <cellStyle name="SAPBEXinputData 5 6 2" xfId="5039" xr:uid="{F3CAD75B-12D1-41C0-9047-3633261C29BE}"/>
    <cellStyle name="SAPBEXinputData 5 7" xfId="4269" xr:uid="{DD21A4ED-9437-4FD0-B6D4-08FC337F7DCD}"/>
    <cellStyle name="SAPBEXinputData 6" xfId="1740" xr:uid="{4DD5EBF9-77D8-4017-8EF3-AF5AE7E80B87}"/>
    <cellStyle name="SAPBEXinputData 6 2" xfId="1741" xr:uid="{0D8B4FBC-D01F-4B09-AC5A-A006F2F19B8F}"/>
    <cellStyle name="SAPBEXinputData 6 2 2" xfId="2117" xr:uid="{C44B2133-6A3C-4FFF-9ADB-170DD1F49A94}"/>
    <cellStyle name="SAPBEXinputData 6 2 2 2" xfId="2955" xr:uid="{609A86C9-2986-41A6-A9C7-94E9E3C8E1B8}"/>
    <cellStyle name="SAPBEXinputData 6 2 2 2 2" xfId="5390" xr:uid="{1BAE9532-E0CA-449E-BB90-2E0C935234BD}"/>
    <cellStyle name="SAPBEXinputData 6 2 2 3" xfId="4634" xr:uid="{3333E0CC-2C0C-4934-A64F-EB42CFA009AB}"/>
    <cellStyle name="SAPBEXinputData 6 2 3" xfId="2611" xr:uid="{28A49CBE-3FFE-47C2-8BB8-2BB510040A4C}"/>
    <cellStyle name="SAPBEXinputData 6 2 3 2" xfId="5046" xr:uid="{5C4CEACC-5884-45CD-857F-0FB8545466B5}"/>
    <cellStyle name="SAPBEXinputData 6 2 4" xfId="4276" xr:uid="{2D50F023-5369-446E-BEAB-A1D0B70E6918}"/>
    <cellStyle name="SAPBEXinputData 6 3" xfId="1947" xr:uid="{576A6C4E-41DF-49A0-8540-39E53DEEFA99}"/>
    <cellStyle name="SAPBEXinputData 6 3 2" xfId="2785" xr:uid="{2AB139A8-2A4E-47B2-A3CC-47E1D9095094}"/>
    <cellStyle name="SAPBEXinputData 6 3 2 2" xfId="5220" xr:uid="{6AB4FEFA-CAFD-4AAD-AFED-3B2D85B3F01B}"/>
    <cellStyle name="SAPBEXinputData 6 3 3" xfId="4464" xr:uid="{6CA8BC08-887F-4E81-A402-34A13CC6E270}"/>
    <cellStyle name="SAPBEXinputData 6 4" xfId="2610" xr:uid="{887F7A9F-2E81-45EB-BF98-C64BF48B37B2}"/>
    <cellStyle name="SAPBEXinputData 6 4 2" xfId="5045" xr:uid="{AFE0C273-E358-464F-9457-3127D54253CE}"/>
    <cellStyle name="SAPBEXinputData 6 5" xfId="4275" xr:uid="{18177171-BAFA-4FB0-8EC5-1D7CA6466A63}"/>
    <cellStyle name="SAPBEXinputData 7" xfId="1742" xr:uid="{8ABF0873-3797-4419-8903-B5D4728A32F3}"/>
    <cellStyle name="SAPBEXinputData 7 2" xfId="1743" xr:uid="{1656F05A-3718-4D62-BAEB-CAC556B88FEA}"/>
    <cellStyle name="SAPBEXinputData 7 2 2" xfId="2118" xr:uid="{EA7862D4-4542-481C-9F5C-07650E851960}"/>
    <cellStyle name="SAPBEXinputData 7 2 2 2" xfId="2956" xr:uid="{340BFD65-C56A-44E5-ACE3-95F851EC276B}"/>
    <cellStyle name="SAPBEXinputData 7 2 2 2 2" xfId="5391" xr:uid="{6FD9090E-73B8-4738-9C2F-07286A6462F2}"/>
    <cellStyle name="SAPBEXinputData 7 2 2 3" xfId="4635" xr:uid="{AA8CB639-F466-4595-9646-8DC5CE5DE12E}"/>
    <cellStyle name="SAPBEXinputData 7 2 3" xfId="2613" xr:uid="{40ACEDCB-1DC8-4B37-8E6B-929F9E502B83}"/>
    <cellStyle name="SAPBEXinputData 7 2 3 2" xfId="5048" xr:uid="{E87FFD49-9450-47D9-BAEC-03E65BDA3C45}"/>
    <cellStyle name="SAPBEXinputData 7 2 4" xfId="4278" xr:uid="{1B0842B4-0ABC-4479-B8C3-BB2659DE9DBE}"/>
    <cellStyle name="SAPBEXinputData 7 3" xfId="1948" xr:uid="{EDFBBEB9-F0DF-4840-B0A1-699AEA3C5305}"/>
    <cellStyle name="SAPBEXinputData 7 3 2" xfId="2786" xr:uid="{4E519B49-4883-4BB5-AA0F-CA1D97D9D500}"/>
    <cellStyle name="SAPBEXinputData 7 3 2 2" xfId="5221" xr:uid="{EEB75EB1-9C2D-44DB-8822-126B0A63442C}"/>
    <cellStyle name="SAPBEXinputData 7 3 3" xfId="4465" xr:uid="{D65761C7-2E13-4A3C-979C-EA31B94CE777}"/>
    <cellStyle name="SAPBEXinputData 7 4" xfId="2612" xr:uid="{79372DB8-D707-42FE-934E-3BE012077E30}"/>
    <cellStyle name="SAPBEXinputData 7 4 2" xfId="5047" xr:uid="{1FA324C4-F787-4630-9AE4-68BA9B4A4DE0}"/>
    <cellStyle name="SAPBEXinputData 7 5" xfId="4277" xr:uid="{CF3D713F-E48D-49D1-A58F-A7ED3F9F7E11}"/>
    <cellStyle name="SAPBEXinputData 8" xfId="1744" xr:uid="{20692C8D-BC70-480B-8AAD-90F3005CB57D}"/>
    <cellStyle name="SAPBEXinputData 8 2" xfId="2095" xr:uid="{776AADCC-CCBF-460C-BD1E-651A2A965DA7}"/>
    <cellStyle name="SAPBEXinputData 8 2 2" xfId="2933" xr:uid="{4A8BA7EB-2204-4E6B-B80B-B0BC613E7BF4}"/>
    <cellStyle name="SAPBEXinputData 8 2 2 2" xfId="5368" xr:uid="{CAFAF4A5-1D5B-4298-A86B-0399B4FDF9F4}"/>
    <cellStyle name="SAPBEXinputData 8 2 3" xfId="4612" xr:uid="{ED19E0DF-C0F0-45F6-8DC0-D5D70D76B258}"/>
    <cellStyle name="SAPBEXinputData 8 3" xfId="2614" xr:uid="{83A102BC-1B4D-4DE9-85C4-E7210BF91455}"/>
    <cellStyle name="SAPBEXinputData 8 3 2" xfId="5049" xr:uid="{4C95BC85-61DA-457C-80FC-9FB98EDFC0C0}"/>
    <cellStyle name="SAPBEXinputData 8 4" xfId="4279" xr:uid="{CEF1BEB9-783D-4BD7-BE97-8140B257B84D}"/>
    <cellStyle name="SAPBEXinputData 9" xfId="1925" xr:uid="{7F807C61-556E-4BEA-A6BB-8C081C68A9C7}"/>
    <cellStyle name="SAPBEXinputData 9 2" xfId="2763" xr:uid="{E6B183FF-7F4A-4D2E-A70B-5061D0BE0491}"/>
    <cellStyle name="SAPBEXinputData 9 2 2" xfId="5198" xr:uid="{ADC63C79-18DE-4C22-BD0A-9086961852F6}"/>
    <cellStyle name="SAPBEXinputData 9 3" xfId="4442" xr:uid="{0F4B45A2-5D7E-4DF8-9241-FC7C06EEAC44}"/>
    <cellStyle name="SAPBEXItemHeader" xfId="1745" xr:uid="{DD6CA560-4A36-483C-8953-1BF231E1EB1F}"/>
    <cellStyle name="SAPBEXItemHeader 2" xfId="3265" xr:uid="{2EC7314F-6A05-4E67-99E1-4DE74E76035E}"/>
    <cellStyle name="SAPBEXItemHeader 2 2" xfId="5639" xr:uid="{30C56DEF-4E2B-405C-8B72-B34B75396D9C}"/>
    <cellStyle name="SAPBEXItemHeader 3" xfId="3060" xr:uid="{0738AF2B-D779-4A85-9E5B-65EDC3B5AF8D}"/>
    <cellStyle name="SAPBEXItemHeader 3 2" xfId="5434" xr:uid="{A7F4E2F9-12E8-452B-8A15-69C7C21F565B}"/>
    <cellStyle name="SAPBEXItemHeader 4" xfId="4280" xr:uid="{0BFF4FDA-CCAB-4644-9DC6-512FC2C90BAA}"/>
    <cellStyle name="SAPBEXresData" xfId="101" xr:uid="{00000000-0005-0000-0000-00004F030000}"/>
    <cellStyle name="SAPBEXresData 2" xfId="139" xr:uid="{00000000-0005-0000-0000-000050030000}"/>
    <cellStyle name="SAPBEXresData 2 2" xfId="3230" xr:uid="{4801B8EF-FC35-473B-82C7-C6A72948F30E}"/>
    <cellStyle name="SAPBEXresData 2 2 2" xfId="5604" xr:uid="{0624EE80-F7D9-4996-8E30-E82A337DE200}"/>
    <cellStyle name="SAPBEXresData 2 3" xfId="3229" xr:uid="{EF224C7C-6E01-407D-9911-6C5CC6050B76}"/>
    <cellStyle name="SAPBEXresData 2 3 2" xfId="5603" xr:uid="{219B1DE0-A694-4F24-BBE8-E86798E3947E}"/>
    <cellStyle name="SAPBEXresData 2 4" xfId="1747" xr:uid="{FBE9E92B-255D-4B37-82A1-B9F118BB2257}"/>
    <cellStyle name="SAPBEXresData 2 4 2" xfId="4282" xr:uid="{AE1C1E15-91F0-4E1D-8ACE-054D398CF8B6}"/>
    <cellStyle name="SAPBEXresData 2 5" xfId="3360" xr:uid="{B24C225E-C21B-4125-860F-24A057731B1D}"/>
    <cellStyle name="SAPBEXresData 3" xfId="3045" xr:uid="{D90D24B0-9330-4026-B44D-E73E2B9A938C}"/>
    <cellStyle name="SAPBEXresData 3 2" xfId="5419" xr:uid="{F724DF32-D76F-49C3-93C9-040DD14483A2}"/>
    <cellStyle name="SAPBEXresData 4" xfId="3165" xr:uid="{576E1856-1214-4D79-A8BD-8B58BF6DE9A9}"/>
    <cellStyle name="SAPBEXresData 4 2" xfId="5539" xr:uid="{9BD21E5D-9171-4223-B93F-6776D4E90B51}"/>
    <cellStyle name="SAPBEXresData 5" xfId="1746" xr:uid="{671C23F3-614D-4F0F-A68D-50BAA3C21D10}"/>
    <cellStyle name="SAPBEXresData 5 2" xfId="4281" xr:uid="{2EE80BA1-2FC2-4E27-A35D-D3FF13DFCCD3}"/>
    <cellStyle name="SAPBEXresData 6" xfId="3340" xr:uid="{8D0E6CB0-323B-492E-99A4-509626816358}"/>
    <cellStyle name="SAPBEXresDataEmph" xfId="102" xr:uid="{00000000-0005-0000-0000-000051030000}"/>
    <cellStyle name="SAPBEXresDataEmph 2" xfId="1749" xr:uid="{1C541A26-0409-45DA-A414-55DDA3080D07}"/>
    <cellStyle name="SAPBEXresDataEmph 2 2" xfId="3104" xr:uid="{05692A21-EEE4-431F-BE09-0D252F5A93D3}"/>
    <cellStyle name="SAPBEXresDataEmph 2 2 2" xfId="5478" xr:uid="{05489A13-E713-4F75-B179-14FD6F338094}"/>
    <cellStyle name="SAPBEXresDataEmph 3" xfId="3109" xr:uid="{FB2B5432-778B-4941-B9D1-6B66B275C095}"/>
    <cellStyle name="SAPBEXresDataEmph 3 2" xfId="5483" xr:uid="{6FFA06BF-2F03-4D6D-933E-F9CDC696C73D}"/>
    <cellStyle name="SAPBEXresDataEmph 4" xfId="3207" xr:uid="{6140352F-6FED-4E25-9619-2297603739B0}"/>
    <cellStyle name="SAPBEXresDataEmph 4 2" xfId="5581" xr:uid="{8D525B17-6D72-4C33-99D5-61107AC512A2}"/>
    <cellStyle name="SAPBEXresDataEmph 5" xfId="1748" xr:uid="{0566DAAE-C3FB-472B-A76C-DB5553C496AB}"/>
    <cellStyle name="SAPBEXresDataEmph 5 2" xfId="4283" xr:uid="{9B20A395-60F6-46D4-ABFD-CD9D942794F4}"/>
    <cellStyle name="SAPBEXresDataEmph 6" xfId="3341" xr:uid="{2C351558-57F9-4B30-85AE-AF21F078E2CF}"/>
    <cellStyle name="SAPBEXresItem" xfId="103" xr:uid="{00000000-0005-0000-0000-000052030000}"/>
    <cellStyle name="SAPBEXresItem 2" xfId="140" xr:uid="{00000000-0005-0000-0000-000053030000}"/>
    <cellStyle name="SAPBEXresItem 2 2" xfId="3271" xr:uid="{ED142BE8-CE84-4036-B482-C8705B9177A4}"/>
    <cellStyle name="SAPBEXresItem 2 2 2" xfId="5645" xr:uid="{9D289A1D-B4EC-429B-8830-AD3D1A0E4D2F}"/>
    <cellStyle name="SAPBEXresItem 2 3" xfId="3145" xr:uid="{59241FFD-4891-43B2-9E20-E0C288986ADF}"/>
    <cellStyle name="SAPBEXresItem 2 3 2" xfId="5519" xr:uid="{1482167A-01DD-4A62-9498-4A8489D5C7EE}"/>
    <cellStyle name="SAPBEXresItem 2 4" xfId="1751" xr:uid="{849A065E-F31F-40FD-95D8-4729FDA2A894}"/>
    <cellStyle name="SAPBEXresItem 2 4 2" xfId="4285" xr:uid="{56994426-548B-44F8-80B1-3D04D1CAD3C6}"/>
    <cellStyle name="SAPBEXresItem 2 5" xfId="3361" xr:uid="{74B7B49B-7A3A-4A98-9E68-AED3F7899087}"/>
    <cellStyle name="SAPBEXresItem 3" xfId="3142" xr:uid="{6790EF59-35F7-49E2-B284-9610B159AD0F}"/>
    <cellStyle name="SAPBEXresItem 3 2" xfId="5516" xr:uid="{C7C2FE81-3996-406C-983D-B9AD904EFB0A}"/>
    <cellStyle name="SAPBEXresItem 4" xfId="3259" xr:uid="{44213227-9F9E-4DC7-9299-F0DB1D31C26F}"/>
    <cellStyle name="SAPBEXresItem 4 2" xfId="5633" xr:uid="{05A02F71-1659-41A1-97D2-DCB23E259CB5}"/>
    <cellStyle name="SAPBEXresItem 5" xfId="1750" xr:uid="{D2F22319-EFC3-4421-8AE6-D304A2DE7E78}"/>
    <cellStyle name="SAPBEXresItem 5 2" xfId="4284" xr:uid="{793EAECF-BAD7-4E9B-A96A-05C28A4E6BB9}"/>
    <cellStyle name="SAPBEXresItem 6" xfId="3342" xr:uid="{CC40826C-A38E-42F4-9802-45EABAD433A3}"/>
    <cellStyle name="SAPBEXresItemX" xfId="104" xr:uid="{00000000-0005-0000-0000-000054030000}"/>
    <cellStyle name="SAPBEXresItemX 2" xfId="141" xr:uid="{00000000-0005-0000-0000-000055030000}"/>
    <cellStyle name="SAPBEXresItemX 2 2" xfId="3184" xr:uid="{53690D77-EBAB-472F-8354-41FE608EA1AB}"/>
    <cellStyle name="SAPBEXresItemX 2 2 2" xfId="5558" xr:uid="{340B422C-0C34-4BFD-BAF3-38659F576C32}"/>
    <cellStyle name="SAPBEXresItemX 2 3" xfId="3078" xr:uid="{0910C8F3-FD5A-4553-AA14-033D8AD3B238}"/>
    <cellStyle name="SAPBEXresItemX 2 3 2" xfId="5452" xr:uid="{CFCBC59C-DC76-4016-BB6B-957945871CF4}"/>
    <cellStyle name="SAPBEXresItemX 2 4" xfId="1753" xr:uid="{AEF461DC-586E-4C07-9D3B-E160EE9E1E14}"/>
    <cellStyle name="SAPBEXresItemX 2 4 2" xfId="4287" xr:uid="{227A3B16-5DCB-4732-8F14-1291E3CB6CB5}"/>
    <cellStyle name="SAPBEXresItemX 2 5" xfId="3362" xr:uid="{55588F35-41B1-4433-A7D2-7F1F3FF4484F}"/>
    <cellStyle name="SAPBEXresItemX 3" xfId="945" xr:uid="{A986BF0C-E6BA-4D74-9C4F-43A03DE97EEB}"/>
    <cellStyle name="SAPBEXresItemX 3 2" xfId="3228" xr:uid="{1F65111D-43F9-4795-AE1F-8D3C9AFA6B34}"/>
    <cellStyle name="SAPBEXresItemX 3 2 2" xfId="5602" xr:uid="{DDC389BE-58B9-440A-B3DB-F3721D26927F}"/>
    <cellStyle name="SAPBEXresItemX 3 3" xfId="3841" xr:uid="{94C83636-6FB2-4964-9281-59A786F7ADA1}"/>
    <cellStyle name="SAPBEXresItemX 4" xfId="3274" xr:uid="{5B955A2D-A3B4-45A6-9EE9-1BB265851C65}"/>
    <cellStyle name="SAPBEXresItemX 4 2" xfId="5648" xr:uid="{06B1B491-76B6-4F63-A68A-6EB743FD0326}"/>
    <cellStyle name="SAPBEXresItemX 5" xfId="1752" xr:uid="{95CABAE8-6F63-425C-A835-3752583C5DB9}"/>
    <cellStyle name="SAPBEXresItemX 5 2" xfId="4286" xr:uid="{DE4D7B77-EADD-4328-9C75-3214F09850A5}"/>
    <cellStyle name="SAPBEXresItemX 6" xfId="3343" xr:uid="{14892A91-01D6-41D4-A8B2-AA7D682ABA7D}"/>
    <cellStyle name="SAPBEXstdData" xfId="105" xr:uid="{00000000-0005-0000-0000-000056030000}"/>
    <cellStyle name="SAPBEXstdData 2" xfId="142" xr:uid="{00000000-0005-0000-0000-000057030000}"/>
    <cellStyle name="SAPBEXstdData 2 2" xfId="1756" xr:uid="{6D0503D9-06FA-4A1E-8978-852D7092B6F7}"/>
    <cellStyle name="SAPBEXstdData 2 2 2" xfId="1757" xr:uid="{C07CBB7E-FCE5-48FC-97C7-E9C047B60693}"/>
    <cellStyle name="SAPBEXstdData 2 2 2 2" xfId="3241" xr:uid="{F66C1BE5-10D8-42DB-A1ED-83AEB2B1AA8C}"/>
    <cellStyle name="SAPBEXstdData 2 2 2 2 2" xfId="5615" xr:uid="{FA1F26BE-9D46-4EF9-9DCF-391E21198CB0}"/>
    <cellStyle name="SAPBEXstdData 2 2 2 3" xfId="3254" xr:uid="{E7E79820-5EC9-40A0-B44A-BBEB895994B0}"/>
    <cellStyle name="SAPBEXstdData 2 2 2 3 2" xfId="5628" xr:uid="{1E2D2907-5334-44A3-A3AB-E0CCA178E968}"/>
    <cellStyle name="SAPBEXstdData 2 2 2 4" xfId="4291" xr:uid="{9B53BCEB-9933-4676-AE64-BC46EC244728}"/>
    <cellStyle name="SAPBEXstdData 2 2 3" xfId="3052" xr:uid="{7E41A4BC-2233-4ADE-B5DB-6629EC38C317}"/>
    <cellStyle name="SAPBEXstdData 2 2 3 2" xfId="5426" xr:uid="{DFC6CAD6-E526-453C-A17E-777BBA7899C1}"/>
    <cellStyle name="SAPBEXstdData 2 2 4" xfId="3301" xr:uid="{1B8A748A-4372-4C18-A2F5-01CFF9879DBB}"/>
    <cellStyle name="SAPBEXstdData 2 2 4 2" xfId="5675" xr:uid="{B09A114B-6E42-4611-B2FC-4BD2F767C49A}"/>
    <cellStyle name="SAPBEXstdData 2 2 5" xfId="4290" xr:uid="{F6589F00-9791-4F28-B16D-C56ED7CC8240}"/>
    <cellStyle name="SAPBEXstdData 2 3" xfId="1758" xr:uid="{E9F317E6-DEB5-40EF-B50A-F9DE0919E3B3}"/>
    <cellStyle name="SAPBEXstdData 2 3 2" xfId="3044" xr:uid="{D2B9FA23-59FF-4C27-BF71-E03D5B97670F}"/>
    <cellStyle name="SAPBEXstdData 2 3 2 2" xfId="5418" xr:uid="{E6C6B321-0237-4E5C-BBEA-B5FC26067E67}"/>
    <cellStyle name="SAPBEXstdData 2 3 3" xfId="3299" xr:uid="{E13CD35D-934C-409F-B688-8237B74A5BB3}"/>
    <cellStyle name="SAPBEXstdData 2 3 3 2" xfId="5673" xr:uid="{1B63D55B-AC27-4D86-8F31-496B3A2A54A7}"/>
    <cellStyle name="SAPBEXstdData 2 3 4" xfId="4292" xr:uid="{5ECEC8DD-779C-4176-BA30-CB41D5CD9B9B}"/>
    <cellStyle name="SAPBEXstdData 2 4" xfId="3159" xr:uid="{D39A96E0-4920-46B3-9D15-EE9D8AB47BFD}"/>
    <cellStyle name="SAPBEXstdData 2 4 2" xfId="5533" xr:uid="{1F2A5F3F-F22E-411B-B46D-88E65F9BA133}"/>
    <cellStyle name="SAPBEXstdData 2 5" xfId="3098" xr:uid="{37F73EF2-E06D-44F2-94FB-03CFFDDED03F}"/>
    <cellStyle name="SAPBEXstdData 2 5 2" xfId="5472" xr:uid="{F3051B3F-2E7C-4E87-A39C-8D554773E2A6}"/>
    <cellStyle name="SAPBEXstdData 2 6" xfId="1755" xr:uid="{9755F09E-688B-4712-89A1-DFF3A552EE58}"/>
    <cellStyle name="SAPBEXstdData 2 6 2" xfId="4289" xr:uid="{270B092B-1CD9-410C-87F6-50109CB3CD86}"/>
    <cellStyle name="SAPBEXstdData 2 7" xfId="3363" xr:uid="{BCEAD2FE-3FC2-42B8-AE0B-AE9FD3FA7A35}"/>
    <cellStyle name="SAPBEXstdData 3" xfId="889" xr:uid="{A87DB1B3-E42C-412B-BA07-8E4275339EE4}"/>
    <cellStyle name="SAPBEXstdData 3 2" xfId="3100" xr:uid="{FC058B3D-AC7E-4D8C-9597-83CD34034591}"/>
    <cellStyle name="SAPBEXstdData 3 2 2" xfId="5474" xr:uid="{295B8167-7829-4180-A293-B078FB397BE3}"/>
    <cellStyle name="SAPBEXstdData 3 3" xfId="3820" xr:uid="{7EB43ECC-BAC1-4E26-B57C-658ED6B65545}"/>
    <cellStyle name="SAPBEXstdData 4" xfId="3113" xr:uid="{F322F71E-43BB-4C50-B396-D6A505D15F9E}"/>
    <cellStyle name="SAPBEXstdData 4 2" xfId="5487" xr:uid="{FEA26559-4F74-418F-B1E7-2DAE7BFE2E40}"/>
    <cellStyle name="SAPBEXstdData 5" xfId="1754" xr:uid="{FFE62272-6AD1-4EFC-A9DE-1C29880286ED}"/>
    <cellStyle name="SAPBEXstdData 5 2" xfId="4288" xr:uid="{C848AC14-F7CE-4326-BF02-5A00715C0B2B}"/>
    <cellStyle name="SAPBEXstdData 6" xfId="3344" xr:uid="{C19784C1-9DD6-4DB6-B6BA-E4182268F89F}"/>
    <cellStyle name="SAPBEXstdData_BW Data" xfId="1759" xr:uid="{A8564423-0D34-4F8A-BDAB-A047CC6AF791}"/>
    <cellStyle name="SAPBEXstdDataEmph" xfId="106" xr:uid="{00000000-0005-0000-0000-000058030000}"/>
    <cellStyle name="SAPBEXstdDataEmph 2" xfId="1761" xr:uid="{0FD93C9C-B194-487C-A3C9-A318EB75B322}"/>
    <cellStyle name="SAPBEXstdDataEmph 2 2" xfId="3262" xr:uid="{EDBBA322-47D3-4478-8A15-99CF7389D00E}"/>
    <cellStyle name="SAPBEXstdDataEmph 2 2 2" xfId="5636" xr:uid="{F6F03500-C6EC-4076-AFC8-CB5A5CAE9E6D}"/>
    <cellStyle name="SAPBEXstdDataEmph 2 3" xfId="3239" xr:uid="{91B0E418-6484-47CE-AC7E-2FFEE8193AA6}"/>
    <cellStyle name="SAPBEXstdDataEmph 2 3 2" xfId="5613" xr:uid="{2824C20C-CB24-4F4C-8CB0-19AC36F80070}"/>
    <cellStyle name="SAPBEXstdDataEmph 2 4" xfId="4294" xr:uid="{68743FD8-C9C8-415E-9313-93A9E71F111C}"/>
    <cellStyle name="SAPBEXstdDataEmph 3" xfId="3208" xr:uid="{B02E2C00-F475-431C-A96D-17321273C03C}"/>
    <cellStyle name="SAPBEXstdDataEmph 3 2" xfId="5582" xr:uid="{FA8F1494-DBD7-4459-81E4-F892B639FC3F}"/>
    <cellStyle name="SAPBEXstdDataEmph 4" xfId="3303" xr:uid="{142E2079-46D2-4A14-A8D9-591CCC38FD42}"/>
    <cellStyle name="SAPBEXstdDataEmph 4 2" xfId="5677" xr:uid="{DFEC6CCC-FCC4-4E2F-9F05-09D41061260F}"/>
    <cellStyle name="SAPBEXstdDataEmph 5" xfId="1760" xr:uid="{1D8F0283-0FA9-424B-BBBD-598B4EE031F5}"/>
    <cellStyle name="SAPBEXstdDataEmph 5 2" xfId="4293" xr:uid="{B3122C8E-DFD8-4438-BC96-9961AF233715}"/>
    <cellStyle name="SAPBEXstdDataEmph 6" xfId="3345" xr:uid="{4B1CB224-FAA4-4670-8320-8163220C87AB}"/>
    <cellStyle name="SAPBEXstdItem" xfId="107" xr:uid="{00000000-0005-0000-0000-000059030000}"/>
    <cellStyle name="SAPBEXstdItem 2" xfId="143" xr:uid="{00000000-0005-0000-0000-00005A030000}"/>
    <cellStyle name="SAPBEXstdItem 2 2" xfId="1764" xr:uid="{2C531197-EABD-489B-B46D-A686EC476276}"/>
    <cellStyle name="SAPBEXstdItem 2 2 2" xfId="3081" xr:uid="{38ACEFD6-535B-439A-86DE-9C8C2B0B0A19}"/>
    <cellStyle name="SAPBEXstdItem 2 2 2 2" xfId="5455" xr:uid="{4A4DCA5B-DA9B-4A73-B4CE-4B71A9CD08E3}"/>
    <cellStyle name="SAPBEXstdItem 2 2 3" xfId="3302" xr:uid="{4BB1D325-2816-4AE4-8635-C4F430D4F726}"/>
    <cellStyle name="SAPBEXstdItem 2 2 3 2" xfId="5676" xr:uid="{1A8AE7AC-8841-4A95-917A-72D71C6FF5A1}"/>
    <cellStyle name="SAPBEXstdItem 2 2 4" xfId="4297" xr:uid="{BCAEF312-D3CA-438A-A54D-24BA91FEBB83}"/>
    <cellStyle name="SAPBEXstdItem 2 3" xfId="1765" xr:uid="{CDD482C5-4598-46EF-95EC-76B6E87D3B67}"/>
    <cellStyle name="SAPBEXstdItem 2 3 2" xfId="3257" xr:uid="{3B3AB500-1125-40A4-9849-51E489E0E5A9}"/>
    <cellStyle name="SAPBEXstdItem 2 3 2 2" xfId="5631" xr:uid="{B342766D-C8D9-4D25-A74E-96D6D880A57F}"/>
    <cellStyle name="SAPBEXstdItem 2 3 3" xfId="3108" xr:uid="{9B37BABF-B24F-4A49-8677-DAE7E65DB18E}"/>
    <cellStyle name="SAPBEXstdItem 2 3 3 2" xfId="5482" xr:uid="{95D4E2F2-4DDD-4FEA-BA8A-B33F20424F91}"/>
    <cellStyle name="SAPBEXstdItem 2 3 4" xfId="4298" xr:uid="{225F8358-0A7A-4958-B175-3FB03CE4D1C3}"/>
    <cellStyle name="SAPBEXstdItem 2 4" xfId="3095" xr:uid="{8BB18BED-6EAC-43C6-BD27-B49F1C945BE6}"/>
    <cellStyle name="SAPBEXstdItem 2 4 2" xfId="5469" xr:uid="{210D5125-8CAD-42DC-BB49-4D11EFA91B94}"/>
    <cellStyle name="SAPBEXstdItem 2 5" xfId="3180" xr:uid="{F5CF98F1-D9E0-4D08-A549-189006DF9200}"/>
    <cellStyle name="SAPBEXstdItem 2 5 2" xfId="5554" xr:uid="{0C5F4A66-08EC-4B64-BD5F-2F2CC6C16B1D}"/>
    <cellStyle name="SAPBEXstdItem 2 6" xfId="1763" xr:uid="{3999662E-782D-4D68-820D-4F757E8C65C6}"/>
    <cellStyle name="SAPBEXstdItem 2 6 2" xfId="4296" xr:uid="{449EF79F-7515-4E39-8FB1-65F193FA8F6C}"/>
    <cellStyle name="SAPBEXstdItem 2 7" xfId="3364" xr:uid="{A22E0474-E919-4A54-939B-CF01D19954A6}"/>
    <cellStyle name="SAPBEXstdItem 3" xfId="890" xr:uid="{045C2561-423E-4B09-9F8E-E7C7DA435F49}"/>
    <cellStyle name="SAPBEXstdItem 3 2" xfId="3244" xr:uid="{77FA904F-8838-45F4-9FA0-10EF2C0A0822}"/>
    <cellStyle name="SAPBEXstdItem 3 2 2" xfId="5618" xr:uid="{01DA8E0D-327B-4D1A-BF4C-B1ECA48488C6}"/>
    <cellStyle name="SAPBEXstdItem 3 3" xfId="3821" xr:uid="{F0E6AB7C-72A4-49BD-8D8F-1629896BC55C}"/>
    <cellStyle name="SAPBEXstdItem 4" xfId="3300" xr:uid="{8EB0487E-28F8-46C9-9F68-847257ED2211}"/>
    <cellStyle name="SAPBEXstdItem 4 2" xfId="5674" xr:uid="{0E24B171-5AAF-43C1-B103-BF9E3058D3FB}"/>
    <cellStyle name="SAPBEXstdItem 5" xfId="1762" xr:uid="{FEC4E776-1285-4D59-9D0E-66AD54C7993B}"/>
    <cellStyle name="SAPBEXstdItem 5 2" xfId="4295" xr:uid="{14D84144-D10C-41E1-8D43-5D0825E5EBD1}"/>
    <cellStyle name="SAPBEXstdItem 6" xfId="3346" xr:uid="{6F725798-F779-4608-8AB3-A8A2437EB26F}"/>
    <cellStyle name="SAPBEXstdItem_BW Data" xfId="1766" xr:uid="{9CD82F8C-69F2-447E-B215-16CA6831348C}"/>
    <cellStyle name="SAPBEXstdItemX" xfId="108" xr:uid="{00000000-0005-0000-0000-00005B030000}"/>
    <cellStyle name="SAPBEXstdItemX 2" xfId="144" xr:uid="{00000000-0005-0000-0000-00005C030000}"/>
    <cellStyle name="SAPBEXstdItemX 2 2" xfId="3105" xr:uid="{E3B5FC41-B60B-4ECC-B00B-ECE747389983}"/>
    <cellStyle name="SAPBEXstdItemX 2 2 2" xfId="5479" xr:uid="{22916A8C-3F18-42AA-8EE7-4C30EBAAE73C}"/>
    <cellStyle name="SAPBEXstdItemX 2 3" xfId="3297" xr:uid="{10EAD126-FD20-43EF-B373-8D15196882E9}"/>
    <cellStyle name="SAPBEXstdItemX 2 3 2" xfId="5671" xr:uid="{8C8BB632-1994-45A1-B17C-3EDAAC9EB5C3}"/>
    <cellStyle name="SAPBEXstdItemX 2 4" xfId="1768" xr:uid="{41A06426-20C4-4E20-8EB0-43AE83C99905}"/>
    <cellStyle name="SAPBEXstdItemX 2 4 2" xfId="4300" xr:uid="{1969A23E-9779-42ED-90D2-9E72F1B3750E}"/>
    <cellStyle name="SAPBEXstdItemX 2 5" xfId="3365" xr:uid="{3054E2B9-EC3A-46AA-B5F8-335FFCCECF2F}"/>
    <cellStyle name="SAPBEXstdItemX 3" xfId="949" xr:uid="{BC771335-9857-4003-AA06-21242087AB2F}"/>
    <cellStyle name="SAPBEXstdItemX 3 2" xfId="3097" xr:uid="{7A282F8C-A837-4F0B-A93B-5CCEDF314816}"/>
    <cellStyle name="SAPBEXstdItemX 3 2 2" xfId="5471" xr:uid="{FB7EEAF0-DE1C-4C7E-BD43-A37080DCACF0}"/>
    <cellStyle name="SAPBEXstdItemX 3 3" xfId="3844" xr:uid="{17B507B2-AF9D-4F30-9984-A4B9FF823DBB}"/>
    <cellStyle name="SAPBEXstdItemX 4" xfId="3114" xr:uid="{D71F835E-5326-4EE7-8749-1AF43A646AEA}"/>
    <cellStyle name="SAPBEXstdItemX 4 2" xfId="5488" xr:uid="{82420BD5-91C9-4FC0-9D1A-4F021726CF5A}"/>
    <cellStyle name="SAPBEXstdItemX 5" xfId="1767" xr:uid="{51DB7923-555E-47B1-99BF-E5192B0AF1AE}"/>
    <cellStyle name="SAPBEXstdItemX 5 2" xfId="4299" xr:uid="{D8F7DA30-0F94-411A-A4E2-19B86CD69DB2}"/>
    <cellStyle name="SAPBEXstdItemX 6" xfId="3347" xr:uid="{36DDBD02-3280-4A12-BAD0-A534D6D3B633}"/>
    <cellStyle name="SAPBEXtitle" xfId="109" xr:uid="{00000000-0005-0000-0000-00005D030000}"/>
    <cellStyle name="SAPBEXtitle 2" xfId="1770" xr:uid="{AB380B6C-104A-4764-A557-2620C69181A7}"/>
    <cellStyle name="SAPBEXtitle 2 2" xfId="3148" xr:uid="{01CBBD32-3A40-45CA-B2BB-AC26D67E1ED8}"/>
    <cellStyle name="SAPBEXtitle 2 2 2" xfId="5522" xr:uid="{C888C778-2BA3-44EE-A249-8C98D9EC713A}"/>
    <cellStyle name="SAPBEXtitle 2 3" xfId="3295" xr:uid="{4131EAF6-F201-4FEA-B8BA-EB88098CD1CF}"/>
    <cellStyle name="SAPBEXtitle 2 3 2" xfId="5669" xr:uid="{897B12FF-50A4-4279-AC89-AC78F8436683}"/>
    <cellStyle name="SAPBEXtitle 2 4" xfId="4301" xr:uid="{2445A2F1-2B99-494B-A08D-9AFC155A8398}"/>
    <cellStyle name="SAPBEXtitle 3" xfId="1769" xr:uid="{7AB02CA9-3B46-46B6-99D8-5638F87CF745}"/>
    <cellStyle name="SAPBEXunassignedItem" xfId="1771" xr:uid="{3F250E2C-E22E-4142-8AA5-5F24A5378037}"/>
    <cellStyle name="SAPBEXunassignedItem 2" xfId="1772" xr:uid="{25461E51-BAD8-453F-B087-BE48A3487B5B}"/>
    <cellStyle name="SAPBEXunassignedItem 2 2" xfId="3296" xr:uid="{05B806B4-B4DC-42C3-B00F-005C1CAA0847}"/>
    <cellStyle name="SAPBEXunassignedItem 2 2 2" xfId="5670" xr:uid="{14CF8098-033E-4CB8-BF6E-C8E46B3D61DE}"/>
    <cellStyle name="SAPBEXunassignedItem 3" xfId="1773" xr:uid="{0C8120C1-8347-4CFB-A22C-998861B79FB7}"/>
    <cellStyle name="SAPBEXunassignedItem 3 2" xfId="3151" xr:uid="{BE7FB166-B4C2-4502-96A8-36DEC2E5D607}"/>
    <cellStyle name="SAPBEXunassignedItem 3 2 2" xfId="5525" xr:uid="{428AE45B-3791-46D1-BCD3-F03DF1FF7038}"/>
    <cellStyle name="SAPBEXunassignedItem 4" xfId="3080" xr:uid="{82A2B1BF-FE18-4A65-91E3-977ECE9D76B9}"/>
    <cellStyle name="SAPBEXunassignedItem 4 2" xfId="5454" xr:uid="{B5C6344A-C3D7-4857-87AD-A6E96D1F9AE9}"/>
    <cellStyle name="SAPBEXundefined" xfId="110" xr:uid="{00000000-0005-0000-0000-00005E030000}"/>
    <cellStyle name="SAPBEXundefined 2" xfId="1775" xr:uid="{EDD78056-FAC7-483C-B368-650D12C59F96}"/>
    <cellStyle name="SAPBEXundefined 2 2" xfId="3213" xr:uid="{7A758E2A-FA07-40BE-9A4E-23441FC25F7B}"/>
    <cellStyle name="SAPBEXundefined 2 2 2" xfId="5587" xr:uid="{2918B7E8-E711-407C-A47D-C92E97944910}"/>
    <cellStyle name="SAPBEXundefined 2 3" xfId="3068" xr:uid="{ACD26AF5-F260-4E8B-BFDD-7A3C7DB6AA59}"/>
    <cellStyle name="SAPBEXundefined 2 3 2" xfId="5442" xr:uid="{47E8233F-B1B1-47DC-9802-A0D70275FC07}"/>
    <cellStyle name="SAPBEXundefined 2 4" xfId="4303" xr:uid="{03CF2259-2DE7-4A2C-BDD5-43F909C9CFAD}"/>
    <cellStyle name="SAPBEXundefined 3" xfId="3284" xr:uid="{377F57E8-45FD-414D-A171-B817545A4E1F}"/>
    <cellStyle name="SAPBEXundefined 3 2" xfId="5658" xr:uid="{5E835B97-FAE3-4F62-BB4C-9A599CF8EC06}"/>
    <cellStyle name="SAPBEXundefined 4" xfId="3298" xr:uid="{8DFEED10-5827-4ED4-9253-788C0AECFABD}"/>
    <cellStyle name="SAPBEXundefined 4 2" xfId="5672" xr:uid="{262ED546-13DA-4837-8339-41D19795D6F5}"/>
    <cellStyle name="SAPBEXundefined 5" xfId="1774" xr:uid="{98824E1C-FBA2-457A-B508-9FB42F451674}"/>
    <cellStyle name="SAPBEXundefined 5 2" xfId="4302" xr:uid="{875FBCF8-02EB-487E-9520-B7CDB89055BE}"/>
    <cellStyle name="SAPBEXundefined 6" xfId="3348" xr:uid="{FDF3671F-1093-4636-8420-2E864B7CB116}"/>
    <cellStyle name="Sheet Title" xfId="111" xr:uid="{00000000-0005-0000-0000-00005F030000}"/>
    <cellStyle name="Sheet Title 2" xfId="952" xr:uid="{8BCFC3A6-BB2D-4D5E-8020-D05FFC9C02FE}"/>
    <cellStyle name="Title" xfId="112" builtinId="15" customBuiltin="1"/>
    <cellStyle name="Title 2" xfId="188" xr:uid="{00000000-0005-0000-0000-000061030000}"/>
    <cellStyle name="Title 2 2" xfId="1776" xr:uid="{ADB98B37-8AFA-435A-99A3-7B4665CC5D99}"/>
    <cellStyle name="Title 3" xfId="234" xr:uid="{00000000-0005-0000-0000-000062030000}"/>
    <cellStyle name="Title 3 2" xfId="1781" xr:uid="{7A96A93C-5C7A-48C4-892A-D1210E7AD1F9}"/>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10" xfId="3349" xr:uid="{D7069E8E-C5C8-4D8A-8D21-06F42D88D1FE}"/>
    <cellStyle name="Total 2" xfId="189" xr:uid="{00000000-0005-0000-0000-000069030000}"/>
    <cellStyle name="Total 2 2" xfId="1778" xr:uid="{179976E3-04EB-4C47-B29E-63F54A6D3201}"/>
    <cellStyle name="Total 2 2 2" xfId="3162" xr:uid="{ED8282DE-82DE-4016-90DC-792A93E0888E}"/>
    <cellStyle name="Total 2 2 2 2" xfId="5536" xr:uid="{0D074F41-AC6B-42D8-B87D-C13032F7C791}"/>
    <cellStyle name="Total 2 2 3" xfId="4305" xr:uid="{09D15B14-368C-4E7E-BC27-6DDD8566482D}"/>
    <cellStyle name="Total 2 3" xfId="3172" xr:uid="{EC3534D5-41D2-43AF-B4AC-8C381F170761}"/>
    <cellStyle name="Total 2 3 2" xfId="5546" xr:uid="{B5BF204F-3FB5-4E38-BC83-CB451AD0B6D0}"/>
    <cellStyle name="Total 2 4" xfId="1777" xr:uid="{20809672-789B-4F9B-B2B6-D104885B016E}"/>
    <cellStyle name="Total 2 4 2" xfId="4304" xr:uid="{F7CE4193-E4B3-462F-8B12-7435128CEF8A}"/>
    <cellStyle name="Total 2 5" xfId="3371" xr:uid="{1103A734-153C-4098-B797-D6FD4A51468B}"/>
    <cellStyle name="Total 3" xfId="235" xr:uid="{00000000-0005-0000-0000-00006A030000}"/>
    <cellStyle name="Total 3 2" xfId="3377" xr:uid="{5D2B5F47-9080-49AC-BBA9-2F027F241805}"/>
    <cellStyle name="Total 4" xfId="281" xr:uid="{00000000-0005-0000-0000-00006B030000}"/>
    <cellStyle name="Total 4 2" xfId="3384" xr:uid="{A82AC5A3-40FE-4084-827E-98A774AFC015}"/>
    <cellStyle name="Total 5" xfId="330" xr:uid="{00000000-0005-0000-0000-00006C030000}"/>
    <cellStyle name="Total 5 2" xfId="3393" xr:uid="{85C14A04-FB92-4CEE-9044-8C239D082C5F}"/>
    <cellStyle name="Total 6" xfId="394" xr:uid="{00000000-0005-0000-0000-00006D030000}"/>
    <cellStyle name="Total 6 2" xfId="3416" xr:uid="{74B17500-BD18-4A7F-913D-95E1C05178AB}"/>
    <cellStyle name="Total 7" xfId="465" xr:uid="{00000000-0005-0000-0000-00006E030000}"/>
    <cellStyle name="Total 7 2" xfId="3447" xr:uid="{954AC2C2-645F-445D-B243-FF8A352B395D}"/>
    <cellStyle name="Total 8" xfId="569" xr:uid="{00000000-0005-0000-0000-00006F030000}"/>
    <cellStyle name="Total 8 2" xfId="3505" xr:uid="{EE3D9FF1-F417-4123-938B-4DFF45DA82C4}"/>
    <cellStyle name="Total 9" xfId="921" xr:uid="{CBF16F10-0DCE-471F-A0DF-D7C35B026FA1}"/>
    <cellStyle name="Warning Text" xfId="114" builtinId="11" customBuiltin="1"/>
    <cellStyle name="Warning Text 2" xfId="190" xr:uid="{00000000-0005-0000-0000-000071030000}"/>
    <cellStyle name="Warning Text 2 2" xfId="1780" xr:uid="{EA50F5AF-5E34-46C1-BA71-AEF18B03B35A}"/>
    <cellStyle name="Warning Text 2 3" xfId="1779" xr:uid="{98C1911D-39B9-4F4F-9CB0-6DD0C6BC9035}"/>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 name="Warning Text 9" xfId="982" xr:uid="{7D936705-C758-4CB3-936A-91C98D837605}"/>
  </cellStyles>
  <dxfs count="10">
    <dxf>
      <font>
        <b val="0"/>
        <i val="0"/>
        <strike val="0"/>
        <condense val="0"/>
        <extend val="0"/>
        <outline val="0"/>
        <shadow val="0"/>
        <u val="none"/>
        <vertAlign val="baseline"/>
        <sz val="10"/>
        <color auto="1"/>
        <name val="Arial"/>
        <family val="2"/>
        <scheme val="none"/>
      </font>
      <numFmt numFmtId="176"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CCFF66"/>
      <color rgb="FF00CC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2022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MA Pivot"/>
      <sheetName val="ACTMA Detail"/>
      <sheetName val="GL 1430010 2002"/>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OUTPUTS"/>
      <sheetName val="LOOKUP"/>
      <sheetName val="DATA"/>
      <sheetName val="ENROLLMENT"/>
    </sheetNames>
    <sheetDataSet>
      <sheetData sheetId="0" refreshError="1"/>
      <sheetData sheetId="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zoomScaleNormal="100" workbookViewId="0">
      <selection activeCell="L119" sqref="L119"/>
    </sheetView>
  </sheetViews>
  <sheetFormatPr defaultColWidth="9.28515625" defaultRowHeight="12.6"/>
  <cols>
    <col min="1" max="1" width="9.7109375" style="9" customWidth="1"/>
    <col min="2" max="2" width="28.5703125" style="9" customWidth="1"/>
    <col min="3" max="3" width="16.5703125" style="9" customWidth="1"/>
    <col min="4" max="4" width="17.28515625" style="9" customWidth="1"/>
    <col min="5" max="5" width="15" style="9" customWidth="1"/>
    <col min="6" max="6" width="23.28515625" style="9" bestFit="1" customWidth="1"/>
    <col min="7" max="7" width="13.28515625" style="9" bestFit="1" customWidth="1"/>
    <col min="8" max="16384" width="9.28515625" style="9"/>
  </cols>
  <sheetData>
    <row r="1" spans="1:8" s="249" customFormat="1" ht="39.6" thickBot="1">
      <c r="A1" s="249" t="s">
        <v>0</v>
      </c>
      <c r="B1" s="249" t="s">
        <v>1</v>
      </c>
      <c r="C1" s="249" t="s">
        <v>2</v>
      </c>
      <c r="D1" s="249" t="s">
        <v>3</v>
      </c>
      <c r="E1" s="250" t="s">
        <v>4</v>
      </c>
      <c r="F1" s="251" t="s">
        <v>5</v>
      </c>
      <c r="G1" s="393" t="s">
        <v>6</v>
      </c>
      <c r="H1" s="394" t="s">
        <v>7</v>
      </c>
    </row>
    <row r="2" spans="1:8" ht="15.6" thickTop="1" thickBot="1">
      <c r="A2" s="256">
        <v>0</v>
      </c>
      <c r="B2" s="51" t="s">
        <v>8</v>
      </c>
      <c r="C2" s="257"/>
      <c r="D2" s="249" t="s">
        <v>9</v>
      </c>
      <c r="E2" s="252">
        <v>1</v>
      </c>
      <c r="F2" s="253" t="s">
        <v>10</v>
      </c>
      <c r="G2" s="246">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0</v>
      </c>
      <c r="H2" s="255">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v>
      </c>
    </row>
    <row r="3" spans="1:8" ht="15.6" thickTop="1" thickBot="1">
      <c r="A3" s="247">
        <v>1</v>
      </c>
      <c r="B3" s="35" t="s">
        <v>11</v>
      </c>
      <c r="C3" s="257"/>
      <c r="D3" s="9" t="s">
        <v>9</v>
      </c>
      <c r="E3" s="252">
        <v>1</v>
      </c>
      <c r="F3" s="253" t="s">
        <v>10</v>
      </c>
      <c r="G3"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5372</v>
      </c>
      <c r="H3"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0.75208000000000008</v>
      </c>
    </row>
    <row r="4" spans="1:8" ht="15.6" thickTop="1" thickBot="1">
      <c r="A4" s="247">
        <v>2</v>
      </c>
      <c r="B4" s="35" t="s">
        <v>12</v>
      </c>
      <c r="C4" s="257" t="s">
        <v>13</v>
      </c>
      <c r="D4" s="9" t="s">
        <v>9</v>
      </c>
      <c r="E4" s="252">
        <v>1</v>
      </c>
      <c r="F4" s="253" t="s">
        <v>10</v>
      </c>
      <c r="G4" s="246" t="e">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#N/A</v>
      </c>
      <c r="H4" s="255" t="e">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#N/A</v>
      </c>
    </row>
    <row r="5" spans="1:8" ht="15.6" thickTop="1" thickBot="1">
      <c r="A5" s="247">
        <v>3</v>
      </c>
      <c r="B5" s="35" t="s">
        <v>14</v>
      </c>
      <c r="C5" s="257"/>
      <c r="D5" s="9" t="s">
        <v>9</v>
      </c>
      <c r="E5" s="252">
        <v>1</v>
      </c>
      <c r="F5" s="253" t="s">
        <v>10</v>
      </c>
      <c r="G5" s="246" t="e">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#N/A</v>
      </c>
      <c r="H5" s="255" t="e">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#N/A</v>
      </c>
    </row>
    <row r="6" spans="1:8" ht="15.6" thickTop="1" thickBot="1">
      <c r="A6" s="247">
        <v>4</v>
      </c>
      <c r="B6" s="35" t="s">
        <v>15</v>
      </c>
      <c r="C6" s="257" t="s">
        <v>16</v>
      </c>
      <c r="D6" s="9" t="s">
        <v>9</v>
      </c>
      <c r="E6" s="252">
        <v>1</v>
      </c>
      <c r="F6" s="253" t="s">
        <v>10</v>
      </c>
      <c r="G6" s="246" t="e">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#N/A</v>
      </c>
      <c r="H6" s="255" t="e">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#N/A</v>
      </c>
    </row>
    <row r="7" spans="1:8" ht="15.6" thickTop="1" thickBot="1">
      <c r="A7" s="247">
        <v>5</v>
      </c>
      <c r="B7" s="9" t="s">
        <v>17</v>
      </c>
      <c r="C7" s="257" t="s">
        <v>18</v>
      </c>
      <c r="D7" s="9" t="s">
        <v>19</v>
      </c>
      <c r="E7" s="252">
        <v>1</v>
      </c>
      <c r="F7" s="253" t="s">
        <v>10</v>
      </c>
      <c r="G7"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15879</v>
      </c>
      <c r="H7"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1.7863801617295393E-4</v>
      </c>
    </row>
    <row r="8" spans="1:8" ht="15.6" thickTop="1" thickBot="1">
      <c r="A8" s="247">
        <v>6</v>
      </c>
      <c r="B8" s="9" t="s">
        <v>20</v>
      </c>
      <c r="C8" s="257" t="s">
        <v>18</v>
      </c>
      <c r="D8" s="9" t="s">
        <v>9</v>
      </c>
      <c r="E8" s="252">
        <v>1</v>
      </c>
      <c r="F8" s="253" t="s">
        <v>10</v>
      </c>
      <c r="G8"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296</v>
      </c>
      <c r="H8"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1.0762042365968228E-4</v>
      </c>
    </row>
    <row r="9" spans="1:8" ht="15.6" thickTop="1" thickBot="1">
      <c r="A9" s="247">
        <v>7</v>
      </c>
      <c r="B9" s="9" t="s">
        <v>21</v>
      </c>
      <c r="C9" s="257" t="s">
        <v>22</v>
      </c>
      <c r="D9" s="9" t="s">
        <v>19</v>
      </c>
      <c r="E9" s="252">
        <v>1</v>
      </c>
      <c r="F9" s="253" t="s">
        <v>10</v>
      </c>
      <c r="G9"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8805</v>
      </c>
      <c r="H9"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0" spans="1:8" ht="15.6" thickTop="1" thickBot="1">
      <c r="A10" s="247">
        <v>8</v>
      </c>
      <c r="B10" s="9" t="s">
        <v>23</v>
      </c>
      <c r="C10" s="257" t="s">
        <v>22</v>
      </c>
      <c r="D10" s="9" t="s">
        <v>9</v>
      </c>
      <c r="E10" s="252">
        <v>1</v>
      </c>
      <c r="F10" s="253" t="s">
        <v>10</v>
      </c>
      <c r="G10"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2552</v>
      </c>
      <c r="H10"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1" spans="1:8" ht="15.6" thickTop="1" thickBot="1">
      <c r="A11" s="247">
        <v>9</v>
      </c>
      <c r="B11" s="9" t="s">
        <v>24</v>
      </c>
      <c r="C11" s="257"/>
      <c r="D11" s="9" t="s">
        <v>9</v>
      </c>
      <c r="E11" s="252">
        <v>1</v>
      </c>
      <c r="F11" s="253" t="s">
        <v>10</v>
      </c>
      <c r="G11"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0</v>
      </c>
      <c r="H11"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2" spans="1:8" ht="15.6" thickTop="1" thickBot="1">
      <c r="A12" s="247">
        <v>10</v>
      </c>
      <c r="B12" s="9" t="s">
        <v>25</v>
      </c>
      <c r="C12" s="257"/>
      <c r="D12" s="9" t="s">
        <v>9</v>
      </c>
      <c r="E12" s="252">
        <v>1</v>
      </c>
      <c r="F12" s="253" t="s">
        <v>10</v>
      </c>
      <c r="G12"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0</v>
      </c>
      <c r="H12"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3" spans="1:8" ht="18" customHeight="1" thickTop="1" thickBot="1">
      <c r="A13" s="247">
        <v>11</v>
      </c>
      <c r="B13" s="9" t="s">
        <v>26</v>
      </c>
      <c r="C13" s="257"/>
      <c r="D13" s="9" t="s">
        <v>9</v>
      </c>
      <c r="E13" s="252">
        <v>1</v>
      </c>
      <c r="F13" s="253" t="s">
        <v>10</v>
      </c>
      <c r="G13"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50976</v>
      </c>
      <c r="H13"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0.50975999999999999</v>
      </c>
    </row>
    <row r="14" spans="1:8" ht="13.5" thickTop="1" thickBot="1">
      <c r="A14" s="247">
        <v>12</v>
      </c>
      <c r="B14" s="35" t="s">
        <v>27</v>
      </c>
      <c r="C14" s="35"/>
      <c r="D14" s="9" t="s">
        <v>19</v>
      </c>
      <c r="E14" s="252">
        <v>1</v>
      </c>
      <c r="F14" s="253" t="s">
        <v>10</v>
      </c>
      <c r="G14"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22881</v>
      </c>
      <c r="H14"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0.88547235500067478</v>
      </c>
    </row>
    <row r="15" spans="1:8" ht="15.6" thickTop="1" thickBot="1">
      <c r="A15" s="256">
        <v>0</v>
      </c>
      <c r="B15" s="51" t="s">
        <v>8</v>
      </c>
      <c r="C15" s="257"/>
      <c r="D15" s="249" t="s">
        <v>9</v>
      </c>
      <c r="E15" s="252">
        <v>2</v>
      </c>
      <c r="F15" s="253" t="s">
        <v>28</v>
      </c>
      <c r="G15" s="246">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0</v>
      </c>
      <c r="H15" s="255">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v>
      </c>
    </row>
    <row r="16" spans="1:8" ht="15.6" thickTop="1" thickBot="1">
      <c r="A16" s="247">
        <v>1</v>
      </c>
      <c r="B16" s="9" t="s">
        <v>11</v>
      </c>
      <c r="C16" s="257"/>
      <c r="D16" s="9" t="s">
        <v>9</v>
      </c>
      <c r="E16" s="248">
        <v>2</v>
      </c>
      <c r="F16" s="254" t="s">
        <v>28</v>
      </c>
      <c r="G16"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5319</v>
      </c>
      <c r="H16"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0.7446600000000001</v>
      </c>
    </row>
    <row r="17" spans="1:8" ht="15.6" thickTop="1" thickBot="1">
      <c r="A17" s="247">
        <v>2</v>
      </c>
      <c r="B17" s="9" t="s">
        <v>12</v>
      </c>
      <c r="C17" s="257" t="s">
        <v>13</v>
      </c>
      <c r="D17" s="9" t="s">
        <v>9</v>
      </c>
      <c r="E17" s="248">
        <v>2</v>
      </c>
      <c r="F17" s="254" t="s">
        <v>28</v>
      </c>
      <c r="G17" s="246" t="e">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#N/A</v>
      </c>
      <c r="H17" s="255" t="e">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#N/A</v>
      </c>
    </row>
    <row r="18" spans="1:8" ht="15.6" thickTop="1" thickBot="1">
      <c r="A18" s="247">
        <v>3</v>
      </c>
      <c r="B18" s="9" t="s">
        <v>14</v>
      </c>
      <c r="C18" s="257"/>
      <c r="D18" s="9" t="s">
        <v>9</v>
      </c>
      <c r="E18" s="248">
        <v>2</v>
      </c>
      <c r="F18" s="254" t="s">
        <v>28</v>
      </c>
      <c r="G18" s="246" t="e">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#N/A</v>
      </c>
      <c r="H18" s="255" t="e">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#N/A</v>
      </c>
    </row>
    <row r="19" spans="1:8" ht="15.6" thickTop="1" thickBot="1">
      <c r="A19" s="247">
        <v>4</v>
      </c>
      <c r="B19" s="9" t="s">
        <v>15</v>
      </c>
      <c r="C19" s="257" t="s">
        <v>16</v>
      </c>
      <c r="D19" s="9" t="s">
        <v>9</v>
      </c>
      <c r="E19" s="248">
        <v>2</v>
      </c>
      <c r="F19" s="254" t="s">
        <v>28</v>
      </c>
      <c r="G19" s="246" t="e">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#N/A</v>
      </c>
      <c r="H19" s="255" t="e">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#N/A</v>
      </c>
    </row>
    <row r="20" spans="1:8" ht="15.6" thickTop="1" thickBot="1">
      <c r="A20" s="247">
        <v>5</v>
      </c>
      <c r="B20" s="9" t="s">
        <v>17</v>
      </c>
      <c r="C20" s="257" t="s">
        <v>18</v>
      </c>
      <c r="D20" s="9" t="s">
        <v>19</v>
      </c>
      <c r="E20" s="248">
        <v>2</v>
      </c>
      <c r="F20" s="254" t="s">
        <v>28</v>
      </c>
      <c r="G20"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16220</v>
      </c>
      <c r="H20"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4.2258834246240442E-5</v>
      </c>
    </row>
    <row r="21" spans="1:8" ht="15.6" thickTop="1" thickBot="1">
      <c r="A21" s="247">
        <v>6</v>
      </c>
      <c r="B21" s="9" t="s">
        <v>20</v>
      </c>
      <c r="C21" s="257" t="s">
        <v>18</v>
      </c>
      <c r="D21" s="9" t="s">
        <v>9</v>
      </c>
      <c r="E21" s="248">
        <v>2</v>
      </c>
      <c r="F21" s="254" t="s">
        <v>28</v>
      </c>
      <c r="G21"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295</v>
      </c>
      <c r="H21"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2.4839281431923156E-5</v>
      </c>
    </row>
    <row r="22" spans="1:8" ht="15.6" thickTop="1" thickBot="1">
      <c r="A22" s="247">
        <v>7</v>
      </c>
      <c r="B22" s="9" t="s">
        <v>21</v>
      </c>
      <c r="C22" s="257" t="s">
        <v>22</v>
      </c>
      <c r="D22" s="9" t="s">
        <v>19</v>
      </c>
      <c r="E22" s="248">
        <v>2</v>
      </c>
      <c r="F22" s="254" t="s">
        <v>28</v>
      </c>
      <c r="G22"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8757</v>
      </c>
      <c r="H22"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3" spans="1:8" ht="15.6" thickTop="1" thickBot="1">
      <c r="A23" s="247">
        <v>8</v>
      </c>
      <c r="B23" s="9" t="s">
        <v>23</v>
      </c>
      <c r="C23" s="257" t="s">
        <v>22</v>
      </c>
      <c r="D23" s="9" t="s">
        <v>9</v>
      </c>
      <c r="E23" s="248">
        <v>2</v>
      </c>
      <c r="F23" s="254" t="s">
        <v>28</v>
      </c>
      <c r="G23"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2542</v>
      </c>
      <c r="H23"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4" spans="1:8" ht="15.6" thickTop="1" thickBot="1">
      <c r="A24" s="247">
        <v>9</v>
      </c>
      <c r="B24" s="9" t="s">
        <v>24</v>
      </c>
      <c r="C24" s="257"/>
      <c r="D24" s="9" t="s">
        <v>9</v>
      </c>
      <c r="E24" s="248">
        <v>2</v>
      </c>
      <c r="F24" s="254" t="s">
        <v>28</v>
      </c>
      <c r="G24"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0</v>
      </c>
      <c r="H24"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5" spans="1:8" ht="15.6" thickTop="1" thickBot="1">
      <c r="A25" s="247">
        <v>10</v>
      </c>
      <c r="B25" s="9" t="s">
        <v>25</v>
      </c>
      <c r="C25" s="257"/>
      <c r="D25" s="9" t="s">
        <v>9</v>
      </c>
      <c r="E25" s="248">
        <v>2</v>
      </c>
      <c r="F25" s="254" t="s">
        <v>28</v>
      </c>
      <c r="G25"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0</v>
      </c>
      <c r="H25"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6" spans="1:8" ht="15.6" thickTop="1" thickBot="1">
      <c r="A26" s="247">
        <v>11</v>
      </c>
      <c r="B26" s="9" t="s">
        <v>26</v>
      </c>
      <c r="C26" s="257"/>
      <c r="D26" s="9" t="s">
        <v>9</v>
      </c>
      <c r="E26" s="248">
        <v>2</v>
      </c>
      <c r="F26" s="254" t="s">
        <v>28</v>
      </c>
      <c r="G26"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50086</v>
      </c>
      <c r="H26"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0.50086000000000008</v>
      </c>
    </row>
    <row r="27" spans="1:8" ht="13.5" thickTop="1" thickBot="1">
      <c r="A27" s="247">
        <v>12</v>
      </c>
      <c r="B27" s="9" t="s">
        <v>27</v>
      </c>
      <c r="C27" s="35"/>
      <c r="D27" s="9" t="s">
        <v>19</v>
      </c>
      <c r="E27" s="248">
        <v>2</v>
      </c>
      <c r="F27" s="254" t="s">
        <v>28</v>
      </c>
      <c r="G27"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23402</v>
      </c>
      <c r="H27"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0.80414936313033114</v>
      </c>
    </row>
    <row r="28" spans="1:8" ht="15.6" thickTop="1" thickBot="1">
      <c r="A28" s="256">
        <v>0</v>
      </c>
      <c r="B28" s="51" t="s">
        <v>8</v>
      </c>
      <c r="C28" s="257"/>
      <c r="D28" s="249" t="s">
        <v>9</v>
      </c>
      <c r="E28" s="252">
        <v>3</v>
      </c>
      <c r="F28" s="253" t="s">
        <v>29</v>
      </c>
      <c r="G28" s="246">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28" s="255">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v>
      </c>
    </row>
    <row r="29" spans="1:8" ht="15.6" thickTop="1" thickBot="1">
      <c r="A29" s="247">
        <v>1</v>
      </c>
      <c r="B29" s="9" t="s">
        <v>11</v>
      </c>
      <c r="C29" s="257"/>
      <c r="D29" s="9" t="s">
        <v>9</v>
      </c>
      <c r="E29" s="248">
        <v>3</v>
      </c>
      <c r="F29" s="254" t="s">
        <v>29</v>
      </c>
      <c r="G29"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5172</v>
      </c>
      <c r="H29"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0" spans="1:8" ht="15.6" thickTop="1" thickBot="1">
      <c r="A30" s="247">
        <v>2</v>
      </c>
      <c r="B30" s="9" t="s">
        <v>12</v>
      </c>
      <c r="C30" s="257" t="s">
        <v>13</v>
      </c>
      <c r="D30" s="9" t="s">
        <v>9</v>
      </c>
      <c r="E30" s="248">
        <v>3</v>
      </c>
      <c r="F30" s="254" t="s">
        <v>29</v>
      </c>
      <c r="G30" s="246"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30" s="255" t="e">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#N/A</v>
      </c>
    </row>
    <row r="31" spans="1:8" ht="15.6" thickTop="1" thickBot="1">
      <c r="A31" s="247">
        <v>3</v>
      </c>
      <c r="B31" s="9" t="s">
        <v>14</v>
      </c>
      <c r="C31" s="257"/>
      <c r="D31" s="9" t="s">
        <v>9</v>
      </c>
      <c r="E31" s="248">
        <v>3</v>
      </c>
      <c r="F31" s="254" t="s">
        <v>29</v>
      </c>
      <c r="G31" s="246"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31" s="255" t="e">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#N/A</v>
      </c>
    </row>
    <row r="32" spans="1:8" ht="15.6" thickTop="1" thickBot="1">
      <c r="A32" s="247">
        <v>4</v>
      </c>
      <c r="B32" s="9" t="s">
        <v>15</v>
      </c>
      <c r="C32" s="257" t="s">
        <v>16</v>
      </c>
      <c r="D32" s="9" t="s">
        <v>9</v>
      </c>
      <c r="E32" s="248">
        <v>3</v>
      </c>
      <c r="F32" s="254" t="s">
        <v>29</v>
      </c>
      <c r="G32" s="246"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32" s="255" t="e">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#N/A</v>
      </c>
    </row>
    <row r="33" spans="1:8" ht="15.6" thickTop="1" thickBot="1">
      <c r="A33" s="247">
        <v>5</v>
      </c>
      <c r="B33" s="9" t="s">
        <v>17</v>
      </c>
      <c r="C33" s="257" t="s">
        <v>18</v>
      </c>
      <c r="D33" s="9" t="s">
        <v>19</v>
      </c>
      <c r="E33" s="248">
        <v>3</v>
      </c>
      <c r="F33" s="254" t="s">
        <v>29</v>
      </c>
      <c r="G33"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16662</v>
      </c>
      <c r="H33"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4" spans="1:8" ht="15.6" thickTop="1" thickBot="1">
      <c r="A34" s="247">
        <v>6</v>
      </c>
      <c r="B34" s="9" t="s">
        <v>20</v>
      </c>
      <c r="C34" s="257" t="s">
        <v>18</v>
      </c>
      <c r="D34" s="9" t="s">
        <v>9</v>
      </c>
      <c r="E34" s="248">
        <v>3</v>
      </c>
      <c r="F34" s="254" t="s">
        <v>29</v>
      </c>
      <c r="G34"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295</v>
      </c>
      <c r="H34"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5" spans="1:8" ht="15.6" thickTop="1" thickBot="1">
      <c r="A35" s="247">
        <v>7</v>
      </c>
      <c r="B35" s="9" t="s">
        <v>21</v>
      </c>
      <c r="C35" s="257" t="s">
        <v>22</v>
      </c>
      <c r="D35" s="9" t="s">
        <v>19</v>
      </c>
      <c r="E35" s="248">
        <v>3</v>
      </c>
      <c r="F35" s="254" t="s">
        <v>29</v>
      </c>
      <c r="G35"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8660</v>
      </c>
      <c r="H35"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6" spans="1:8" ht="15.6" thickTop="1" thickBot="1">
      <c r="A36" s="247">
        <v>8</v>
      </c>
      <c r="B36" s="9" t="s">
        <v>23</v>
      </c>
      <c r="C36" s="257" t="s">
        <v>22</v>
      </c>
      <c r="D36" s="9" t="s">
        <v>9</v>
      </c>
      <c r="E36" s="248">
        <v>3</v>
      </c>
      <c r="F36" s="254" t="s">
        <v>29</v>
      </c>
      <c r="G36"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2508</v>
      </c>
      <c r="H36"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7" spans="1:8" ht="15.6" thickTop="1" thickBot="1">
      <c r="A37" s="247">
        <v>9</v>
      </c>
      <c r="B37" s="9" t="s">
        <v>24</v>
      </c>
      <c r="C37" s="257"/>
      <c r="D37" s="9" t="s">
        <v>9</v>
      </c>
      <c r="E37" s="248">
        <v>3</v>
      </c>
      <c r="F37" s="254" t="s">
        <v>29</v>
      </c>
      <c r="G37"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37"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8" spans="1:8" ht="15.6" thickTop="1" thickBot="1">
      <c r="A38" s="247">
        <v>10</v>
      </c>
      <c r="B38" s="9" t="s">
        <v>25</v>
      </c>
      <c r="C38" s="257"/>
      <c r="D38" s="9" t="s">
        <v>9</v>
      </c>
      <c r="E38" s="248">
        <v>3</v>
      </c>
      <c r="F38" s="254" t="s">
        <v>29</v>
      </c>
      <c r="G38"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38"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9" spans="1:8" ht="15.6" thickTop="1" thickBot="1">
      <c r="A39" s="247">
        <v>11</v>
      </c>
      <c r="B39" s="9" t="s">
        <v>26</v>
      </c>
      <c r="C39" s="257"/>
      <c r="D39" s="9" t="s">
        <v>9</v>
      </c>
      <c r="E39" s="248">
        <v>3</v>
      </c>
      <c r="F39" s="254" t="s">
        <v>29</v>
      </c>
      <c r="G39"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49464</v>
      </c>
      <c r="H39"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5.1495372178509162E-3</v>
      </c>
    </row>
    <row r="40" spans="1:8" ht="13.5" thickTop="1" thickBot="1">
      <c r="A40" s="247">
        <v>12</v>
      </c>
      <c r="B40" s="9" t="s">
        <v>27</v>
      </c>
      <c r="C40" s="35"/>
      <c r="D40" s="9" t="s">
        <v>19</v>
      </c>
      <c r="E40" s="248">
        <v>3</v>
      </c>
      <c r="F40" s="254" t="s">
        <v>29</v>
      </c>
      <c r="G40"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23233</v>
      </c>
      <c r="H40"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0.9825671277207032</v>
      </c>
    </row>
    <row r="41" spans="1:8" ht="15.6" thickTop="1" thickBot="1">
      <c r="A41" s="256">
        <v>0</v>
      </c>
      <c r="B41" s="51" t="s">
        <v>8</v>
      </c>
      <c r="C41" s="257"/>
      <c r="D41" s="249" t="s">
        <v>9</v>
      </c>
      <c r="E41" s="252">
        <v>4</v>
      </c>
      <c r="F41" s="253" t="s">
        <v>30</v>
      </c>
      <c r="G41" s="246">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0</v>
      </c>
      <c r="H41" s="255">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v>
      </c>
    </row>
    <row r="42" spans="1:8" ht="15.6" thickTop="1" thickBot="1">
      <c r="A42" s="247">
        <v>1</v>
      </c>
      <c r="B42" s="9" t="s">
        <v>11</v>
      </c>
      <c r="C42" s="257"/>
      <c r="D42" s="9" t="s">
        <v>9</v>
      </c>
      <c r="E42" s="248">
        <v>4</v>
      </c>
      <c r="F42" s="254" t="s">
        <v>30</v>
      </c>
      <c r="G42"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5323</v>
      </c>
      <c r="H42"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2.0755195977881966</v>
      </c>
    </row>
    <row r="43" spans="1:8" ht="15.6" thickTop="1" thickBot="1">
      <c r="A43" s="247">
        <v>2</v>
      </c>
      <c r="B43" s="9" t="s">
        <v>12</v>
      </c>
      <c r="C43" s="257" t="s">
        <v>13</v>
      </c>
      <c r="D43" s="9" t="s">
        <v>9</v>
      </c>
      <c r="E43" s="248">
        <v>4</v>
      </c>
      <c r="F43" s="254" t="s">
        <v>30</v>
      </c>
      <c r="G43" s="246"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43" s="255" t="e">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#N/A</v>
      </c>
    </row>
    <row r="44" spans="1:8" ht="15.6" thickTop="1" thickBot="1">
      <c r="A44" s="247">
        <v>3</v>
      </c>
      <c r="B44" s="9" t="s">
        <v>14</v>
      </c>
      <c r="C44" s="257"/>
      <c r="D44" s="9" t="s">
        <v>9</v>
      </c>
      <c r="E44" s="248">
        <v>4</v>
      </c>
      <c r="F44" s="254" t="s">
        <v>30</v>
      </c>
      <c r="G44" s="246"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44" s="255" t="e">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#N/A</v>
      </c>
    </row>
    <row r="45" spans="1:8" ht="15.6" thickTop="1" thickBot="1">
      <c r="A45" s="247">
        <v>4</v>
      </c>
      <c r="B45" s="9" t="s">
        <v>15</v>
      </c>
      <c r="C45" s="257" t="s">
        <v>16</v>
      </c>
      <c r="D45" s="9" t="s">
        <v>9</v>
      </c>
      <c r="E45" s="248">
        <v>4</v>
      </c>
      <c r="F45" s="254" t="s">
        <v>30</v>
      </c>
      <c r="G45" s="246"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45" s="255" t="e">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#N/A</v>
      </c>
    </row>
    <row r="46" spans="1:8" ht="15.6" thickTop="1" thickBot="1">
      <c r="A46" s="247">
        <v>5</v>
      </c>
      <c r="B46" s="9" t="s">
        <v>17</v>
      </c>
      <c r="C46" s="257" t="s">
        <v>18</v>
      </c>
      <c r="D46" s="9" t="s">
        <v>19</v>
      </c>
      <c r="E46" s="248">
        <v>4</v>
      </c>
      <c r="F46" s="254" t="s">
        <v>30</v>
      </c>
      <c r="G46"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16958</v>
      </c>
      <c r="H46"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0.71205822024494414</v>
      </c>
    </row>
    <row r="47" spans="1:8" ht="15.6" thickTop="1" thickBot="1">
      <c r="A47" s="247">
        <v>6</v>
      </c>
      <c r="B47" s="9" t="s">
        <v>20</v>
      </c>
      <c r="C47" s="257" t="s">
        <v>18</v>
      </c>
      <c r="D47" s="9" t="s">
        <v>9</v>
      </c>
      <c r="E47" s="248">
        <v>4</v>
      </c>
      <c r="F47" s="254" t="s">
        <v>30</v>
      </c>
      <c r="G47"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293</v>
      </c>
      <c r="H47"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8.8960863947868341E-2</v>
      </c>
    </row>
    <row r="48" spans="1:8" ht="15.6" thickTop="1" thickBot="1">
      <c r="A48" s="247">
        <v>7</v>
      </c>
      <c r="B48" s="9" t="s">
        <v>21</v>
      </c>
      <c r="C48" s="257" t="s">
        <v>22</v>
      </c>
      <c r="D48" s="9" t="s">
        <v>19</v>
      </c>
      <c r="E48" s="248">
        <v>4</v>
      </c>
      <c r="F48" s="254" t="s">
        <v>30</v>
      </c>
      <c r="G48"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8613</v>
      </c>
      <c r="H48"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49" spans="1:8" ht="15.6" thickTop="1" thickBot="1">
      <c r="A49" s="247">
        <v>8</v>
      </c>
      <c r="B49" s="9" t="s">
        <v>23</v>
      </c>
      <c r="C49" s="257" t="s">
        <v>22</v>
      </c>
      <c r="D49" s="9" t="s">
        <v>9</v>
      </c>
      <c r="E49" s="248">
        <v>4</v>
      </c>
      <c r="F49" s="254" t="s">
        <v>30</v>
      </c>
      <c r="G49"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2499</v>
      </c>
      <c r="H49"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0.13921704090000001</v>
      </c>
    </row>
    <row r="50" spans="1:8" ht="15.6" thickTop="1" thickBot="1">
      <c r="A50" s="247">
        <v>9</v>
      </c>
      <c r="B50" s="9" t="s">
        <v>24</v>
      </c>
      <c r="C50" s="257"/>
      <c r="D50" s="9" t="s">
        <v>9</v>
      </c>
      <c r="E50" s="248">
        <v>4</v>
      </c>
      <c r="F50" s="254" t="s">
        <v>30</v>
      </c>
      <c r="G50"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50"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51" spans="1:8" ht="15.6" thickTop="1" thickBot="1">
      <c r="A51" s="247">
        <v>10</v>
      </c>
      <c r="B51" s="9" t="s">
        <v>25</v>
      </c>
      <c r="C51" s="257"/>
      <c r="D51" s="9" t="s">
        <v>9</v>
      </c>
      <c r="E51" s="248">
        <v>4</v>
      </c>
      <c r="F51" s="254" t="s">
        <v>30</v>
      </c>
      <c r="G51"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51"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52" spans="1:8" ht="15.6" thickTop="1" thickBot="1">
      <c r="A52" s="247">
        <v>11</v>
      </c>
      <c r="B52" s="9" t="s">
        <v>26</v>
      </c>
      <c r="C52" s="257"/>
      <c r="D52" s="9" t="s">
        <v>9</v>
      </c>
      <c r="E52" s="248">
        <v>4</v>
      </c>
      <c r="F52" s="254" t="s">
        <v>30</v>
      </c>
      <c r="G52"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47869</v>
      </c>
      <c r="H52"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2.5417313660126003E-2</v>
      </c>
    </row>
    <row r="53" spans="1:8" ht="13.5" thickTop="1" thickBot="1">
      <c r="A53" s="247">
        <v>12</v>
      </c>
      <c r="B53" s="9" t="s">
        <v>27</v>
      </c>
      <c r="C53" s="35"/>
      <c r="D53" s="9" t="s">
        <v>19</v>
      </c>
      <c r="E53" s="248">
        <v>4</v>
      </c>
      <c r="F53" s="254" t="s">
        <v>30</v>
      </c>
      <c r="G53"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22088</v>
      </c>
      <c r="H53"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0.69595816707281388</v>
      </c>
    </row>
    <row r="54" spans="1:8" ht="15.6" thickTop="1" thickBot="1">
      <c r="A54" s="256">
        <v>0</v>
      </c>
      <c r="B54" s="51" t="s">
        <v>8</v>
      </c>
      <c r="C54" s="257"/>
      <c r="D54" s="249" t="s">
        <v>9</v>
      </c>
      <c r="E54" s="252">
        <v>5</v>
      </c>
      <c r="F54" s="253" t="s">
        <v>31</v>
      </c>
      <c r="G54" s="246">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54" s="255">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55" spans="1:8" ht="15.6" thickTop="1" thickBot="1">
      <c r="A55" s="247">
        <v>1</v>
      </c>
      <c r="B55" s="9" t="s">
        <v>11</v>
      </c>
      <c r="C55" s="257"/>
      <c r="D55" s="9" t="s">
        <v>9</v>
      </c>
      <c r="E55" s="248">
        <v>5</v>
      </c>
      <c r="F55" s="254" t="s">
        <v>31</v>
      </c>
      <c r="G55"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5256</v>
      </c>
      <c r="H55"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2.1975888066818539</v>
      </c>
    </row>
    <row r="56" spans="1:8" ht="15.6" thickTop="1" thickBot="1">
      <c r="A56" s="247">
        <v>2</v>
      </c>
      <c r="B56" s="9" t="s">
        <v>12</v>
      </c>
      <c r="C56" s="257" t="s">
        <v>13</v>
      </c>
      <c r="D56" s="9" t="s">
        <v>9</v>
      </c>
      <c r="E56" s="248">
        <v>5</v>
      </c>
      <c r="F56" s="254" t="s">
        <v>31</v>
      </c>
      <c r="G56" s="246"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56" s="255" t="e">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#N/A</v>
      </c>
    </row>
    <row r="57" spans="1:8" ht="15.6" thickTop="1" thickBot="1">
      <c r="A57" s="247">
        <v>3</v>
      </c>
      <c r="B57" s="9" t="s">
        <v>14</v>
      </c>
      <c r="C57" s="257"/>
      <c r="D57" s="9" t="s">
        <v>9</v>
      </c>
      <c r="E57" s="248">
        <v>5</v>
      </c>
      <c r="F57" s="254" t="s">
        <v>31</v>
      </c>
      <c r="G57" s="246"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57" s="255" t="e">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#N/A</v>
      </c>
    </row>
    <row r="58" spans="1:8" ht="15.6" thickTop="1" thickBot="1">
      <c r="A58" s="247">
        <v>4</v>
      </c>
      <c r="B58" s="9" t="s">
        <v>15</v>
      </c>
      <c r="C58" s="257" t="s">
        <v>16</v>
      </c>
      <c r="D58" s="9" t="s">
        <v>9</v>
      </c>
      <c r="E58" s="248">
        <v>5</v>
      </c>
      <c r="F58" s="254" t="s">
        <v>31</v>
      </c>
      <c r="G58" s="246"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58" s="255" t="e">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#N/A</v>
      </c>
    </row>
    <row r="59" spans="1:8" ht="15.6" thickTop="1" thickBot="1">
      <c r="A59" s="247">
        <v>5</v>
      </c>
      <c r="B59" s="9" t="s">
        <v>17</v>
      </c>
      <c r="C59" s="257" t="s">
        <v>18</v>
      </c>
      <c r="D59" s="9" t="s">
        <v>19</v>
      </c>
      <c r="E59" s="248">
        <v>5</v>
      </c>
      <c r="F59" s="254" t="s">
        <v>31</v>
      </c>
      <c r="G59"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17137</v>
      </c>
      <c r="H59"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1.3195377569571136</v>
      </c>
    </row>
    <row r="60" spans="1:8" ht="15.6" thickTop="1" thickBot="1">
      <c r="A60" s="247">
        <v>6</v>
      </c>
      <c r="B60" s="9" t="s">
        <v>20</v>
      </c>
      <c r="C60" s="257" t="s">
        <v>18</v>
      </c>
      <c r="D60" s="9" t="s">
        <v>9</v>
      </c>
      <c r="E60" s="248">
        <v>5</v>
      </c>
      <c r="F60" s="254" t="s">
        <v>31</v>
      </c>
      <c r="G60"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291</v>
      </c>
      <c r="H60"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0.12720945364236833</v>
      </c>
    </row>
    <row r="61" spans="1:8" ht="15.6" thickTop="1" thickBot="1">
      <c r="A61" s="247">
        <v>7</v>
      </c>
      <c r="B61" s="9" t="s">
        <v>21</v>
      </c>
      <c r="C61" s="257" t="s">
        <v>22</v>
      </c>
      <c r="D61" s="9" t="s">
        <v>19</v>
      </c>
      <c r="E61" s="248">
        <v>5</v>
      </c>
      <c r="F61" s="254" t="s">
        <v>31</v>
      </c>
      <c r="G61"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8491</v>
      </c>
      <c r="H61"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0.2001473047</v>
      </c>
    </row>
    <row r="62" spans="1:8" ht="15.6" thickTop="1" thickBot="1">
      <c r="A62" s="247">
        <v>8</v>
      </c>
      <c r="B62" s="9" t="s">
        <v>23</v>
      </c>
      <c r="C62" s="257" t="s">
        <v>22</v>
      </c>
      <c r="D62" s="9" t="s">
        <v>9</v>
      </c>
      <c r="E62" s="248">
        <v>5</v>
      </c>
      <c r="F62" s="254" t="s">
        <v>31</v>
      </c>
      <c r="G62"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2473</v>
      </c>
      <c r="H62"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0.19790751289999997</v>
      </c>
    </row>
    <row r="63" spans="1:8" ht="15.6" thickTop="1" thickBot="1">
      <c r="A63" s="247">
        <v>9</v>
      </c>
      <c r="B63" s="9" t="s">
        <v>24</v>
      </c>
      <c r="C63" s="257"/>
      <c r="D63" s="9" t="s">
        <v>9</v>
      </c>
      <c r="E63" s="248">
        <v>5</v>
      </c>
      <c r="F63" s="254" t="s">
        <v>31</v>
      </c>
      <c r="G63"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63"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4" spans="1:8" ht="15.6" thickTop="1" thickBot="1">
      <c r="A64" s="247">
        <v>10</v>
      </c>
      <c r="B64" s="9" t="s">
        <v>25</v>
      </c>
      <c r="C64" s="257"/>
      <c r="D64" s="9" t="s">
        <v>9</v>
      </c>
      <c r="E64" s="248">
        <v>5</v>
      </c>
      <c r="F64" s="254" t="s">
        <v>31</v>
      </c>
      <c r="G64"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64"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5" spans="1:8" ht="15.6" thickTop="1" thickBot="1">
      <c r="A65" s="247">
        <v>11</v>
      </c>
      <c r="B65" s="9" t="s">
        <v>26</v>
      </c>
      <c r="C65" s="257"/>
      <c r="D65" s="9" t="s">
        <v>9</v>
      </c>
      <c r="E65" s="248">
        <v>5</v>
      </c>
      <c r="F65" s="254" t="s">
        <v>31</v>
      </c>
      <c r="G65"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48945</v>
      </c>
      <c r="H65"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9.2590099199680975E-2</v>
      </c>
    </row>
    <row r="66" spans="1:8" ht="13.5" thickTop="1" thickBot="1">
      <c r="A66" s="247">
        <v>12</v>
      </c>
      <c r="B66" s="9" t="s">
        <v>27</v>
      </c>
      <c r="C66" s="35"/>
      <c r="D66" s="9" t="s">
        <v>19</v>
      </c>
      <c r="E66" s="248">
        <v>5</v>
      </c>
      <c r="F66" s="254" t="s">
        <v>31</v>
      </c>
      <c r="G66"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12623</v>
      </c>
      <c r="H66"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0.40837835693995023</v>
      </c>
    </row>
    <row r="67" spans="1:8" ht="15.6" thickTop="1" thickBot="1">
      <c r="A67" s="256">
        <v>0</v>
      </c>
      <c r="B67" s="51" t="s">
        <v>8</v>
      </c>
      <c r="C67" s="257"/>
      <c r="D67" s="249" t="s">
        <v>9</v>
      </c>
      <c r="E67" s="252">
        <v>6</v>
      </c>
      <c r="F67" s="253" t="s">
        <v>32</v>
      </c>
      <c r="G67" s="246">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67" s="255">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68" spans="1:8" ht="15.6" thickTop="1" thickBot="1">
      <c r="A68" s="247">
        <v>1</v>
      </c>
      <c r="B68" s="9" t="s">
        <v>11</v>
      </c>
      <c r="C68" s="257"/>
      <c r="D68" s="9" t="s">
        <v>9</v>
      </c>
      <c r="E68" s="248">
        <v>6</v>
      </c>
      <c r="F68" s="254" t="s">
        <v>32</v>
      </c>
      <c r="G68"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5267</v>
      </c>
      <c r="H68"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2.2395922830296446</v>
      </c>
    </row>
    <row r="69" spans="1:8" ht="15.6" thickTop="1" thickBot="1">
      <c r="A69" s="247">
        <v>2</v>
      </c>
      <c r="B69" s="9" t="s">
        <v>12</v>
      </c>
      <c r="C69" s="257" t="s">
        <v>13</v>
      </c>
      <c r="D69" s="9" t="s">
        <v>9</v>
      </c>
      <c r="E69" s="248">
        <v>6</v>
      </c>
      <c r="F69" s="254" t="s">
        <v>32</v>
      </c>
      <c r="G69" s="246"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69" s="255" t="e">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#N/A</v>
      </c>
    </row>
    <row r="70" spans="1:8" ht="15.6" thickTop="1" thickBot="1">
      <c r="A70" s="247">
        <v>3</v>
      </c>
      <c r="B70" s="9" t="s">
        <v>14</v>
      </c>
      <c r="C70" s="257"/>
      <c r="D70" s="9" t="s">
        <v>9</v>
      </c>
      <c r="E70" s="248">
        <v>6</v>
      </c>
      <c r="F70" s="254" t="s">
        <v>32</v>
      </c>
      <c r="G70" s="246"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70" s="255" t="e">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#N/A</v>
      </c>
    </row>
    <row r="71" spans="1:8" ht="15.6" thickTop="1" thickBot="1">
      <c r="A71" s="247">
        <v>4</v>
      </c>
      <c r="B71" s="9" t="s">
        <v>15</v>
      </c>
      <c r="C71" s="257" t="s">
        <v>16</v>
      </c>
      <c r="D71" s="9" t="s">
        <v>9</v>
      </c>
      <c r="E71" s="248">
        <v>6</v>
      </c>
      <c r="F71" s="254" t="s">
        <v>32</v>
      </c>
      <c r="G71" s="246"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71" s="255" t="e">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#N/A</v>
      </c>
    </row>
    <row r="72" spans="1:8" ht="15.6" thickTop="1" thickBot="1">
      <c r="A72" s="247">
        <v>5</v>
      </c>
      <c r="B72" s="9" t="s">
        <v>17</v>
      </c>
      <c r="C72" s="257" t="s">
        <v>18</v>
      </c>
      <c r="D72" s="9" t="s">
        <v>19</v>
      </c>
      <c r="E72" s="248">
        <v>6</v>
      </c>
      <c r="F72" s="254" t="s">
        <v>32</v>
      </c>
      <c r="G72"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17219</v>
      </c>
      <c r="H72"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0.88752894243225455</v>
      </c>
    </row>
    <row r="73" spans="1:8" ht="15.6" thickTop="1" thickBot="1">
      <c r="A73" s="247">
        <v>6</v>
      </c>
      <c r="B73" s="9" t="s">
        <v>20</v>
      </c>
      <c r="C73" s="257" t="s">
        <v>18</v>
      </c>
      <c r="D73" s="9" t="s">
        <v>9</v>
      </c>
      <c r="E73" s="248">
        <v>6</v>
      </c>
      <c r="F73" s="254" t="s">
        <v>32</v>
      </c>
      <c r="G73"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272</v>
      </c>
      <c r="H73"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8.4633955001831046E-2</v>
      </c>
    </row>
    <row r="74" spans="1:8" ht="15.6" thickTop="1" thickBot="1">
      <c r="A74" s="247">
        <v>7</v>
      </c>
      <c r="B74" s="9" t="s">
        <v>21</v>
      </c>
      <c r="C74" s="257" t="s">
        <v>22</v>
      </c>
      <c r="D74" s="9" t="s">
        <v>19</v>
      </c>
      <c r="E74" s="248">
        <v>6</v>
      </c>
      <c r="F74" s="254" t="s">
        <v>32</v>
      </c>
      <c r="G74"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8414</v>
      </c>
      <c r="H74"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5" spans="1:8" ht="15.6" thickTop="1" thickBot="1">
      <c r="A75" s="247">
        <v>8</v>
      </c>
      <c r="B75" s="9" t="s">
        <v>23</v>
      </c>
      <c r="C75" s="257" t="s">
        <v>22</v>
      </c>
      <c r="D75" s="9" t="s">
        <v>9</v>
      </c>
      <c r="E75" s="248">
        <v>6</v>
      </c>
      <c r="F75" s="254" t="s">
        <v>32</v>
      </c>
      <c r="G75"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2443</v>
      </c>
      <c r="H75"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0.1495638802</v>
      </c>
    </row>
    <row r="76" spans="1:8" ht="15.6" thickTop="1" thickBot="1">
      <c r="A76" s="247">
        <v>9</v>
      </c>
      <c r="B76" s="9" t="s">
        <v>24</v>
      </c>
      <c r="C76" s="257"/>
      <c r="D76" s="9" t="s">
        <v>9</v>
      </c>
      <c r="E76" s="248">
        <v>6</v>
      </c>
      <c r="F76" s="254" t="s">
        <v>32</v>
      </c>
      <c r="G76"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6"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7" spans="1:8" ht="15.6" thickTop="1" thickBot="1">
      <c r="A77" s="247">
        <v>10</v>
      </c>
      <c r="B77" s="9" t="s">
        <v>25</v>
      </c>
      <c r="C77" s="257"/>
      <c r="D77" s="9" t="s">
        <v>9</v>
      </c>
      <c r="E77" s="248">
        <v>6</v>
      </c>
      <c r="F77" s="254" t="s">
        <v>32</v>
      </c>
      <c r="G77"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7"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8" spans="1:8" ht="15.6" thickTop="1" thickBot="1">
      <c r="A78" s="247">
        <v>11</v>
      </c>
      <c r="B78" s="9" t="s">
        <v>26</v>
      </c>
      <c r="C78" s="257"/>
      <c r="D78" s="9" t="s">
        <v>9</v>
      </c>
      <c r="E78" s="248">
        <v>6</v>
      </c>
      <c r="F78" s="254" t="s">
        <v>32</v>
      </c>
      <c r="G78"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48945</v>
      </c>
      <c r="H78"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3.9979258320310504E-2</v>
      </c>
    </row>
    <row r="79" spans="1:8" ht="13.5" thickTop="1" thickBot="1">
      <c r="A79" s="247">
        <v>12</v>
      </c>
      <c r="B79" s="9" t="s">
        <v>27</v>
      </c>
      <c r="C79" s="35"/>
      <c r="D79" s="9" t="s">
        <v>19</v>
      </c>
      <c r="E79" s="248">
        <v>6</v>
      </c>
      <c r="F79" s="254" t="s">
        <v>32</v>
      </c>
      <c r="G79"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13061</v>
      </c>
      <c r="H79"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1.4023655597744806</v>
      </c>
    </row>
    <row r="80" spans="1:8" ht="15.6" thickTop="1" thickBot="1">
      <c r="A80" s="256">
        <v>0</v>
      </c>
      <c r="B80" s="51" t="s">
        <v>8</v>
      </c>
      <c r="C80" s="257"/>
      <c r="D80" s="249" t="s">
        <v>9</v>
      </c>
      <c r="E80" s="252">
        <v>7</v>
      </c>
      <c r="F80" s="253" t="s">
        <v>33</v>
      </c>
      <c r="G80" s="246">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0</v>
      </c>
      <c r="H80" s="255">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v>
      </c>
    </row>
    <row r="81" spans="1:8" ht="15.6" thickTop="1" thickBot="1">
      <c r="A81" s="247">
        <v>1</v>
      </c>
      <c r="B81" s="9" t="s">
        <v>11</v>
      </c>
      <c r="C81" s="257"/>
      <c r="D81" s="9" t="s">
        <v>9</v>
      </c>
      <c r="E81" s="248">
        <v>7</v>
      </c>
      <c r="F81" s="254" t="s">
        <v>33</v>
      </c>
      <c r="G81"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5198</v>
      </c>
      <c r="H81" s="255">
        <f>VLOOKUP(BUReporting[[#This Row],[Program]],'Program MW '!$A$34:$S$45,3,FALSE)</f>
        <v>2.7025158580675708</v>
      </c>
    </row>
    <row r="82" spans="1:8" ht="15.6" thickTop="1" thickBot="1">
      <c r="A82" s="247">
        <v>2</v>
      </c>
      <c r="B82" s="9" t="s">
        <v>12</v>
      </c>
      <c r="C82" s="257" t="s">
        <v>13</v>
      </c>
      <c r="D82" s="9" t="s">
        <v>9</v>
      </c>
      <c r="E82" s="248">
        <v>7</v>
      </c>
      <c r="F82" s="254" t="s">
        <v>33</v>
      </c>
      <c r="G82" s="246" t="e">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#N/A</v>
      </c>
      <c r="H82" s="255" t="e">
        <f>VLOOKUP(BUReporting[[#This Row],[Program]],'Program MW '!$A$34:$S$45,3,FALSE)</f>
        <v>#N/A</v>
      </c>
    </row>
    <row r="83" spans="1:8" ht="15.6" thickTop="1" thickBot="1">
      <c r="A83" s="247">
        <v>3</v>
      </c>
      <c r="B83" s="9" t="s">
        <v>14</v>
      </c>
      <c r="C83" s="257"/>
      <c r="D83" s="9" t="s">
        <v>9</v>
      </c>
      <c r="E83" s="248">
        <v>7</v>
      </c>
      <c r="F83" s="254" t="s">
        <v>33</v>
      </c>
      <c r="G83" s="246" t="e">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#N/A</v>
      </c>
      <c r="H83" s="255" t="e">
        <f>VLOOKUP(BUReporting[[#This Row],[Program]],'Program MW '!$A$34:$S$45,3,FALSE)</f>
        <v>#N/A</v>
      </c>
    </row>
    <row r="84" spans="1:8" ht="15.6" thickTop="1" thickBot="1">
      <c r="A84" s="247">
        <v>4</v>
      </c>
      <c r="B84" s="9" t="s">
        <v>15</v>
      </c>
      <c r="C84" s="257" t="s">
        <v>16</v>
      </c>
      <c r="D84" s="9" t="s">
        <v>9</v>
      </c>
      <c r="E84" s="248">
        <v>7</v>
      </c>
      <c r="F84" s="254" t="s">
        <v>33</v>
      </c>
      <c r="G84" s="246" t="e">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#N/A</v>
      </c>
      <c r="H84" s="255" t="e">
        <f>VLOOKUP(BUReporting[[#This Row],[Program]],'Program MW '!$A$34:$S$45,3,FALSE)</f>
        <v>#N/A</v>
      </c>
    </row>
    <row r="85" spans="1:8" ht="15.6" thickTop="1" thickBot="1">
      <c r="A85" s="247">
        <v>5</v>
      </c>
      <c r="B85" s="9" t="s">
        <v>17</v>
      </c>
      <c r="C85" s="257" t="s">
        <v>18</v>
      </c>
      <c r="D85" s="9" t="s">
        <v>19</v>
      </c>
      <c r="E85" s="248">
        <v>7</v>
      </c>
      <c r="F85" s="254" t="s">
        <v>33</v>
      </c>
      <c r="G85"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17808</v>
      </c>
      <c r="H85" s="255">
        <f>VLOOKUP(BUReporting[[#This Row],[Program]],'Program MW '!$A$34:$S$45,3,FALSE)</f>
        <v>2.5532816061973573</v>
      </c>
    </row>
    <row r="86" spans="1:8" ht="15.6" thickTop="1" thickBot="1">
      <c r="A86" s="247">
        <v>6</v>
      </c>
      <c r="B86" s="9" t="s">
        <v>20</v>
      </c>
      <c r="C86" s="257" t="s">
        <v>18</v>
      </c>
      <c r="D86" s="9" t="s">
        <v>9</v>
      </c>
      <c r="E86" s="248">
        <v>7</v>
      </c>
      <c r="F86" s="254" t="s">
        <v>33</v>
      </c>
      <c r="G86"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164</v>
      </c>
      <c r="H86" s="255">
        <f>VLOOKUP(BUReporting[[#This Row],[Program]],'Program MW '!$A$34:$S$45,3,FALSE)</f>
        <v>0.12479035019874574</v>
      </c>
    </row>
    <row r="87" spans="1:8" ht="15.6" thickTop="1" thickBot="1">
      <c r="A87" s="247">
        <v>7</v>
      </c>
      <c r="B87" s="9" t="s">
        <v>21</v>
      </c>
      <c r="C87" s="257" t="s">
        <v>22</v>
      </c>
      <c r="D87" s="9" t="s">
        <v>19</v>
      </c>
      <c r="E87" s="248">
        <v>7</v>
      </c>
      <c r="F87" s="254" t="s">
        <v>33</v>
      </c>
      <c r="G87"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8337</v>
      </c>
      <c r="H87" s="255">
        <f>VLOOKUP(BUReporting[[#This Row],[Program]],'Program MW '!$A$34:$S$45,3,FALSE)</f>
        <v>1.2175654932</v>
      </c>
    </row>
    <row r="88" spans="1:8" ht="15.6" thickTop="1" thickBot="1">
      <c r="A88" s="247">
        <v>8</v>
      </c>
      <c r="B88" s="9" t="s">
        <v>23</v>
      </c>
      <c r="C88" s="257" t="s">
        <v>22</v>
      </c>
      <c r="D88" s="9" t="s">
        <v>9</v>
      </c>
      <c r="E88" s="248">
        <v>7</v>
      </c>
      <c r="F88" s="254" t="s">
        <v>33</v>
      </c>
      <c r="G88"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2413</v>
      </c>
      <c r="H88" s="255">
        <f>VLOOKUP(BUReporting[[#This Row],[Program]],'Program MW '!$A$34:$S$45,3,FALSE)</f>
        <v>0.30651880530000003</v>
      </c>
    </row>
    <row r="89" spans="1:8" ht="15.6" thickTop="1" thickBot="1">
      <c r="A89" s="247">
        <v>9</v>
      </c>
      <c r="B89" s="9" t="s">
        <v>24</v>
      </c>
      <c r="C89" s="257"/>
      <c r="D89" s="9" t="s">
        <v>9</v>
      </c>
      <c r="E89" s="248">
        <v>7</v>
      </c>
      <c r="F89" s="254" t="s">
        <v>33</v>
      </c>
      <c r="G89"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89" s="255">
        <f>VLOOKUP(BUReporting[[#This Row],[Program]],'Program MW '!$A$34:$S$45,3,FALSE)</f>
        <v>0</v>
      </c>
    </row>
    <row r="90" spans="1:8" ht="15.6" thickTop="1" thickBot="1">
      <c r="A90" s="247">
        <v>10</v>
      </c>
      <c r="B90" s="9" t="s">
        <v>25</v>
      </c>
      <c r="C90" s="257"/>
      <c r="D90" s="9" t="s">
        <v>9</v>
      </c>
      <c r="E90" s="248">
        <v>7</v>
      </c>
      <c r="F90" s="254" t="s">
        <v>33</v>
      </c>
      <c r="G90"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90" s="255">
        <f>VLOOKUP(BUReporting[[#This Row],[Program]],'Program MW '!$A$34:$S$45,3,FALSE)</f>
        <v>0</v>
      </c>
    </row>
    <row r="91" spans="1:8" ht="15.6" thickTop="1" thickBot="1">
      <c r="A91" s="247">
        <v>11</v>
      </c>
      <c r="B91" s="9" t="s">
        <v>26</v>
      </c>
      <c r="C91" s="257"/>
      <c r="D91" s="9" t="s">
        <v>9</v>
      </c>
      <c r="E91" s="248">
        <v>7</v>
      </c>
      <c r="F91" s="254" t="s">
        <v>33</v>
      </c>
      <c r="G91"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47441</v>
      </c>
      <c r="H91" s="255">
        <f>VLOOKUP(BUReporting[[#This Row],[Program]],'Program MW '!$A$34:$S$45,3,FALSE)</f>
        <v>0.14042934024990605</v>
      </c>
    </row>
    <row r="92" spans="1:8" ht="13.5" thickTop="1" thickBot="1">
      <c r="A92" s="247">
        <v>12</v>
      </c>
      <c r="B92" s="9" t="s">
        <v>27</v>
      </c>
      <c r="C92" s="35"/>
      <c r="D92" s="9" t="s">
        <v>19</v>
      </c>
      <c r="E92" s="248">
        <v>7</v>
      </c>
      <c r="F92" s="254" t="s">
        <v>33</v>
      </c>
      <c r="G92"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12318</v>
      </c>
      <c r="H92" s="255">
        <f>VLOOKUP(BUReporting[[#This Row],[Program]],'Program MW '!$A$34:$S$45,3,FALSE)</f>
        <v>1.6515534122775035</v>
      </c>
    </row>
    <row r="93" spans="1:8" ht="15.6" thickTop="1" thickBot="1">
      <c r="A93" s="256">
        <v>0</v>
      </c>
      <c r="B93" s="51" t="s">
        <v>8</v>
      </c>
      <c r="C93" s="257"/>
      <c r="D93" s="249" t="s">
        <v>9</v>
      </c>
      <c r="E93" s="252">
        <v>8</v>
      </c>
      <c r="F93" s="253" t="s">
        <v>34</v>
      </c>
      <c r="G93" s="246">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0</v>
      </c>
      <c r="H93" s="255">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v>
      </c>
    </row>
    <row r="94" spans="1:8" ht="15.6" thickTop="1" thickBot="1">
      <c r="A94" s="247">
        <v>1</v>
      </c>
      <c r="B94" s="9" t="s">
        <v>11</v>
      </c>
      <c r="C94" s="257"/>
      <c r="D94" s="9" t="s">
        <v>9</v>
      </c>
      <c r="E94" s="248">
        <v>8</v>
      </c>
      <c r="F94" s="254" t="s">
        <v>34</v>
      </c>
      <c r="G94"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5227</v>
      </c>
      <c r="H94" s="255">
        <f>VLOOKUP(BUReporting[[#This Row],[Program]],'Program MW '!$A$34:$S$45,6,FALSE)</f>
        <v>3.0162557216475916</v>
      </c>
    </row>
    <row r="95" spans="1:8" ht="15.6" thickTop="1" thickBot="1">
      <c r="A95" s="247">
        <v>2</v>
      </c>
      <c r="B95" s="9" t="s">
        <v>12</v>
      </c>
      <c r="C95" s="257" t="s">
        <v>13</v>
      </c>
      <c r="D95" s="9" t="s">
        <v>9</v>
      </c>
      <c r="E95" s="248">
        <v>8</v>
      </c>
      <c r="F95" s="254" t="s">
        <v>34</v>
      </c>
      <c r="G95" s="246" t="e">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#N/A</v>
      </c>
      <c r="H95" s="255" t="e">
        <f>VLOOKUP(BUReporting[[#This Row],[Program]],'Program MW '!$A$34:$S$45,6,FALSE)</f>
        <v>#N/A</v>
      </c>
    </row>
    <row r="96" spans="1:8" ht="15.6" thickTop="1" thickBot="1">
      <c r="A96" s="247">
        <v>3</v>
      </c>
      <c r="B96" s="9" t="s">
        <v>14</v>
      </c>
      <c r="C96" s="257"/>
      <c r="D96" s="9" t="s">
        <v>9</v>
      </c>
      <c r="E96" s="248">
        <v>8</v>
      </c>
      <c r="F96" s="254" t="s">
        <v>34</v>
      </c>
      <c r="G96" s="246" t="e">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#N/A</v>
      </c>
      <c r="H96" s="255" t="e">
        <f>VLOOKUP(BUReporting[[#This Row],[Program]],'Program MW '!$A$34:$S$45,6,FALSE)</f>
        <v>#N/A</v>
      </c>
    </row>
    <row r="97" spans="1:8" ht="15.6" thickTop="1" thickBot="1">
      <c r="A97" s="247">
        <v>4</v>
      </c>
      <c r="B97" s="9" t="s">
        <v>15</v>
      </c>
      <c r="C97" s="257" t="s">
        <v>16</v>
      </c>
      <c r="D97" s="9" t="s">
        <v>9</v>
      </c>
      <c r="E97" s="248">
        <v>8</v>
      </c>
      <c r="F97" s="254" t="s">
        <v>34</v>
      </c>
      <c r="G97" s="246" t="e">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#N/A</v>
      </c>
      <c r="H97" s="255" t="e">
        <f>VLOOKUP(BUReporting[[#This Row],[Program]],'Program MW '!$A$34:$S$45,6,FALSE)</f>
        <v>#N/A</v>
      </c>
    </row>
    <row r="98" spans="1:8" ht="15.6" thickTop="1" thickBot="1">
      <c r="A98" s="247">
        <v>5</v>
      </c>
      <c r="B98" s="9" t="s">
        <v>17</v>
      </c>
      <c r="C98" s="257" t="s">
        <v>18</v>
      </c>
      <c r="D98" s="9" t="s">
        <v>19</v>
      </c>
      <c r="E98" s="248">
        <v>8</v>
      </c>
      <c r="F98" s="254" t="s">
        <v>34</v>
      </c>
      <c r="G98"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18625</v>
      </c>
      <c r="H98" s="255">
        <f>VLOOKUP(BUReporting[[#This Row],[Program]],'Program MW '!$A$34:$S$45,6,FALSE)</f>
        <v>3.3838093131780624</v>
      </c>
    </row>
    <row r="99" spans="1:8" ht="15.6" thickTop="1" thickBot="1">
      <c r="A99" s="247">
        <v>6</v>
      </c>
      <c r="B99" s="9" t="s">
        <v>20</v>
      </c>
      <c r="C99" s="257" t="s">
        <v>18</v>
      </c>
      <c r="D99" s="9" t="s">
        <v>9</v>
      </c>
      <c r="E99" s="248">
        <v>8</v>
      </c>
      <c r="F99" s="254" t="s">
        <v>34</v>
      </c>
      <c r="G99"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164</v>
      </c>
      <c r="H99" s="255">
        <f>VLOOKUP(BUReporting[[#This Row],[Program]],'Program MW '!$A$34:$S$45,6,FALSE)</f>
        <v>0.15125869250297547</v>
      </c>
    </row>
    <row r="100" spans="1:8" ht="15.6" thickTop="1" thickBot="1">
      <c r="A100" s="247">
        <v>7</v>
      </c>
      <c r="B100" s="9" t="s">
        <v>21</v>
      </c>
      <c r="C100" s="257" t="s">
        <v>22</v>
      </c>
      <c r="D100" s="9" t="s">
        <v>19</v>
      </c>
      <c r="E100" s="248">
        <v>8</v>
      </c>
      <c r="F100" s="254" t="s">
        <v>34</v>
      </c>
      <c r="G100"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8223</v>
      </c>
      <c r="H100" s="255">
        <f>VLOOKUP(BUReporting[[#This Row],[Program]],'Program MW '!$A$34:$S$45,6,FALSE)</f>
        <v>1.8634049847</v>
      </c>
    </row>
    <row r="101" spans="1:8" ht="15.6" thickTop="1" thickBot="1">
      <c r="A101" s="247">
        <v>8</v>
      </c>
      <c r="B101" s="9" t="s">
        <v>23</v>
      </c>
      <c r="C101" s="257" t="s">
        <v>22</v>
      </c>
      <c r="D101" s="9" t="s">
        <v>9</v>
      </c>
      <c r="E101" s="248">
        <v>8</v>
      </c>
      <c r="F101" s="254" t="s">
        <v>34</v>
      </c>
      <c r="G101"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2380</v>
      </c>
      <c r="H101" s="255">
        <f>VLOOKUP(BUReporting[[#This Row],[Program]],'Program MW '!$A$34:$S$45,6,FALSE)</f>
        <v>0.36989293600000001</v>
      </c>
    </row>
    <row r="102" spans="1:8" ht="15.6" thickTop="1" thickBot="1">
      <c r="A102" s="247">
        <v>9</v>
      </c>
      <c r="B102" s="9" t="s">
        <v>24</v>
      </c>
      <c r="C102" s="257"/>
      <c r="D102" s="9" t="s">
        <v>9</v>
      </c>
      <c r="E102" s="248">
        <v>8</v>
      </c>
      <c r="F102" s="254" t="s">
        <v>34</v>
      </c>
      <c r="G102"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102" s="255">
        <f>VLOOKUP(BUReporting[[#This Row],[Program]],'Program MW '!$A$34:$S$45,6,FALSE)</f>
        <v>0</v>
      </c>
    </row>
    <row r="103" spans="1:8" ht="15.6" thickTop="1" thickBot="1">
      <c r="A103" s="247">
        <v>10</v>
      </c>
      <c r="B103" s="9" t="s">
        <v>25</v>
      </c>
      <c r="C103" s="257"/>
      <c r="D103" s="9" t="s">
        <v>9</v>
      </c>
      <c r="E103" s="248">
        <v>8</v>
      </c>
      <c r="F103" s="254" t="s">
        <v>34</v>
      </c>
      <c r="G103"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103" s="255">
        <f>VLOOKUP(BUReporting[[#This Row],[Program]],'Program MW '!$A$34:$S$45,6,FALSE)</f>
        <v>0</v>
      </c>
    </row>
    <row r="104" spans="1:8" ht="15.6" thickTop="1" thickBot="1">
      <c r="A104" s="247">
        <v>11</v>
      </c>
      <c r="B104" s="9" t="s">
        <v>26</v>
      </c>
      <c r="C104" s="257"/>
      <c r="D104" s="9" t="s">
        <v>9</v>
      </c>
      <c r="E104" s="248">
        <v>8</v>
      </c>
      <c r="F104" s="254" t="s">
        <v>34</v>
      </c>
      <c r="G104"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47083</v>
      </c>
      <c r="H104" s="255">
        <f>VLOOKUP(BUReporting[[#This Row],[Program]],'Program MW '!$A$34:$S$45,6,FALSE)</f>
        <v>0.22306741659152104</v>
      </c>
    </row>
    <row r="105" spans="1:8" ht="13.5" thickTop="1" thickBot="1">
      <c r="A105" s="247">
        <v>12</v>
      </c>
      <c r="B105" s="9" t="s">
        <v>27</v>
      </c>
      <c r="C105" s="35"/>
      <c r="D105" s="9" t="s">
        <v>19</v>
      </c>
      <c r="E105" s="248">
        <v>8</v>
      </c>
      <c r="F105" s="254" t="s">
        <v>34</v>
      </c>
      <c r="G105"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12353</v>
      </c>
      <c r="H105" s="255">
        <f>VLOOKUP(BUReporting[[#This Row],[Program]],'Program MW '!$A$34:$S$45,6,FALSE)</f>
        <v>1.8718426782000002</v>
      </c>
    </row>
    <row r="106" spans="1:8" ht="15.6" thickTop="1" thickBot="1">
      <c r="A106" s="256">
        <v>0</v>
      </c>
      <c r="B106" s="51" t="s">
        <v>8</v>
      </c>
      <c r="C106" s="257"/>
      <c r="D106" s="249" t="s">
        <v>9</v>
      </c>
      <c r="E106" s="252">
        <v>9</v>
      </c>
      <c r="F106" s="253" t="s">
        <v>35</v>
      </c>
      <c r="G106" s="246">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106" s="255">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v>
      </c>
    </row>
    <row r="107" spans="1:8" ht="15.6" thickTop="1" thickBot="1">
      <c r="A107" s="247">
        <v>1</v>
      </c>
      <c r="B107" s="9" t="s">
        <v>11</v>
      </c>
      <c r="C107" s="257"/>
      <c r="D107" s="9" t="s">
        <v>9</v>
      </c>
      <c r="E107" s="248">
        <v>9</v>
      </c>
      <c r="F107" s="254" t="s">
        <v>35</v>
      </c>
      <c r="G107"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5140</v>
      </c>
      <c r="H107" s="255">
        <f>VLOOKUP(BUReporting[[#This Row],[Program]],'Program MW '!$A$34:$S$45,9,FALSE)</f>
        <v>3.1182746971131263</v>
      </c>
    </row>
    <row r="108" spans="1:8" ht="15.6" thickTop="1" thickBot="1">
      <c r="A108" s="247">
        <v>2</v>
      </c>
      <c r="B108" s="9" t="s">
        <v>12</v>
      </c>
      <c r="C108" s="257" t="s">
        <v>13</v>
      </c>
      <c r="D108" s="9" t="s">
        <v>9</v>
      </c>
      <c r="E108" s="248">
        <v>9</v>
      </c>
      <c r="F108" s="254" t="s">
        <v>35</v>
      </c>
      <c r="G108" s="246"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108" s="255" t="e">
        <f>VLOOKUP(BUReporting[[#This Row],[Program]],'Program MW '!$A$34:$S$45,9,FALSE)</f>
        <v>#N/A</v>
      </c>
    </row>
    <row r="109" spans="1:8" ht="15.6" thickTop="1" thickBot="1">
      <c r="A109" s="247">
        <v>3</v>
      </c>
      <c r="B109" s="9" t="s">
        <v>14</v>
      </c>
      <c r="C109" s="257"/>
      <c r="D109" s="9" t="s">
        <v>9</v>
      </c>
      <c r="E109" s="248">
        <v>9</v>
      </c>
      <c r="F109" s="254" t="s">
        <v>35</v>
      </c>
      <c r="G109" s="246"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109" s="255" t="e">
        <f>VLOOKUP(BUReporting[[#This Row],[Program]],'Program MW '!$A$34:$S$45,9,FALSE)</f>
        <v>#N/A</v>
      </c>
    </row>
    <row r="110" spans="1:8" ht="15.6" thickTop="1" thickBot="1">
      <c r="A110" s="247">
        <v>4</v>
      </c>
      <c r="B110" s="9" t="s">
        <v>15</v>
      </c>
      <c r="C110" s="257" t="s">
        <v>16</v>
      </c>
      <c r="D110" s="9" t="s">
        <v>9</v>
      </c>
      <c r="E110" s="248">
        <v>9</v>
      </c>
      <c r="F110" s="254" t="s">
        <v>35</v>
      </c>
      <c r="G110" s="246"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110" s="255" t="e">
        <f>VLOOKUP(BUReporting[[#This Row],[Program]],'Program MW '!$A$34:$S$45,9,FALSE)</f>
        <v>#N/A</v>
      </c>
    </row>
    <row r="111" spans="1:8" ht="15.6" thickTop="1" thickBot="1">
      <c r="A111" s="247">
        <v>5</v>
      </c>
      <c r="B111" s="9" t="s">
        <v>17</v>
      </c>
      <c r="C111" s="257" t="s">
        <v>18</v>
      </c>
      <c r="D111" s="9" t="s">
        <v>19</v>
      </c>
      <c r="E111" s="248">
        <v>9</v>
      </c>
      <c r="F111" s="254" t="s">
        <v>35</v>
      </c>
      <c r="G111"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19161</v>
      </c>
      <c r="H111" s="255">
        <f>VLOOKUP(BUReporting[[#This Row],[Program]],'Program MW '!$A$34:$S$45,9,FALSE)</f>
        <v>4.301789268359542</v>
      </c>
    </row>
    <row r="112" spans="1:8" ht="15.6" thickTop="1" thickBot="1">
      <c r="A112" s="247">
        <v>6</v>
      </c>
      <c r="B112" s="9" t="s">
        <v>20</v>
      </c>
      <c r="C112" s="257" t="s">
        <v>18</v>
      </c>
      <c r="D112" s="9" t="s">
        <v>9</v>
      </c>
      <c r="E112" s="248">
        <v>9</v>
      </c>
      <c r="F112" s="254" t="s">
        <v>35</v>
      </c>
      <c r="G112"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162</v>
      </c>
      <c r="H112" s="255">
        <f>VLOOKUP(BUReporting[[#This Row],[Program]],'Program MW '!$A$34:$S$45,9,FALSE)</f>
        <v>0.10681404948234557</v>
      </c>
    </row>
    <row r="113" spans="1:8" ht="15.6" thickTop="1" thickBot="1">
      <c r="A113" s="247">
        <v>7</v>
      </c>
      <c r="B113" s="9" t="s">
        <v>21</v>
      </c>
      <c r="C113" s="257" t="s">
        <v>22</v>
      </c>
      <c r="D113" s="9" t="s">
        <v>19</v>
      </c>
      <c r="E113" s="248">
        <v>9</v>
      </c>
      <c r="F113" s="254" t="s">
        <v>35</v>
      </c>
      <c r="G113"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8103</v>
      </c>
      <c r="H113" s="255">
        <f>VLOOKUP(BUReporting[[#This Row],[Program]],'Program MW '!$A$34:$S$45,9,FALSE)</f>
        <v>2.2888754778</v>
      </c>
    </row>
    <row r="114" spans="1:8" ht="15.6" thickTop="1" thickBot="1">
      <c r="A114" s="247">
        <v>8</v>
      </c>
      <c r="B114" s="9" t="s">
        <v>23</v>
      </c>
      <c r="C114" s="257" t="s">
        <v>22</v>
      </c>
      <c r="D114" s="9" t="s">
        <v>9</v>
      </c>
      <c r="E114" s="248">
        <v>9</v>
      </c>
      <c r="F114" s="254" t="s">
        <v>35</v>
      </c>
      <c r="G114"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2361</v>
      </c>
      <c r="H114" s="255">
        <f>VLOOKUP(BUReporting[[#This Row],[Program]],'Program MW '!$A$34:$S$45,9,FALSE)</f>
        <v>0.4425205773</v>
      </c>
    </row>
    <row r="115" spans="1:8" ht="15.6" thickTop="1" thickBot="1">
      <c r="A115" s="247">
        <v>9</v>
      </c>
      <c r="B115" s="9" t="s">
        <v>24</v>
      </c>
      <c r="C115" s="257"/>
      <c r="D115" s="9" t="s">
        <v>9</v>
      </c>
      <c r="E115" s="248">
        <v>9</v>
      </c>
      <c r="F115" s="254" t="s">
        <v>35</v>
      </c>
      <c r="G115"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5" s="255">
        <f>VLOOKUP(BUReporting[[#This Row],[Program]],'Program MW '!$A$34:$S$45,9,FALSE)</f>
        <v>0</v>
      </c>
    </row>
    <row r="116" spans="1:8" ht="15.6" thickTop="1" thickBot="1">
      <c r="A116" s="247">
        <v>10</v>
      </c>
      <c r="B116" s="9" t="s">
        <v>25</v>
      </c>
      <c r="C116" s="257"/>
      <c r="D116" s="9" t="s">
        <v>9</v>
      </c>
      <c r="E116" s="248">
        <v>9</v>
      </c>
      <c r="F116" s="254" t="s">
        <v>35</v>
      </c>
      <c r="G116"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6" s="255">
        <f>VLOOKUP(BUReporting[[#This Row],[Program]],'Program MW '!$A$34:$S$45,9,FALSE)</f>
        <v>0</v>
      </c>
    </row>
    <row r="117" spans="1:8" ht="15.6" thickTop="1" thickBot="1">
      <c r="A117" s="247">
        <v>11</v>
      </c>
      <c r="B117" s="9" t="s">
        <v>26</v>
      </c>
      <c r="C117" s="257"/>
      <c r="D117" s="9" t="s">
        <v>9</v>
      </c>
      <c r="E117" s="248">
        <v>9</v>
      </c>
      <c r="F117" s="254" t="s">
        <v>35</v>
      </c>
      <c r="G117"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47247</v>
      </c>
      <c r="H117" s="255">
        <f>VLOOKUP(BUReporting[[#This Row],[Program]],'Program MW '!$A$34:$S$45,9,FALSE)</f>
        <v>0.30468440662199836</v>
      </c>
    </row>
    <row r="118" spans="1:8" ht="13.5" thickTop="1" thickBot="1">
      <c r="A118" s="247">
        <v>12</v>
      </c>
      <c r="B118" s="9" t="s">
        <v>27</v>
      </c>
      <c r="C118" s="35"/>
      <c r="D118" s="9" t="s">
        <v>19</v>
      </c>
      <c r="E118" s="248">
        <v>9</v>
      </c>
      <c r="F118" s="254" t="s">
        <v>35</v>
      </c>
      <c r="G118"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12331</v>
      </c>
      <c r="H118" s="255">
        <f>VLOOKUP(BUReporting[[#This Row],[Program]],'Program MW '!$A$34:$S$45,9,FALSE)</f>
        <v>1.9450722104000002</v>
      </c>
    </row>
    <row r="119" spans="1:8" ht="15.6" thickTop="1" thickBot="1">
      <c r="A119" s="256">
        <v>0</v>
      </c>
      <c r="B119" s="51" t="s">
        <v>8</v>
      </c>
      <c r="C119" s="257"/>
      <c r="D119" s="249" t="s">
        <v>9</v>
      </c>
      <c r="E119" s="252">
        <v>10</v>
      </c>
      <c r="F119" s="253" t="s">
        <v>36</v>
      </c>
      <c r="G119" s="246">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0</v>
      </c>
      <c r="H119" s="255">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v>
      </c>
    </row>
    <row r="120" spans="1:8" ht="15.6" thickTop="1" thickBot="1">
      <c r="A120" s="247">
        <v>1</v>
      </c>
      <c r="B120" s="9" t="s">
        <v>11</v>
      </c>
      <c r="C120" s="257"/>
      <c r="D120" s="9" t="s">
        <v>9</v>
      </c>
      <c r="E120" s="248">
        <v>10</v>
      </c>
      <c r="F120" s="254" t="s">
        <v>36</v>
      </c>
      <c r="G120"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0" s="255">
        <f>VLOOKUP(BUReporting[[#This Row],[Program]],'Program MW '!$A$34:$S$45,12,FALSE)</f>
        <v>0</v>
      </c>
    </row>
    <row r="121" spans="1:8" ht="15.6" thickTop="1" thickBot="1">
      <c r="A121" s="247">
        <v>2</v>
      </c>
      <c r="B121" s="9" t="s">
        <v>12</v>
      </c>
      <c r="C121" s="257" t="s">
        <v>13</v>
      </c>
      <c r="D121" s="9" t="s">
        <v>9</v>
      </c>
      <c r="E121" s="248">
        <v>10</v>
      </c>
      <c r="F121" s="254" t="s">
        <v>36</v>
      </c>
      <c r="G121" s="246"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121" s="255" t="e">
        <f>VLOOKUP(BUReporting[[#This Row],[Program]],'Program MW '!$A$34:$S$45,12,FALSE)</f>
        <v>#N/A</v>
      </c>
    </row>
    <row r="122" spans="1:8" ht="15.6" thickTop="1" thickBot="1">
      <c r="A122" s="247">
        <v>3</v>
      </c>
      <c r="B122" s="9" t="s">
        <v>14</v>
      </c>
      <c r="C122" s="257"/>
      <c r="D122" s="9" t="s">
        <v>9</v>
      </c>
      <c r="E122" s="248">
        <v>10</v>
      </c>
      <c r="F122" s="254" t="s">
        <v>36</v>
      </c>
      <c r="G122" s="246"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122" s="255" t="e">
        <f>VLOOKUP(BUReporting[[#This Row],[Program]],'Program MW '!$A$34:$S$45,12,FALSE)</f>
        <v>#N/A</v>
      </c>
    </row>
    <row r="123" spans="1:8" ht="15.6" thickTop="1" thickBot="1">
      <c r="A123" s="247">
        <v>4</v>
      </c>
      <c r="B123" s="9" t="s">
        <v>15</v>
      </c>
      <c r="C123" s="257" t="s">
        <v>16</v>
      </c>
      <c r="D123" s="9" t="s">
        <v>9</v>
      </c>
      <c r="E123" s="248">
        <v>10</v>
      </c>
      <c r="F123" s="254" t="s">
        <v>36</v>
      </c>
      <c r="G123" s="246"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123" s="255" t="e">
        <f>VLOOKUP(BUReporting[[#This Row],[Program]],'Program MW '!$A$34:$S$45,12,FALSE)</f>
        <v>#N/A</v>
      </c>
    </row>
    <row r="124" spans="1:8" ht="15.6" thickTop="1" thickBot="1">
      <c r="A124" s="247">
        <v>5</v>
      </c>
      <c r="B124" s="9" t="s">
        <v>17</v>
      </c>
      <c r="C124" s="257" t="s">
        <v>18</v>
      </c>
      <c r="D124" s="9" t="s">
        <v>19</v>
      </c>
      <c r="E124" s="248">
        <v>10</v>
      </c>
      <c r="F124" s="254" t="s">
        <v>36</v>
      </c>
      <c r="G124"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4" s="255">
        <f>VLOOKUP(BUReporting[[#This Row],[Program]],'Program MW '!$A$34:$S$45,12,FALSE)</f>
        <v>0</v>
      </c>
    </row>
    <row r="125" spans="1:8" ht="15.6" thickTop="1" thickBot="1">
      <c r="A125" s="247">
        <v>6</v>
      </c>
      <c r="B125" s="9" t="s">
        <v>20</v>
      </c>
      <c r="C125" s="257" t="s">
        <v>18</v>
      </c>
      <c r="D125" s="9" t="s">
        <v>9</v>
      </c>
      <c r="E125" s="248">
        <v>10</v>
      </c>
      <c r="F125" s="254" t="s">
        <v>36</v>
      </c>
      <c r="G125"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5" s="255">
        <f>VLOOKUP(BUReporting[[#This Row],[Program]],'Program MW '!$A$34:$S$45,12,FALSE)</f>
        <v>0</v>
      </c>
    </row>
    <row r="126" spans="1:8" ht="15.6" thickTop="1" thickBot="1">
      <c r="A126" s="247">
        <v>7</v>
      </c>
      <c r="B126" s="9" t="s">
        <v>21</v>
      </c>
      <c r="C126" s="257" t="s">
        <v>22</v>
      </c>
      <c r="D126" s="9" t="s">
        <v>19</v>
      </c>
      <c r="E126" s="248">
        <v>10</v>
      </c>
      <c r="F126" s="254" t="s">
        <v>36</v>
      </c>
      <c r="G126"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6" s="255">
        <f>VLOOKUP(BUReporting[[#This Row],[Program]],'Program MW '!$A$34:$S$45,12,FALSE)</f>
        <v>0</v>
      </c>
    </row>
    <row r="127" spans="1:8" ht="15.6" thickTop="1" thickBot="1">
      <c r="A127" s="247">
        <v>8</v>
      </c>
      <c r="B127" s="9" t="s">
        <v>23</v>
      </c>
      <c r="C127" s="257" t="s">
        <v>22</v>
      </c>
      <c r="D127" s="9" t="s">
        <v>9</v>
      </c>
      <c r="E127" s="248">
        <v>10</v>
      </c>
      <c r="F127" s="254" t="s">
        <v>36</v>
      </c>
      <c r="G127"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7" s="255">
        <f>VLOOKUP(BUReporting[[#This Row],[Program]],'Program MW '!$A$34:$S$45,12,FALSE)</f>
        <v>0</v>
      </c>
    </row>
    <row r="128" spans="1:8" ht="15.6" thickTop="1" thickBot="1">
      <c r="A128" s="247">
        <v>9</v>
      </c>
      <c r="B128" s="9" t="s">
        <v>24</v>
      </c>
      <c r="C128" s="257"/>
      <c r="D128" s="9" t="s">
        <v>9</v>
      </c>
      <c r="E128" s="248">
        <v>10</v>
      </c>
      <c r="F128" s="254" t="s">
        <v>36</v>
      </c>
      <c r="G128"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8" s="255">
        <f>VLOOKUP(BUReporting[[#This Row],[Program]],'Program MW '!$A$34:$S$45,12,FALSE)</f>
        <v>0</v>
      </c>
    </row>
    <row r="129" spans="1:8" ht="15.6" thickTop="1" thickBot="1">
      <c r="A129" s="247">
        <v>10</v>
      </c>
      <c r="B129" s="9" t="s">
        <v>25</v>
      </c>
      <c r="C129" s="257"/>
      <c r="D129" s="9" t="s">
        <v>9</v>
      </c>
      <c r="E129" s="248">
        <v>10</v>
      </c>
      <c r="F129" s="254" t="s">
        <v>36</v>
      </c>
      <c r="G129"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9" s="255">
        <f>VLOOKUP(BUReporting[[#This Row],[Program]],'Program MW '!$A$34:$S$45,12,FALSE)</f>
        <v>0</v>
      </c>
    </row>
    <row r="130" spans="1:8" ht="15.6" thickTop="1" thickBot="1">
      <c r="A130" s="247">
        <v>11</v>
      </c>
      <c r="B130" s="9" t="s">
        <v>26</v>
      </c>
      <c r="C130" s="257"/>
      <c r="D130" s="9" t="s">
        <v>9</v>
      </c>
      <c r="E130" s="248">
        <v>10</v>
      </c>
      <c r="F130" s="254" t="s">
        <v>36</v>
      </c>
      <c r="G130"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30" s="255">
        <f>VLOOKUP(BUReporting[[#This Row],[Program]],'Program MW '!$A$34:$S$45,12,FALSE)</f>
        <v>0</v>
      </c>
    </row>
    <row r="131" spans="1:8" ht="13.5" thickTop="1" thickBot="1">
      <c r="A131" s="247">
        <v>12</v>
      </c>
      <c r="B131" s="9" t="s">
        <v>27</v>
      </c>
      <c r="C131" s="35"/>
      <c r="D131" s="9" t="s">
        <v>19</v>
      </c>
      <c r="E131" s="248">
        <v>10</v>
      </c>
      <c r="F131" s="254" t="s">
        <v>36</v>
      </c>
      <c r="G131"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31" s="255">
        <f>VLOOKUP(BUReporting[[#This Row],[Program]],'Program MW '!$A$34:$S$45,12,FALSE)</f>
        <v>0</v>
      </c>
    </row>
    <row r="132" spans="1:8" ht="15.6" thickTop="1" thickBot="1">
      <c r="A132" s="256">
        <v>0</v>
      </c>
      <c r="B132" s="51" t="s">
        <v>8</v>
      </c>
      <c r="C132" s="257"/>
      <c r="D132" s="249" t="s">
        <v>9</v>
      </c>
      <c r="E132" s="252">
        <v>11</v>
      </c>
      <c r="F132" s="253" t="s">
        <v>37</v>
      </c>
      <c r="G132" s="246">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132" s="255">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133" spans="1:8" ht="15.6" thickTop="1" thickBot="1">
      <c r="A133" s="247">
        <v>1</v>
      </c>
      <c r="B133" s="9" t="s">
        <v>11</v>
      </c>
      <c r="C133" s="257"/>
      <c r="D133" s="9" t="s">
        <v>9</v>
      </c>
      <c r="E133" s="248">
        <v>11</v>
      </c>
      <c r="F133" s="254" t="s">
        <v>37</v>
      </c>
      <c r="G133"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33" s="255">
        <f>VLOOKUP(BUReporting[[#This Row],[Program]],'Program MW '!$A$34:$S$45,15,FALSE)</f>
        <v>0</v>
      </c>
    </row>
    <row r="134" spans="1:8" ht="15.6" thickTop="1" thickBot="1">
      <c r="A134" s="247">
        <v>2</v>
      </c>
      <c r="B134" s="9" t="s">
        <v>12</v>
      </c>
      <c r="C134" s="257" t="s">
        <v>13</v>
      </c>
      <c r="D134" s="9" t="s">
        <v>9</v>
      </c>
      <c r="E134" s="248">
        <v>11</v>
      </c>
      <c r="F134" s="254" t="s">
        <v>37</v>
      </c>
      <c r="G134" s="246"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134" s="255" t="e">
        <f>VLOOKUP(BUReporting[[#This Row],[Program]],'Program MW '!$A$34:$S$45,15,FALSE)</f>
        <v>#N/A</v>
      </c>
    </row>
    <row r="135" spans="1:8" ht="15.6" thickTop="1" thickBot="1">
      <c r="A135" s="247">
        <v>3</v>
      </c>
      <c r="B135" s="9" t="s">
        <v>14</v>
      </c>
      <c r="C135" s="257"/>
      <c r="D135" s="9" t="s">
        <v>9</v>
      </c>
      <c r="E135" s="248">
        <v>11</v>
      </c>
      <c r="F135" s="254" t="s">
        <v>37</v>
      </c>
      <c r="G135" s="246"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135" s="255" t="e">
        <f>VLOOKUP(BUReporting[[#This Row],[Program]],'Program MW '!$A$34:$S$45,15,FALSE)</f>
        <v>#N/A</v>
      </c>
    </row>
    <row r="136" spans="1:8" ht="15.6" thickTop="1" thickBot="1">
      <c r="A136" s="247">
        <v>4</v>
      </c>
      <c r="B136" s="9" t="s">
        <v>15</v>
      </c>
      <c r="C136" s="257" t="s">
        <v>16</v>
      </c>
      <c r="D136" s="9" t="s">
        <v>9</v>
      </c>
      <c r="E136" s="248">
        <v>11</v>
      </c>
      <c r="F136" s="254" t="s">
        <v>37</v>
      </c>
      <c r="G136" s="246"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136" s="255" t="e">
        <f>VLOOKUP(BUReporting[[#This Row],[Program]],'Program MW '!$A$34:$S$45,15,FALSE)</f>
        <v>#N/A</v>
      </c>
    </row>
    <row r="137" spans="1:8" ht="15.6" thickTop="1" thickBot="1">
      <c r="A137" s="247">
        <v>5</v>
      </c>
      <c r="B137" s="9" t="s">
        <v>17</v>
      </c>
      <c r="C137" s="257" t="s">
        <v>18</v>
      </c>
      <c r="D137" s="9" t="s">
        <v>19</v>
      </c>
      <c r="E137" s="248">
        <v>11</v>
      </c>
      <c r="F137" s="254" t="s">
        <v>37</v>
      </c>
      <c r="G137"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37" s="255">
        <f>VLOOKUP(BUReporting[[#This Row],[Program]],'Program MW '!$A$34:$S$45,15,FALSE)</f>
        <v>0</v>
      </c>
    </row>
    <row r="138" spans="1:8" ht="15.6" thickTop="1" thickBot="1">
      <c r="A138" s="247">
        <v>6</v>
      </c>
      <c r="B138" s="9" t="s">
        <v>20</v>
      </c>
      <c r="C138" s="257" t="s">
        <v>18</v>
      </c>
      <c r="D138" s="9" t="s">
        <v>9</v>
      </c>
      <c r="E138" s="248">
        <v>11</v>
      </c>
      <c r="F138" s="254" t="s">
        <v>37</v>
      </c>
      <c r="G138"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38" s="255">
        <f>VLOOKUP(BUReporting[[#This Row],[Program]],'Program MW '!$A$34:$S$45,15,FALSE)</f>
        <v>0</v>
      </c>
    </row>
    <row r="139" spans="1:8" ht="15.6" thickTop="1" thickBot="1">
      <c r="A139" s="247">
        <v>7</v>
      </c>
      <c r="B139" s="9" t="s">
        <v>21</v>
      </c>
      <c r="C139" s="257" t="s">
        <v>22</v>
      </c>
      <c r="D139" s="9" t="s">
        <v>19</v>
      </c>
      <c r="E139" s="248">
        <v>11</v>
      </c>
      <c r="F139" s="254" t="s">
        <v>37</v>
      </c>
      <c r="G139"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39" s="255">
        <f>VLOOKUP(BUReporting[[#This Row],[Program]],'Program MW '!$A$34:$S$45,15,FALSE)</f>
        <v>0</v>
      </c>
    </row>
    <row r="140" spans="1:8" ht="15.6" thickTop="1" thickBot="1">
      <c r="A140" s="247">
        <v>8</v>
      </c>
      <c r="B140" s="9" t="s">
        <v>23</v>
      </c>
      <c r="C140" s="257" t="s">
        <v>22</v>
      </c>
      <c r="D140" s="9" t="s">
        <v>9</v>
      </c>
      <c r="E140" s="248">
        <v>11</v>
      </c>
      <c r="F140" s="254" t="s">
        <v>37</v>
      </c>
      <c r="G140"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0" s="255">
        <f>VLOOKUP(BUReporting[[#This Row],[Program]],'Program MW '!$A$34:$S$45,15,FALSE)</f>
        <v>0</v>
      </c>
    </row>
    <row r="141" spans="1:8" ht="15.6" thickTop="1" thickBot="1">
      <c r="A141" s="247">
        <v>9</v>
      </c>
      <c r="B141" s="9" t="s">
        <v>24</v>
      </c>
      <c r="C141" s="257"/>
      <c r="D141" s="9" t="s">
        <v>9</v>
      </c>
      <c r="E141" s="248">
        <v>11</v>
      </c>
      <c r="F141" s="254" t="s">
        <v>37</v>
      </c>
      <c r="G141"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1" s="255">
        <f>VLOOKUP(BUReporting[[#This Row],[Program]],'Program MW '!$A$34:$S$45,15,FALSE)</f>
        <v>0</v>
      </c>
    </row>
    <row r="142" spans="1:8" ht="15.6" thickTop="1" thickBot="1">
      <c r="A142" s="247">
        <v>10</v>
      </c>
      <c r="B142" s="9" t="s">
        <v>25</v>
      </c>
      <c r="C142" s="257"/>
      <c r="D142" s="9" t="s">
        <v>9</v>
      </c>
      <c r="E142" s="248">
        <v>11</v>
      </c>
      <c r="F142" s="254" t="s">
        <v>37</v>
      </c>
      <c r="G142"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2" s="255">
        <f>VLOOKUP(BUReporting[[#This Row],[Program]],'Program MW '!$A$34:$S$45,15,FALSE)</f>
        <v>0</v>
      </c>
    </row>
    <row r="143" spans="1:8" ht="15.6" thickTop="1" thickBot="1">
      <c r="A143" s="247">
        <v>11</v>
      </c>
      <c r="B143" s="9" t="s">
        <v>26</v>
      </c>
      <c r="C143" s="257"/>
      <c r="D143" s="9" t="s">
        <v>9</v>
      </c>
      <c r="E143" s="248">
        <v>11</v>
      </c>
      <c r="F143" s="254" t="s">
        <v>37</v>
      </c>
      <c r="G143"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3" s="255">
        <f>VLOOKUP(BUReporting[[#This Row],[Program]],'Program MW '!$A$34:$S$45,15,FALSE)</f>
        <v>0</v>
      </c>
    </row>
    <row r="144" spans="1:8" ht="13.5" thickTop="1" thickBot="1">
      <c r="A144" s="247">
        <v>12</v>
      </c>
      <c r="B144" s="9" t="s">
        <v>27</v>
      </c>
      <c r="C144" s="35"/>
      <c r="D144" s="9" t="s">
        <v>19</v>
      </c>
      <c r="E144" s="248">
        <v>11</v>
      </c>
      <c r="F144" s="254" t="s">
        <v>37</v>
      </c>
      <c r="G144"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4" s="255">
        <f>VLOOKUP(BUReporting[[#This Row],[Program]],'Program MW '!$A$34:$S$45,15,FALSE)</f>
        <v>0</v>
      </c>
    </row>
    <row r="145" spans="1:8" ht="15.6" thickTop="1" thickBot="1">
      <c r="A145" s="256">
        <v>0</v>
      </c>
      <c r="B145" s="51" t="s">
        <v>8</v>
      </c>
      <c r="C145" s="257"/>
      <c r="D145" s="249" t="s">
        <v>9</v>
      </c>
      <c r="E145" s="252">
        <v>12</v>
      </c>
      <c r="F145" s="253" t="s">
        <v>38</v>
      </c>
      <c r="G145" s="246">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145" s="255">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146" spans="1:8" ht="15.6" thickTop="1" thickBot="1">
      <c r="A146" s="247">
        <v>1</v>
      </c>
      <c r="B146" s="9" t="s">
        <v>11</v>
      </c>
      <c r="C146" s="257"/>
      <c r="D146" s="9" t="s">
        <v>9</v>
      </c>
      <c r="E146" s="248">
        <v>12</v>
      </c>
      <c r="F146" s="254" t="s">
        <v>38</v>
      </c>
      <c r="G146"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46" s="255">
        <f>VLOOKUP(BUReporting[[#This Row],[Program]],'Program MW '!$A$34:$S$45,18,FALSE)</f>
        <v>0</v>
      </c>
    </row>
    <row r="147" spans="1:8" ht="15.6" thickTop="1" thickBot="1">
      <c r="A147" s="247">
        <v>2</v>
      </c>
      <c r="B147" s="9" t="s">
        <v>12</v>
      </c>
      <c r="C147" s="257" t="s">
        <v>13</v>
      </c>
      <c r="D147" s="9" t="s">
        <v>9</v>
      </c>
      <c r="E147" s="248">
        <v>12</v>
      </c>
      <c r="F147" s="254" t="s">
        <v>38</v>
      </c>
      <c r="G147" s="246"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147" s="255" t="e">
        <f>VLOOKUP(BUReporting[[#This Row],[Program]],'Program MW '!$A$34:$S$45,18,FALSE)</f>
        <v>#N/A</v>
      </c>
    </row>
    <row r="148" spans="1:8" ht="15.6" thickTop="1" thickBot="1">
      <c r="A148" s="247">
        <v>3</v>
      </c>
      <c r="B148" s="9" t="s">
        <v>14</v>
      </c>
      <c r="C148" s="257"/>
      <c r="D148" s="9" t="s">
        <v>9</v>
      </c>
      <c r="E148" s="248">
        <v>12</v>
      </c>
      <c r="F148" s="254" t="s">
        <v>38</v>
      </c>
      <c r="G148" s="246"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148" s="255" t="e">
        <f>VLOOKUP(BUReporting[[#This Row],[Program]],'Program MW '!$A$34:$S$45,18,FALSE)</f>
        <v>#N/A</v>
      </c>
    </row>
    <row r="149" spans="1:8" ht="15.6" thickTop="1" thickBot="1">
      <c r="A149" s="247">
        <v>4</v>
      </c>
      <c r="B149" s="9" t="s">
        <v>15</v>
      </c>
      <c r="C149" s="257" t="s">
        <v>16</v>
      </c>
      <c r="D149" s="9" t="s">
        <v>9</v>
      </c>
      <c r="E149" s="248">
        <v>12</v>
      </c>
      <c r="F149" s="254" t="s">
        <v>38</v>
      </c>
      <c r="G149" s="246"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149" s="255" t="e">
        <f>VLOOKUP(BUReporting[[#This Row],[Program]],'Program MW '!$A$34:$S$45,18,FALSE)</f>
        <v>#N/A</v>
      </c>
    </row>
    <row r="150" spans="1:8" ht="15.6" thickTop="1" thickBot="1">
      <c r="A150" s="247">
        <v>5</v>
      </c>
      <c r="B150" s="9" t="s">
        <v>17</v>
      </c>
      <c r="C150" s="257" t="s">
        <v>18</v>
      </c>
      <c r="D150" s="9" t="s">
        <v>19</v>
      </c>
      <c r="E150" s="248">
        <v>12</v>
      </c>
      <c r="F150" s="254" t="s">
        <v>38</v>
      </c>
      <c r="G150"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0" s="255">
        <f>VLOOKUP(BUReporting[[#This Row],[Program]],'Program MW '!$A$34:$S$45,18,FALSE)</f>
        <v>0</v>
      </c>
    </row>
    <row r="151" spans="1:8" ht="15.6" thickTop="1" thickBot="1">
      <c r="A151" s="247">
        <v>6</v>
      </c>
      <c r="B151" s="9" t="s">
        <v>20</v>
      </c>
      <c r="C151" s="257" t="s">
        <v>18</v>
      </c>
      <c r="D151" s="9" t="s">
        <v>9</v>
      </c>
      <c r="E151" s="248">
        <v>12</v>
      </c>
      <c r="F151" s="254" t="s">
        <v>38</v>
      </c>
      <c r="G151"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1" s="255">
        <f>VLOOKUP(BUReporting[[#This Row],[Program]],'Program MW '!$A$34:$S$45,18,FALSE)</f>
        <v>0</v>
      </c>
    </row>
    <row r="152" spans="1:8" ht="15.6" thickTop="1" thickBot="1">
      <c r="A152" s="247">
        <v>7</v>
      </c>
      <c r="B152" s="9" t="s">
        <v>21</v>
      </c>
      <c r="C152" s="257" t="s">
        <v>22</v>
      </c>
      <c r="D152" s="9" t="s">
        <v>19</v>
      </c>
      <c r="E152" s="248">
        <v>12</v>
      </c>
      <c r="F152" s="254" t="s">
        <v>38</v>
      </c>
      <c r="G152"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2" s="255">
        <f>VLOOKUP(BUReporting[[#This Row],[Program]],'Program MW '!$A$34:$S$45,18,FALSE)</f>
        <v>0</v>
      </c>
    </row>
    <row r="153" spans="1:8" ht="15.6" thickTop="1" thickBot="1">
      <c r="A153" s="247">
        <v>8</v>
      </c>
      <c r="B153" s="9" t="s">
        <v>23</v>
      </c>
      <c r="C153" s="257" t="s">
        <v>22</v>
      </c>
      <c r="D153" s="9" t="s">
        <v>9</v>
      </c>
      <c r="E153" s="248">
        <v>12</v>
      </c>
      <c r="F153" s="254" t="s">
        <v>38</v>
      </c>
      <c r="G153"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3" s="255">
        <f>VLOOKUP(BUReporting[[#This Row],[Program]],'Program MW '!$A$34:$S$45,18,FALSE)</f>
        <v>0</v>
      </c>
    </row>
    <row r="154" spans="1:8" ht="15.6" thickTop="1" thickBot="1">
      <c r="A154" s="247">
        <v>9</v>
      </c>
      <c r="B154" s="9" t="s">
        <v>24</v>
      </c>
      <c r="C154" s="257"/>
      <c r="D154" s="9" t="s">
        <v>9</v>
      </c>
      <c r="E154" s="248">
        <v>12</v>
      </c>
      <c r="F154" s="254" t="s">
        <v>38</v>
      </c>
      <c r="G154"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4" s="255">
        <f>VLOOKUP(BUReporting[[#This Row],[Program]],'Program MW '!$A$34:$S$45,18,FALSE)</f>
        <v>0</v>
      </c>
    </row>
    <row r="155" spans="1:8" ht="15.6" thickTop="1" thickBot="1">
      <c r="A155" s="247">
        <v>10</v>
      </c>
      <c r="B155" s="9" t="s">
        <v>25</v>
      </c>
      <c r="C155" s="257"/>
      <c r="D155" s="9" t="s">
        <v>9</v>
      </c>
      <c r="E155" s="248">
        <v>12</v>
      </c>
      <c r="F155" s="254" t="s">
        <v>38</v>
      </c>
      <c r="G155"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5" s="255">
        <f>VLOOKUP(BUReporting[[#This Row],[Program]],'Program MW '!$A$34:$S$45,18,FALSE)</f>
        <v>0</v>
      </c>
    </row>
    <row r="156" spans="1:8" ht="15.6" thickTop="1" thickBot="1">
      <c r="A156" s="247">
        <v>11</v>
      </c>
      <c r="B156" s="9" t="s">
        <v>26</v>
      </c>
      <c r="C156" s="257"/>
      <c r="D156" s="9" t="s">
        <v>9</v>
      </c>
      <c r="E156" s="248">
        <v>12</v>
      </c>
      <c r="F156" s="254" t="s">
        <v>38</v>
      </c>
      <c r="G156"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6" s="255">
        <f>VLOOKUP(BUReporting[[#This Row],[Program]],'Program MW '!$A$34:$S$45,18,FALSE)</f>
        <v>0</v>
      </c>
    </row>
    <row r="157" spans="1:8" ht="12.95" thickTop="1">
      <c r="A157" s="247">
        <v>12</v>
      </c>
      <c r="B157" s="9" t="s">
        <v>27</v>
      </c>
      <c r="C157" s="35"/>
      <c r="D157" s="9" t="s">
        <v>19</v>
      </c>
      <c r="E157" s="248">
        <v>12</v>
      </c>
      <c r="F157" s="254" t="s">
        <v>38</v>
      </c>
      <c r="G157"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7" s="255">
        <f>VLOOKUP(BUReporting[[#This Row],[Program]],'Program MW '!$A$34:$S$45,18,FALSE)</f>
        <v>0</v>
      </c>
    </row>
  </sheetData>
  <pageMargins left="0.7" right="0.7" top="0.75" bottom="0.75" header="0.3" footer="0.3"/>
  <customProperties>
    <customPr name="_pios_id" r:id="rId1"/>
  </customPropertie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H34"/>
  <sheetViews>
    <sheetView zoomScaleNormal="100" zoomScaleSheetLayoutView="100" workbookViewId="0"/>
  </sheetViews>
  <sheetFormatPr defaultColWidth="9.28515625" defaultRowHeight="12.6"/>
  <cols>
    <col min="1" max="1" width="29.28515625" style="75" customWidth="1"/>
    <col min="2" max="2" width="22.5703125" style="75" bestFit="1" customWidth="1"/>
    <col min="3" max="3" width="49.7109375" style="75" customWidth="1"/>
    <col min="4" max="4" width="11.28515625" style="75" customWidth="1"/>
    <col min="5" max="5" width="57" style="75" customWidth="1"/>
    <col min="6" max="13" width="9.28515625" style="75"/>
    <col min="14" max="14" width="23.7109375" style="75" bestFit="1" customWidth="1"/>
    <col min="15" max="16384" width="9.28515625" style="75"/>
  </cols>
  <sheetData>
    <row r="1" spans="1:5" ht="12.95">
      <c r="C1" s="79" t="s">
        <v>39</v>
      </c>
    </row>
    <row r="2" spans="1:5" ht="12.95">
      <c r="C2" s="79" t="s">
        <v>273</v>
      </c>
    </row>
    <row r="3" spans="1:5" ht="12.95">
      <c r="C3" s="626" t="s">
        <v>274</v>
      </c>
    </row>
    <row r="4" spans="1:5">
      <c r="C4" s="16"/>
    </row>
    <row r="5" spans="1:5">
      <c r="C5" s="16"/>
    </row>
    <row r="6" spans="1:5" s="16" customFormat="1" ht="12.95">
      <c r="A6" s="169"/>
      <c r="B6" s="169"/>
      <c r="D6" s="75"/>
    </row>
    <row r="7" spans="1:5" s="16" customFormat="1"/>
    <row r="8" spans="1:5" s="17" customFormat="1" ht="12.95">
      <c r="A8" s="601" t="s">
        <v>142</v>
      </c>
      <c r="B8" s="601" t="s">
        <v>275</v>
      </c>
      <c r="C8" s="601" t="s">
        <v>276</v>
      </c>
      <c r="D8" s="601" t="s">
        <v>144</v>
      </c>
      <c r="E8" s="601" t="s">
        <v>277</v>
      </c>
    </row>
    <row r="9" spans="1:5" s="17" customFormat="1" ht="50.1">
      <c r="A9" s="602" t="s">
        <v>175</v>
      </c>
      <c r="B9" s="603">
        <v>-234498</v>
      </c>
      <c r="C9" s="604" t="s">
        <v>278</v>
      </c>
      <c r="D9" s="605">
        <v>43302</v>
      </c>
      <c r="E9" s="606" t="s">
        <v>279</v>
      </c>
    </row>
    <row r="10" spans="1:5" s="17" customFormat="1" ht="50.1">
      <c r="A10" s="602" t="s">
        <v>280</v>
      </c>
      <c r="B10" s="603">
        <v>-700000</v>
      </c>
      <c r="C10" s="604" t="s">
        <v>281</v>
      </c>
      <c r="D10" s="605">
        <v>43302</v>
      </c>
      <c r="E10" s="606" t="s">
        <v>282</v>
      </c>
    </row>
    <row r="11" spans="1:5" s="17" customFormat="1" ht="62.45">
      <c r="A11" s="602" t="s">
        <v>283</v>
      </c>
      <c r="B11" s="603">
        <v>-194400</v>
      </c>
      <c r="C11" s="604" t="s">
        <v>284</v>
      </c>
      <c r="D11" s="605">
        <v>43304</v>
      </c>
      <c r="E11" s="606" t="s">
        <v>285</v>
      </c>
    </row>
    <row r="12" spans="1:5" s="17" customFormat="1" ht="137.44999999999999">
      <c r="A12" s="602" t="s">
        <v>286</v>
      </c>
      <c r="B12" s="603">
        <v>1128898</v>
      </c>
      <c r="C12" s="604" t="s">
        <v>287</v>
      </c>
      <c r="D12" s="605">
        <v>43302</v>
      </c>
      <c r="E12" s="606" t="s">
        <v>288</v>
      </c>
    </row>
    <row r="13" spans="1:5" s="221" customFormat="1" ht="50.1">
      <c r="A13" s="602" t="s">
        <v>202</v>
      </c>
      <c r="B13" s="603">
        <v>-166000</v>
      </c>
      <c r="C13" s="604" t="s">
        <v>289</v>
      </c>
      <c r="D13" s="605">
        <v>44061</v>
      </c>
      <c r="E13" s="606" t="s">
        <v>290</v>
      </c>
    </row>
    <row r="14" spans="1:5" s="222" customFormat="1" ht="50.1">
      <c r="A14" s="602" t="s">
        <v>202</v>
      </c>
      <c r="B14" s="607">
        <v>-400000</v>
      </c>
      <c r="C14" s="604" t="s">
        <v>291</v>
      </c>
      <c r="D14" s="605">
        <v>44061</v>
      </c>
      <c r="E14" s="606" t="s">
        <v>290</v>
      </c>
    </row>
    <row r="15" spans="1:5" s="222" customFormat="1" ht="50.1">
      <c r="A15" s="602" t="s">
        <v>202</v>
      </c>
      <c r="B15" s="607">
        <v>566000</v>
      </c>
      <c r="C15" s="608" t="s">
        <v>292</v>
      </c>
      <c r="D15" s="605">
        <v>44061</v>
      </c>
      <c r="E15" s="606" t="s">
        <v>290</v>
      </c>
    </row>
    <row r="16" spans="1:5" s="222" customFormat="1">
      <c r="A16" s="609" t="s">
        <v>67</v>
      </c>
      <c r="B16" s="607" t="s">
        <v>67</v>
      </c>
      <c r="C16" s="608" t="s">
        <v>67</v>
      </c>
      <c r="D16" s="605"/>
      <c r="E16" s="606"/>
    </row>
    <row r="17" spans="1:5" ht="12.95">
      <c r="A17" s="610" t="s">
        <v>119</v>
      </c>
      <c r="B17" s="611">
        <f>SUM(B9:B16)</f>
        <v>0</v>
      </c>
      <c r="C17" s="612"/>
      <c r="D17" s="612"/>
      <c r="E17" s="612"/>
    </row>
    <row r="18" spans="1:5">
      <c r="A18" s="612"/>
      <c r="B18" s="612"/>
      <c r="C18" s="612"/>
      <c r="D18" s="612"/>
      <c r="E18" s="612"/>
    </row>
    <row r="20" spans="1:5" ht="14.1">
      <c r="A20" s="273" t="s">
        <v>68</v>
      </c>
    </row>
    <row r="21" spans="1:5" ht="14.1">
      <c r="A21" s="274" t="s">
        <v>293</v>
      </c>
    </row>
    <row r="22" spans="1:5" ht="14.1">
      <c r="A22" s="273"/>
    </row>
    <row r="23" spans="1:5" ht="14.45">
      <c r="A23" s="275" t="s">
        <v>84</v>
      </c>
      <c r="E23" s="76"/>
    </row>
    <row r="34" spans="8:8">
      <c r="H34" s="75" t="s">
        <v>67</v>
      </c>
    </row>
  </sheetData>
  <phoneticPr fontId="45"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69"/>
  <sheetViews>
    <sheetView showGridLines="0" zoomScale="110" zoomScaleNormal="110" zoomScaleSheetLayoutView="75" workbookViewId="0">
      <pane xSplit="1" ySplit="8" topLeftCell="B46" activePane="bottomRight" state="frozen"/>
      <selection pane="bottomRight" activeCell="A64" sqref="A64"/>
      <selection pane="bottomLeft" activeCell="K43" sqref="K43"/>
      <selection pane="topRight" activeCell="K43" sqref="K43"/>
    </sheetView>
  </sheetViews>
  <sheetFormatPr defaultColWidth="17" defaultRowHeight="11.45"/>
  <cols>
    <col min="1" max="1" width="46.28515625" style="119" customWidth="1"/>
    <col min="2" max="9" width="11.5703125" style="119" customWidth="1"/>
    <col min="10" max="10" width="11.5703125" style="120" customWidth="1"/>
    <col min="11" max="14" width="11.5703125" style="119" customWidth="1"/>
    <col min="15" max="16" width="0" style="119" hidden="1" customWidth="1"/>
    <col min="17" max="17" width="23.5703125" style="119" bestFit="1" customWidth="1"/>
    <col min="18" max="18" width="24.28515625" style="119" bestFit="1" customWidth="1"/>
    <col min="19" max="19" width="25.7109375" style="119" bestFit="1" customWidth="1"/>
    <col min="20" max="20" width="21.7109375" style="119" bestFit="1" customWidth="1"/>
    <col min="21" max="16384" width="17" style="119"/>
  </cols>
  <sheetData>
    <row r="1" spans="1:20">
      <c r="A1" s="119" t="s">
        <v>67</v>
      </c>
      <c r="E1" s="117" t="s">
        <v>39</v>
      </c>
    </row>
    <row r="2" spans="1:20">
      <c r="E2" s="117" t="s">
        <v>294</v>
      </c>
    </row>
    <row r="3" spans="1:20">
      <c r="A3" s="510"/>
      <c r="D3" s="121"/>
      <c r="E3" s="122">
        <f>'Program MW '!H3</f>
        <v>44805</v>
      </c>
      <c r="F3" s="121"/>
      <c r="N3" s="361"/>
    </row>
    <row r="4" spans="1:20" ht="12" thickBot="1"/>
    <row r="5" spans="1:20">
      <c r="A5" s="123"/>
      <c r="B5" s="124"/>
      <c r="C5" s="124"/>
      <c r="D5" s="124"/>
      <c r="E5" s="124"/>
      <c r="F5" s="124"/>
      <c r="G5" s="124"/>
      <c r="H5" s="124"/>
      <c r="I5" s="124"/>
      <c r="J5" s="125"/>
      <c r="K5" s="124"/>
      <c r="L5" s="124"/>
      <c r="M5" s="124"/>
      <c r="N5" s="283"/>
      <c r="Q5" s="658"/>
    </row>
    <row r="6" spans="1:20" ht="23.1">
      <c r="A6" s="642" t="s">
        <v>295</v>
      </c>
      <c r="B6" s="485" t="s">
        <v>41</v>
      </c>
      <c r="C6" s="485" t="s">
        <v>42</v>
      </c>
      <c r="D6" s="485" t="s">
        <v>43</v>
      </c>
      <c r="E6" s="485" t="s">
        <v>44</v>
      </c>
      <c r="F6" s="485" t="s">
        <v>31</v>
      </c>
      <c r="G6" s="485" t="s">
        <v>45</v>
      </c>
      <c r="H6" s="485" t="s">
        <v>58</v>
      </c>
      <c r="I6" s="485" t="s">
        <v>59</v>
      </c>
      <c r="J6" s="486" t="s">
        <v>60</v>
      </c>
      <c r="K6" s="485" t="s">
        <v>61</v>
      </c>
      <c r="L6" s="485" t="s">
        <v>62</v>
      </c>
      <c r="M6" s="485" t="s">
        <v>63</v>
      </c>
      <c r="N6" s="633" t="s">
        <v>296</v>
      </c>
      <c r="Q6" s="658"/>
    </row>
    <row r="7" spans="1:20">
      <c r="A7" s="126"/>
      <c r="B7" s="127"/>
      <c r="C7" s="127"/>
      <c r="D7" s="127"/>
      <c r="E7" s="127"/>
      <c r="F7" s="362"/>
      <c r="G7" s="362"/>
      <c r="H7" s="363"/>
      <c r="I7" s="362"/>
      <c r="J7" s="364"/>
      <c r="K7" s="362"/>
      <c r="L7" s="362"/>
      <c r="M7" s="362"/>
      <c r="N7" s="365"/>
      <c r="Q7" s="658"/>
    </row>
    <row r="8" spans="1:20">
      <c r="A8" s="128" t="s">
        <v>297</v>
      </c>
      <c r="B8" s="127"/>
      <c r="C8" s="127"/>
      <c r="D8" s="127"/>
      <c r="E8" s="127"/>
      <c r="F8" s="362"/>
      <c r="G8" s="362"/>
      <c r="H8" s="363"/>
      <c r="I8" s="362"/>
      <c r="J8" s="364"/>
      <c r="K8" s="362"/>
      <c r="L8" s="362"/>
      <c r="M8" s="362"/>
      <c r="N8" s="365"/>
      <c r="Q8" s="658"/>
    </row>
    <row r="9" spans="1:20">
      <c r="A9" s="196" t="s">
        <v>298</v>
      </c>
      <c r="B9" s="541">
        <v>11.819380000000001</v>
      </c>
      <c r="C9" s="542">
        <v>13.621</v>
      </c>
      <c r="D9" s="542">
        <v>26.66</v>
      </c>
      <c r="E9" s="542">
        <v>4.0971500000000001</v>
      </c>
      <c r="F9" s="542">
        <v>10.802110000000001</v>
      </c>
      <c r="G9" s="542">
        <v>12.510300000000001</v>
      </c>
      <c r="H9" s="542">
        <v>9.3032599999999981</v>
      </c>
      <c r="I9" s="542">
        <v>11.016830000000001</v>
      </c>
      <c r="J9" s="542">
        <v>17.31916</v>
      </c>
      <c r="K9" s="542">
        <v>0</v>
      </c>
      <c r="L9" s="542">
        <v>0</v>
      </c>
      <c r="M9" s="542">
        <v>0</v>
      </c>
      <c r="N9" s="334">
        <f t="shared" ref="N9:N35" si="0">SUM(B9:M9)</f>
        <v>117.14918999999999</v>
      </c>
      <c r="O9" s="487">
        <v>0</v>
      </c>
      <c r="P9" s="487">
        <v>0</v>
      </c>
      <c r="Q9" s="518"/>
      <c r="R9" s="518"/>
      <c r="S9" s="518"/>
      <c r="T9" s="518"/>
    </row>
    <row r="10" spans="1:20" ht="13.5">
      <c r="A10" s="196" t="s">
        <v>299</v>
      </c>
      <c r="B10" s="543">
        <v>43.835000000000001</v>
      </c>
      <c r="C10" s="544">
        <v>41.576999999999998</v>
      </c>
      <c r="D10" s="544">
        <v>37.118000000000002</v>
      </c>
      <c r="E10" s="544">
        <v>53.366329999999998</v>
      </c>
      <c r="F10" s="544">
        <v>44.156260000000003</v>
      </c>
      <c r="G10" s="544">
        <v>46.952869999999997</v>
      </c>
      <c r="H10" s="544">
        <v>42.141910000000003</v>
      </c>
      <c r="I10" s="544">
        <v>45.304810000000003</v>
      </c>
      <c r="J10" s="544">
        <v>41.384999999999998</v>
      </c>
      <c r="K10" s="544">
        <v>0</v>
      </c>
      <c r="L10" s="544">
        <v>0</v>
      </c>
      <c r="M10" s="544">
        <v>0</v>
      </c>
      <c r="N10" s="334">
        <f t="shared" si="0"/>
        <v>395.83717999999999</v>
      </c>
      <c r="Q10" s="518"/>
      <c r="R10" s="518"/>
      <c r="S10" s="518"/>
      <c r="T10" s="518"/>
    </row>
    <row r="11" spans="1:20" ht="14.25" customHeight="1">
      <c r="A11" s="196" t="s">
        <v>300</v>
      </c>
      <c r="B11" s="543">
        <v>1.2969999999999999</v>
      </c>
      <c r="C11" s="544">
        <v>1.44</v>
      </c>
      <c r="D11" s="544">
        <v>1.825</v>
      </c>
      <c r="E11" s="544">
        <v>1.77902</v>
      </c>
      <c r="F11" s="544">
        <v>1.3805000000000001</v>
      </c>
      <c r="G11" s="544">
        <v>1.47872</v>
      </c>
      <c r="H11" s="544">
        <v>-0.17429999999999998</v>
      </c>
      <c r="I11" s="544">
        <v>0</v>
      </c>
      <c r="J11" s="544">
        <v>7.1419999999999997E-2</v>
      </c>
      <c r="K11" s="544">
        <v>0</v>
      </c>
      <c r="L11" s="544">
        <v>0</v>
      </c>
      <c r="M11" s="544">
        <v>0</v>
      </c>
      <c r="N11" s="334">
        <f t="shared" si="0"/>
        <v>9.0973600000000001</v>
      </c>
      <c r="Q11" s="518"/>
      <c r="R11" s="518"/>
      <c r="S11" s="518"/>
      <c r="T11" s="518"/>
    </row>
    <row r="12" spans="1:20">
      <c r="A12" s="196" t="s">
        <v>301</v>
      </c>
      <c r="B12" s="543">
        <v>0</v>
      </c>
      <c r="C12" s="544">
        <v>0</v>
      </c>
      <c r="D12" s="544">
        <v>0</v>
      </c>
      <c r="E12" s="544">
        <v>0</v>
      </c>
      <c r="F12" s="544">
        <v>0</v>
      </c>
      <c r="G12" s="544">
        <v>0</v>
      </c>
      <c r="H12" s="544">
        <v>0</v>
      </c>
      <c r="I12" s="544">
        <v>0</v>
      </c>
      <c r="J12" s="544">
        <v>0</v>
      </c>
      <c r="K12" s="544">
        <v>0</v>
      </c>
      <c r="L12" s="544">
        <v>0</v>
      </c>
      <c r="M12" s="544">
        <v>0</v>
      </c>
      <c r="N12" s="334">
        <f t="shared" si="0"/>
        <v>0</v>
      </c>
      <c r="Q12" s="518"/>
      <c r="R12" s="518"/>
      <c r="S12" s="518"/>
      <c r="T12" s="518"/>
    </row>
    <row r="13" spans="1:20" ht="13.5">
      <c r="A13" s="196" t="s">
        <v>302</v>
      </c>
      <c r="B13" s="543">
        <v>8.2850000000000001</v>
      </c>
      <c r="C13" s="544">
        <v>9.16</v>
      </c>
      <c r="D13" s="544">
        <v>-4.0739999999999998</v>
      </c>
      <c r="E13" s="544">
        <v>12.88151</v>
      </c>
      <c r="F13" s="544">
        <v>7.4344700000000001</v>
      </c>
      <c r="G13" s="544">
        <v>6.2083399999999997</v>
      </c>
      <c r="H13" s="544">
        <v>5.0752700000000006</v>
      </c>
      <c r="I13" s="544">
        <v>7.8170799999999998</v>
      </c>
      <c r="J13" s="544">
        <v>6.0662500000000001</v>
      </c>
      <c r="K13" s="544">
        <v>0</v>
      </c>
      <c r="L13" s="544">
        <v>0</v>
      </c>
      <c r="M13" s="544">
        <v>0</v>
      </c>
      <c r="N13" s="334">
        <f t="shared" si="0"/>
        <v>58.853920000000002</v>
      </c>
      <c r="Q13" s="518"/>
      <c r="R13" s="518"/>
      <c r="S13" s="518"/>
      <c r="T13" s="518"/>
    </row>
    <row r="14" spans="1:20">
      <c r="A14" s="196" t="s">
        <v>303</v>
      </c>
      <c r="B14" s="543">
        <v>11.39</v>
      </c>
      <c r="C14" s="544">
        <v>43.307000000000002</v>
      </c>
      <c r="D14" s="544">
        <v>13.707000000000001</v>
      </c>
      <c r="E14" s="544">
        <v>12.34746</v>
      </c>
      <c r="F14" s="544">
        <v>53.549379999999999</v>
      </c>
      <c r="G14" s="544">
        <v>11.692679999999999</v>
      </c>
      <c r="H14" s="544">
        <v>29.460749999999997</v>
      </c>
      <c r="I14" s="544">
        <v>21.474360000000001</v>
      </c>
      <c r="J14" s="544">
        <v>15.715240000000001</v>
      </c>
      <c r="K14" s="544">
        <v>0</v>
      </c>
      <c r="L14" s="544">
        <v>0</v>
      </c>
      <c r="M14" s="544">
        <v>0</v>
      </c>
      <c r="N14" s="334">
        <f t="shared" si="0"/>
        <v>212.64386999999996</v>
      </c>
      <c r="Q14" s="518"/>
      <c r="R14" s="518">
        <f>9525.93+6189.31</f>
        <v>15715.240000000002</v>
      </c>
      <c r="S14" s="518"/>
      <c r="T14" s="518"/>
    </row>
    <row r="15" spans="1:20">
      <c r="A15" s="196" t="s">
        <v>304</v>
      </c>
      <c r="B15" s="543">
        <v>25.422000000000001</v>
      </c>
      <c r="C15" s="544">
        <v>16.079000000000001</v>
      </c>
      <c r="D15" s="544">
        <v>25.518999999999998</v>
      </c>
      <c r="E15" s="544">
        <v>78.285150000000002</v>
      </c>
      <c r="F15" s="544">
        <v>38.04074</v>
      </c>
      <c r="G15" s="544">
        <v>13.76216</v>
      </c>
      <c r="H15" s="544">
        <v>41.713540000000002</v>
      </c>
      <c r="I15" s="544">
        <v>50.743729999999999</v>
      </c>
      <c r="J15" s="544">
        <v>23.467300000000002</v>
      </c>
      <c r="K15" s="544">
        <v>0</v>
      </c>
      <c r="L15" s="544">
        <v>0</v>
      </c>
      <c r="M15" s="544">
        <v>0</v>
      </c>
      <c r="N15" s="334">
        <f t="shared" si="0"/>
        <v>313.03262000000007</v>
      </c>
      <c r="Q15" s="518"/>
      <c r="R15" s="518"/>
      <c r="S15" s="518"/>
      <c r="T15" s="518"/>
    </row>
    <row r="16" spans="1:20">
      <c r="A16" s="196" t="s">
        <v>189</v>
      </c>
      <c r="B16" s="543">
        <v>12.194000000000001</v>
      </c>
      <c r="C16" s="544">
        <v>12.827999999999999</v>
      </c>
      <c r="D16" s="544">
        <v>19.89</v>
      </c>
      <c r="E16" s="544">
        <v>4.95594</v>
      </c>
      <c r="F16" s="544">
        <v>9.8368500000000001</v>
      </c>
      <c r="G16" s="544">
        <v>11.208629999999999</v>
      </c>
      <c r="H16" s="544">
        <v>10.423500000000001</v>
      </c>
      <c r="I16" s="544">
        <v>13.44674</v>
      </c>
      <c r="J16" s="544">
        <v>9.46936</v>
      </c>
      <c r="K16" s="544">
        <v>0</v>
      </c>
      <c r="L16" s="544">
        <v>0</v>
      </c>
      <c r="M16" s="544">
        <v>0</v>
      </c>
      <c r="N16" s="334">
        <f t="shared" si="0"/>
        <v>104.25302000000001</v>
      </c>
      <c r="Q16" s="518"/>
      <c r="R16" s="518"/>
      <c r="S16" s="518"/>
      <c r="T16" s="518"/>
    </row>
    <row r="17" spans="1:20">
      <c r="A17" s="196" t="s">
        <v>190</v>
      </c>
      <c r="B17" s="543">
        <v>8.3819999999999997</v>
      </c>
      <c r="C17" s="544">
        <v>10.196</v>
      </c>
      <c r="D17" s="544">
        <v>8.093</v>
      </c>
      <c r="E17" s="544">
        <v>8.6605699999999999</v>
      </c>
      <c r="F17" s="544">
        <v>8.4446499999999993</v>
      </c>
      <c r="G17" s="544">
        <v>16.071899999999999</v>
      </c>
      <c r="H17" s="544">
        <v>4.3300799999999997</v>
      </c>
      <c r="I17" s="544">
        <v>6.13652</v>
      </c>
      <c r="J17" s="544">
        <v>3.6537799999999998</v>
      </c>
      <c r="K17" s="544">
        <v>0</v>
      </c>
      <c r="L17" s="544">
        <v>0</v>
      </c>
      <c r="M17" s="544">
        <v>0</v>
      </c>
      <c r="N17" s="334">
        <f t="shared" si="0"/>
        <v>73.968499999999992</v>
      </c>
      <c r="Q17" s="518"/>
      <c r="R17" s="518"/>
      <c r="S17" s="518"/>
      <c r="T17" s="518"/>
    </row>
    <row r="18" spans="1:20">
      <c r="A18" s="196" t="s">
        <v>305</v>
      </c>
      <c r="B18" s="543">
        <v>0</v>
      </c>
      <c r="C18" s="544">
        <v>0</v>
      </c>
      <c r="D18" s="544">
        <v>0</v>
      </c>
      <c r="E18" s="544">
        <v>0</v>
      </c>
      <c r="F18" s="544">
        <v>0</v>
      </c>
      <c r="G18" s="544">
        <v>0</v>
      </c>
      <c r="H18" s="544">
        <v>0</v>
      </c>
      <c r="I18" s="544">
        <v>0</v>
      </c>
      <c r="J18" s="544">
        <v>0</v>
      </c>
      <c r="K18" s="544">
        <v>0</v>
      </c>
      <c r="L18" s="544">
        <v>0</v>
      </c>
      <c r="M18" s="544">
        <v>0</v>
      </c>
      <c r="N18" s="334">
        <f t="shared" si="0"/>
        <v>0</v>
      </c>
      <c r="Q18" s="518"/>
      <c r="R18" s="518"/>
      <c r="S18" s="518"/>
      <c r="T18" s="518"/>
    </row>
    <row r="19" spans="1:20" ht="13.5">
      <c r="A19" s="196" t="s">
        <v>306</v>
      </c>
      <c r="B19" s="543">
        <v>0</v>
      </c>
      <c r="C19" s="544">
        <v>0</v>
      </c>
      <c r="D19" s="544">
        <v>0</v>
      </c>
      <c r="E19" s="544">
        <v>0</v>
      </c>
      <c r="F19" s="544">
        <v>0</v>
      </c>
      <c r="G19" s="544">
        <v>0</v>
      </c>
      <c r="H19" s="544">
        <v>0</v>
      </c>
      <c r="I19" s="544">
        <v>0</v>
      </c>
      <c r="J19" s="544">
        <v>0</v>
      </c>
      <c r="K19" s="544">
        <v>0</v>
      </c>
      <c r="L19" s="544">
        <v>0</v>
      </c>
      <c r="M19" s="544">
        <v>0</v>
      </c>
      <c r="N19" s="334">
        <f t="shared" si="0"/>
        <v>0</v>
      </c>
      <c r="Q19" s="518"/>
      <c r="R19" s="518"/>
      <c r="S19" s="518"/>
      <c r="T19" s="518"/>
    </row>
    <row r="20" spans="1:20" s="121" customFormat="1">
      <c r="A20" s="196" t="s">
        <v>307</v>
      </c>
      <c r="B20" s="543">
        <v>0</v>
      </c>
      <c r="C20" s="544">
        <v>0</v>
      </c>
      <c r="D20" s="544">
        <v>0</v>
      </c>
      <c r="E20" s="544">
        <v>0</v>
      </c>
      <c r="F20" s="544">
        <v>0</v>
      </c>
      <c r="G20" s="544">
        <v>0</v>
      </c>
      <c r="H20" s="544">
        <v>0</v>
      </c>
      <c r="I20" s="544">
        <v>0</v>
      </c>
      <c r="J20" s="544">
        <v>0</v>
      </c>
      <c r="K20" s="544">
        <v>0</v>
      </c>
      <c r="L20" s="544">
        <v>0</v>
      </c>
      <c r="M20" s="544">
        <v>0</v>
      </c>
      <c r="N20" s="334">
        <f t="shared" si="0"/>
        <v>0</v>
      </c>
      <c r="Q20" s="518"/>
      <c r="R20" s="518"/>
      <c r="S20" s="518"/>
      <c r="T20" s="518"/>
    </row>
    <row r="21" spans="1:20" s="121" customFormat="1">
      <c r="A21" s="196" t="s">
        <v>308</v>
      </c>
      <c r="B21" s="543">
        <v>0</v>
      </c>
      <c r="C21" s="544">
        <v>17.693000000000001</v>
      </c>
      <c r="D21" s="544">
        <v>19.661000000000001</v>
      </c>
      <c r="E21" s="544">
        <v>0</v>
      </c>
      <c r="F21" s="544">
        <v>0</v>
      </c>
      <c r="G21" s="544">
        <v>0.38146000000000002</v>
      </c>
      <c r="H21" s="544">
        <v>5.2576999999999998</v>
      </c>
      <c r="I21" s="544">
        <v>25.82912</v>
      </c>
      <c r="J21" s="544">
        <v>4.86571</v>
      </c>
      <c r="K21" s="544">
        <v>0</v>
      </c>
      <c r="L21" s="544">
        <v>0</v>
      </c>
      <c r="M21" s="544">
        <v>0</v>
      </c>
      <c r="N21" s="334">
        <f>SUM(B21:M21)</f>
        <v>73.687989999999985</v>
      </c>
      <c r="Q21" s="518"/>
      <c r="R21" s="518"/>
      <c r="S21" s="518"/>
      <c r="T21" s="518"/>
    </row>
    <row r="22" spans="1:20" ht="13.5">
      <c r="A22" s="196" t="s">
        <v>309</v>
      </c>
      <c r="B22" s="543">
        <v>52.804000000000002</v>
      </c>
      <c r="C22" s="544">
        <v>2.57</v>
      </c>
      <c r="D22" s="544">
        <v>0.89900000000000002</v>
      </c>
      <c r="E22" s="544">
        <v>1.10321</v>
      </c>
      <c r="F22" s="544">
        <v>1.07985</v>
      </c>
      <c r="G22" s="544">
        <v>0.63338000000000005</v>
      </c>
      <c r="H22" s="544">
        <v>46.424330000000005</v>
      </c>
      <c r="I22" s="544">
        <v>-3.61809</v>
      </c>
      <c r="J22" s="544">
        <v>0</v>
      </c>
      <c r="K22" s="544">
        <v>0</v>
      </c>
      <c r="L22" s="544">
        <v>0</v>
      </c>
      <c r="M22" s="544">
        <v>0</v>
      </c>
      <c r="N22" s="334">
        <f t="shared" si="0"/>
        <v>101.89568000000001</v>
      </c>
      <c r="Q22" s="518"/>
      <c r="R22" s="518"/>
      <c r="S22" s="518"/>
      <c r="T22" s="518"/>
    </row>
    <row r="23" spans="1:20" ht="14.45">
      <c r="A23" s="196" t="s">
        <v>310</v>
      </c>
      <c r="B23" s="543">
        <v>4.2999999999999997E-2</v>
      </c>
      <c r="C23" s="544">
        <v>13.542999999999999</v>
      </c>
      <c r="D23" s="544">
        <v>24.450559999999999</v>
      </c>
      <c r="E23" s="544">
        <v>29.317260000000001</v>
      </c>
      <c r="F23" s="544">
        <v>5.9776100000000003</v>
      </c>
      <c r="G23" s="544">
        <v>209.85838000000001</v>
      </c>
      <c r="H23" s="544">
        <v>-76.67889000000001</v>
      </c>
      <c r="I23" s="544">
        <v>87.614080000000001</v>
      </c>
      <c r="J23" s="544">
        <v>352.89280000000002</v>
      </c>
      <c r="K23" s="544">
        <v>0</v>
      </c>
      <c r="L23" s="544">
        <v>0</v>
      </c>
      <c r="M23" s="544">
        <v>0</v>
      </c>
      <c r="N23" s="334">
        <f t="shared" si="0"/>
        <v>647.01780000000008</v>
      </c>
      <c r="Q23" s="518"/>
      <c r="R23" s="518"/>
      <c r="S23" s="518"/>
      <c r="T23" s="518"/>
    </row>
    <row r="24" spans="1:20">
      <c r="A24" s="196" t="s">
        <v>311</v>
      </c>
      <c r="B24" s="543">
        <v>34.704000000000001</v>
      </c>
      <c r="C24" s="544">
        <v>52.957999999999998</v>
      </c>
      <c r="D24" s="544">
        <v>48.078000000000003</v>
      </c>
      <c r="E24" s="544">
        <v>40.80603</v>
      </c>
      <c r="F24" s="544">
        <v>52.581800000000001</v>
      </c>
      <c r="G24" s="544">
        <v>54.091990000000003</v>
      </c>
      <c r="H24" s="544">
        <v>49.074069999999999</v>
      </c>
      <c r="I24" s="544">
        <v>50.402450000000002</v>
      </c>
      <c r="J24" s="544">
        <v>40.81776</v>
      </c>
      <c r="K24" s="544">
        <v>0</v>
      </c>
      <c r="L24" s="544">
        <v>0</v>
      </c>
      <c r="M24" s="544">
        <v>0</v>
      </c>
      <c r="N24" s="334">
        <f t="shared" si="0"/>
        <v>423.51410000000004</v>
      </c>
      <c r="Q24" s="518"/>
      <c r="R24" s="518"/>
      <c r="S24" s="518"/>
      <c r="T24" s="518"/>
    </row>
    <row r="25" spans="1:20">
      <c r="A25" s="196" t="s">
        <v>312</v>
      </c>
      <c r="B25" s="543">
        <v>4.1840000000000002</v>
      </c>
      <c r="C25" s="544">
        <v>22.571999999999999</v>
      </c>
      <c r="D25" s="544">
        <v>167.18547000000001</v>
      </c>
      <c r="E25" s="544">
        <v>68.229879999999994</v>
      </c>
      <c r="F25" s="544">
        <v>85.472489999999993</v>
      </c>
      <c r="G25" s="544">
        <v>204.65241</v>
      </c>
      <c r="H25" s="544">
        <v>16.200479999999999</v>
      </c>
      <c r="I25" s="544">
        <v>149.66304</v>
      </c>
      <c r="J25" s="544">
        <v>99.786380000000008</v>
      </c>
      <c r="K25" s="544">
        <v>0</v>
      </c>
      <c r="L25" s="544">
        <v>0</v>
      </c>
      <c r="M25" s="544">
        <v>0</v>
      </c>
      <c r="N25" s="334">
        <f t="shared" si="0"/>
        <v>817.94614999999999</v>
      </c>
      <c r="Q25" s="518"/>
      <c r="R25" s="518"/>
      <c r="S25" s="518"/>
      <c r="T25" s="518"/>
    </row>
    <row r="26" spans="1:20" ht="13.5">
      <c r="A26" s="196" t="s">
        <v>313</v>
      </c>
      <c r="B26" s="543">
        <v>-9.5389999999999997</v>
      </c>
      <c r="C26" s="544">
        <v>68.260999999999996</v>
      </c>
      <c r="D26" s="544">
        <v>71.935000000000002</v>
      </c>
      <c r="E26" s="544">
        <v>75.594430000000003</v>
      </c>
      <c r="F26" s="544">
        <v>101.52406999999999</v>
      </c>
      <c r="G26" s="544">
        <v>74.753529999999998</v>
      </c>
      <c r="H26" s="544">
        <v>65.000640000000004</v>
      </c>
      <c r="I26" s="544">
        <v>85.477930000000001</v>
      </c>
      <c r="J26" s="544">
        <v>66.742170000000002</v>
      </c>
      <c r="K26" s="544">
        <v>0</v>
      </c>
      <c r="L26" s="544">
        <v>0</v>
      </c>
      <c r="M26" s="544">
        <v>0</v>
      </c>
      <c r="N26" s="334">
        <f t="shared" si="0"/>
        <v>599.74977000000001</v>
      </c>
      <c r="Q26" s="518"/>
      <c r="R26" s="518"/>
      <c r="S26" s="518"/>
      <c r="T26" s="518"/>
    </row>
    <row r="27" spans="1:20" s="130" customFormat="1">
      <c r="A27" s="196" t="s">
        <v>206</v>
      </c>
      <c r="B27" s="543">
        <v>0</v>
      </c>
      <c r="C27" s="544">
        <v>0</v>
      </c>
      <c r="D27" s="544">
        <v>35.493000000000002</v>
      </c>
      <c r="E27" s="544">
        <v>0</v>
      </c>
      <c r="F27" s="544">
        <v>63.154470000000003</v>
      </c>
      <c r="G27" s="544">
        <v>0</v>
      </c>
      <c r="H27" s="544">
        <v>47.484760000000001</v>
      </c>
      <c r="I27" s="544">
        <v>0</v>
      </c>
      <c r="J27" s="544">
        <v>0</v>
      </c>
      <c r="K27" s="544">
        <v>0</v>
      </c>
      <c r="L27" s="544">
        <v>0</v>
      </c>
      <c r="M27" s="544">
        <v>0</v>
      </c>
      <c r="N27" s="334">
        <f t="shared" si="0"/>
        <v>146.13222999999999</v>
      </c>
      <c r="O27" s="119"/>
      <c r="Q27" s="518"/>
      <c r="R27" s="518"/>
      <c r="S27" s="518"/>
      <c r="T27" s="518"/>
    </row>
    <row r="28" spans="1:20" s="130" customFormat="1" ht="13.5">
      <c r="A28" s="260" t="s">
        <v>314</v>
      </c>
      <c r="B28" s="543">
        <v>6.734</v>
      </c>
      <c r="C28" s="544">
        <v>0</v>
      </c>
      <c r="D28" s="544">
        <v>21.42</v>
      </c>
      <c r="E28" s="544">
        <v>10.71</v>
      </c>
      <c r="F28" s="544">
        <v>13.387499999999999</v>
      </c>
      <c r="G28" s="544">
        <v>57.298499999999997</v>
      </c>
      <c r="H28" s="544">
        <v>-38.555999999999997</v>
      </c>
      <c r="I28" s="544">
        <v>118.881</v>
      </c>
      <c r="J28" s="544">
        <v>171.36</v>
      </c>
      <c r="K28" s="544">
        <v>0</v>
      </c>
      <c r="L28" s="544">
        <v>0</v>
      </c>
      <c r="M28" s="544">
        <v>0</v>
      </c>
      <c r="N28" s="334">
        <f t="shared" si="0"/>
        <v>361.23500000000001</v>
      </c>
      <c r="O28" s="119"/>
      <c r="Q28" s="518"/>
      <c r="R28" s="518"/>
      <c r="S28" s="518"/>
      <c r="T28" s="518"/>
    </row>
    <row r="29" spans="1:20" s="130" customFormat="1">
      <c r="A29" s="260" t="s">
        <v>315</v>
      </c>
      <c r="B29" s="543">
        <v>0</v>
      </c>
      <c r="C29" s="544">
        <v>0</v>
      </c>
      <c r="D29" s="544">
        <v>0</v>
      </c>
      <c r="E29" s="544">
        <v>0</v>
      </c>
      <c r="F29" s="544">
        <v>0</v>
      </c>
      <c r="G29" s="544">
        <v>0</v>
      </c>
      <c r="H29" s="544">
        <v>23.054190000000006</v>
      </c>
      <c r="I29" s="544">
        <v>2.1812999999999998</v>
      </c>
      <c r="J29" s="544">
        <v>6.5549600000000003</v>
      </c>
      <c r="K29" s="544">
        <v>0</v>
      </c>
      <c r="L29" s="544">
        <v>0</v>
      </c>
      <c r="M29" s="544">
        <v>0</v>
      </c>
      <c r="N29" s="334">
        <f t="shared" si="0"/>
        <v>31.790450000000007</v>
      </c>
      <c r="O29" s="119"/>
      <c r="Q29" s="518"/>
      <c r="R29" s="518"/>
      <c r="S29" s="518"/>
      <c r="T29" s="518"/>
    </row>
    <row r="30" spans="1:20" s="130" customFormat="1" ht="15" customHeight="1">
      <c r="A30" s="196" t="s">
        <v>316</v>
      </c>
      <c r="B30" s="543">
        <v>0.13600000000000001</v>
      </c>
      <c r="C30" s="544">
        <v>0.32300000000000001</v>
      </c>
      <c r="D30" s="544">
        <v>0.28494000000000003</v>
      </c>
      <c r="E30" s="544">
        <v>0.40883999999999998</v>
      </c>
      <c r="F30" s="544">
        <v>0.49707000000000001</v>
      </c>
      <c r="G30" s="544">
        <v>0.36151</v>
      </c>
      <c r="H30" s="544">
        <v>0.43675999999999998</v>
      </c>
      <c r="I30" s="544">
        <v>0.31261</v>
      </c>
      <c r="J30" s="544">
        <v>0.51488999999999996</v>
      </c>
      <c r="K30" s="544">
        <v>0</v>
      </c>
      <c r="L30" s="544">
        <v>0</v>
      </c>
      <c r="M30" s="544">
        <v>0</v>
      </c>
      <c r="N30" s="334">
        <f t="shared" si="0"/>
        <v>3.2756199999999995</v>
      </c>
      <c r="Q30" s="518"/>
      <c r="R30" s="518"/>
      <c r="S30" s="518"/>
      <c r="T30" s="518"/>
    </row>
    <row r="31" spans="1:20" s="130" customFormat="1" ht="13.5">
      <c r="A31" s="196" t="s">
        <v>317</v>
      </c>
      <c r="B31" s="543">
        <v>0.71099999999999997</v>
      </c>
      <c r="C31" s="544">
        <v>-0.59</v>
      </c>
      <c r="D31" s="544">
        <v>8.2059999999999994E-2</v>
      </c>
      <c r="E31" s="544">
        <v>1.63628</v>
      </c>
      <c r="F31" s="544">
        <v>1.68347</v>
      </c>
      <c r="G31" s="544">
        <v>1.78731</v>
      </c>
      <c r="H31" s="544">
        <v>0.76972000000000007</v>
      </c>
      <c r="I31" s="544">
        <v>1.2787200000000001</v>
      </c>
      <c r="J31" s="544">
        <v>10.7433</v>
      </c>
      <c r="K31" s="544">
        <v>0</v>
      </c>
      <c r="L31" s="544">
        <v>0</v>
      </c>
      <c r="M31" s="544">
        <v>0</v>
      </c>
      <c r="N31" s="334">
        <f t="shared" si="0"/>
        <v>18.101859999999999</v>
      </c>
      <c r="Q31" s="518"/>
      <c r="R31" s="518"/>
      <c r="S31" s="518"/>
      <c r="T31" s="518"/>
    </row>
    <row r="32" spans="1:20" s="130" customFormat="1" ht="13.5">
      <c r="A32" s="196" t="s">
        <v>318</v>
      </c>
      <c r="B32" s="543">
        <v>0.24199999999999999</v>
      </c>
      <c r="C32" s="544">
        <v>0.19400000000000001</v>
      </c>
      <c r="D32" s="544">
        <v>0.28401999999999999</v>
      </c>
      <c r="E32" s="544">
        <v>0.24529999999999999</v>
      </c>
      <c r="F32" s="544">
        <v>0.29824000000000001</v>
      </c>
      <c r="G32" s="544">
        <v>0.21690999999999999</v>
      </c>
      <c r="H32" s="544">
        <v>0.26206000000000002</v>
      </c>
      <c r="I32" s="544">
        <v>0.18756999999999999</v>
      </c>
      <c r="J32" s="544">
        <v>0.30892999999999998</v>
      </c>
      <c r="K32" s="544">
        <v>0</v>
      </c>
      <c r="L32" s="544">
        <v>0</v>
      </c>
      <c r="M32" s="544">
        <v>0</v>
      </c>
      <c r="N32" s="334">
        <f t="shared" si="0"/>
        <v>2.2390300000000001</v>
      </c>
      <c r="Q32" s="518"/>
      <c r="R32" s="518"/>
      <c r="S32" s="518"/>
      <c r="T32" s="518"/>
    </row>
    <row r="33" spans="1:20" s="130" customFormat="1" ht="13.5">
      <c r="A33" s="196" t="s">
        <v>319</v>
      </c>
      <c r="B33" s="543">
        <v>-0.32300000000000001</v>
      </c>
      <c r="C33" s="544">
        <v>0</v>
      </c>
      <c r="D33" s="544">
        <v>0</v>
      </c>
      <c r="E33" s="544">
        <v>0</v>
      </c>
      <c r="F33" s="544">
        <v>0</v>
      </c>
      <c r="G33" s="544">
        <v>0</v>
      </c>
      <c r="H33" s="544">
        <v>0</v>
      </c>
      <c r="I33" s="544">
        <v>0</v>
      </c>
      <c r="J33" s="544">
        <v>0</v>
      </c>
      <c r="K33" s="544">
        <v>0</v>
      </c>
      <c r="L33" s="544">
        <v>0</v>
      </c>
      <c r="M33" s="544">
        <v>0</v>
      </c>
      <c r="N33" s="334">
        <f t="shared" si="0"/>
        <v>-0.32300000000000001</v>
      </c>
      <c r="Q33" s="518"/>
      <c r="R33" s="518"/>
      <c r="S33" s="518"/>
      <c r="T33" s="518"/>
    </row>
    <row r="34" spans="1:20" s="130" customFormat="1" ht="13.5">
      <c r="A34" s="196" t="s">
        <v>320</v>
      </c>
      <c r="B34" s="543">
        <v>9.7639999999999993</v>
      </c>
      <c r="C34" s="544">
        <v>-0.19800000000000001</v>
      </c>
      <c r="D34" s="544">
        <v>222.19684000000001</v>
      </c>
      <c r="E34" s="544">
        <v>-23.363849999999999</v>
      </c>
      <c r="F34" s="544">
        <v>328.02131000000003</v>
      </c>
      <c r="G34" s="544">
        <v>70.897000000000006</v>
      </c>
      <c r="H34" s="544">
        <v>-29.766290000000001</v>
      </c>
      <c r="I34" s="544">
        <v>-31.199269999999999</v>
      </c>
      <c r="J34" s="544">
        <v>0</v>
      </c>
      <c r="K34" s="544">
        <v>0</v>
      </c>
      <c r="L34" s="544">
        <v>0</v>
      </c>
      <c r="M34" s="544">
        <v>0</v>
      </c>
      <c r="N34" s="334">
        <f t="shared" si="0"/>
        <v>546.35174000000006</v>
      </c>
      <c r="Q34" s="518"/>
      <c r="R34" s="518"/>
      <c r="S34" s="518"/>
      <c r="T34" s="518"/>
    </row>
    <row r="35" spans="1:20" s="130" customFormat="1" ht="13.5">
      <c r="A35" s="196" t="s">
        <v>321</v>
      </c>
      <c r="B35" s="545">
        <v>248.40100000000001</v>
      </c>
      <c r="C35" s="546">
        <v>248.40100000000001</v>
      </c>
      <c r="D35" s="546">
        <v>496.80354</v>
      </c>
      <c r="E35" s="546">
        <v>496.80354999999997</v>
      </c>
      <c r="F35" s="546">
        <v>-248.40177</v>
      </c>
      <c r="G35" s="546">
        <v>248.40177</v>
      </c>
      <c r="H35" s="546">
        <v>248.40177</v>
      </c>
      <c r="I35" s="546">
        <v>248.40178</v>
      </c>
      <c r="J35" s="546">
        <v>248.40177</v>
      </c>
      <c r="K35" s="546">
        <v>0</v>
      </c>
      <c r="L35" s="546">
        <v>0</v>
      </c>
      <c r="M35" s="546">
        <v>0</v>
      </c>
      <c r="N35" s="334">
        <f t="shared" si="0"/>
        <v>2235.6144100000001</v>
      </c>
      <c r="Q35" s="518"/>
      <c r="R35" s="518"/>
      <c r="S35" s="518"/>
      <c r="T35" s="518"/>
    </row>
    <row r="36" spans="1:20">
      <c r="A36" s="678" t="s">
        <v>322</v>
      </c>
      <c r="B36" s="341">
        <f t="shared" ref="B36:M36" si="1">SUM(B9:B35)</f>
        <v>470.48538000000008</v>
      </c>
      <c r="C36" s="332">
        <f t="shared" si="1"/>
        <v>573.93499999999995</v>
      </c>
      <c r="D36" s="332">
        <f t="shared" si="1"/>
        <v>1237.51143</v>
      </c>
      <c r="E36" s="332">
        <f t="shared" si="1"/>
        <v>877.86405999999988</v>
      </c>
      <c r="F36" s="366">
        <f t="shared" si="1"/>
        <v>578.9210700000001</v>
      </c>
      <c r="G36" s="366">
        <f t="shared" si="1"/>
        <v>1043.21975</v>
      </c>
      <c r="H36" s="366">
        <f t="shared" si="1"/>
        <v>499.63931000000002</v>
      </c>
      <c r="I36" s="366">
        <f t="shared" si="1"/>
        <v>891.35230999999999</v>
      </c>
      <c r="J36" s="366">
        <f>SUM(J9:J35)</f>
        <v>1120.1361800000002</v>
      </c>
      <c r="K36" s="366">
        <f t="shared" si="1"/>
        <v>0</v>
      </c>
      <c r="L36" s="366">
        <f t="shared" si="1"/>
        <v>0</v>
      </c>
      <c r="M36" s="366">
        <f t="shared" si="1"/>
        <v>0</v>
      </c>
      <c r="N36" s="634">
        <f>SUM(N9:N35)</f>
        <v>7293.0644900000007</v>
      </c>
      <c r="Q36" s="518"/>
      <c r="R36" s="518"/>
    </row>
    <row r="37" spans="1:20">
      <c r="A37" s="196"/>
      <c r="B37" s="330"/>
      <c r="C37" s="331"/>
      <c r="D37" s="331"/>
      <c r="E37" s="331"/>
      <c r="F37" s="331"/>
      <c r="G37" s="331"/>
      <c r="H37" s="331"/>
      <c r="I37" s="331"/>
      <c r="J37" s="331"/>
      <c r="K37" s="331"/>
      <c r="L37" s="331"/>
      <c r="M37" s="331"/>
      <c r="N37" s="334"/>
    </row>
    <row r="38" spans="1:20" s="130" customFormat="1">
      <c r="A38" s="195" t="s">
        <v>323</v>
      </c>
      <c r="B38" s="330"/>
      <c r="C38" s="331"/>
      <c r="D38" s="331"/>
      <c r="E38" s="331"/>
      <c r="F38" s="331"/>
      <c r="G38" s="331"/>
      <c r="H38" s="331"/>
      <c r="I38" s="331"/>
      <c r="J38" s="331"/>
      <c r="K38" s="331"/>
      <c r="L38" s="331"/>
      <c r="M38" s="331"/>
      <c r="N38" s="334"/>
      <c r="O38" s="119"/>
    </row>
    <row r="39" spans="1:20" ht="13.5">
      <c r="A39" s="196" t="s">
        <v>324</v>
      </c>
      <c r="B39" s="541">
        <v>0.9</v>
      </c>
      <c r="C39" s="542">
        <v>0.06</v>
      </c>
      <c r="D39" s="542">
        <v>41.68</v>
      </c>
      <c r="E39" s="542">
        <v>0.32</v>
      </c>
      <c r="F39" s="542">
        <v>0.04</v>
      </c>
      <c r="G39" s="542">
        <v>0.06</v>
      </c>
      <c r="H39" s="686">
        <v>0.04</v>
      </c>
      <c r="I39" s="686">
        <v>0.02</v>
      </c>
      <c r="J39" s="542">
        <v>0</v>
      </c>
      <c r="K39" s="542">
        <v>0</v>
      </c>
      <c r="L39" s="542">
        <v>0</v>
      </c>
      <c r="M39" s="542">
        <v>0</v>
      </c>
      <c r="N39" s="651">
        <f t="shared" ref="N39:N49" si="2">SUM(B39:M39)</f>
        <v>43.120000000000005</v>
      </c>
      <c r="Q39" s="130"/>
      <c r="R39" s="517"/>
    </row>
    <row r="40" spans="1:20" s="121" customFormat="1" ht="14.45">
      <c r="A40" s="196" t="s">
        <v>325</v>
      </c>
      <c r="B40" s="543">
        <v>40.75806</v>
      </c>
      <c r="C40" s="544">
        <v>32.123260000000002</v>
      </c>
      <c r="D40" s="544">
        <v>0.92837999999999998</v>
      </c>
      <c r="E40" s="544">
        <v>0.10868</v>
      </c>
      <c r="F40" s="544">
        <v>5.3999999999999999E-2</v>
      </c>
      <c r="G40" s="544">
        <v>-2.5020000000000001E-2</v>
      </c>
      <c r="H40" s="544">
        <v>0</v>
      </c>
      <c r="I40" s="544">
        <v>0</v>
      </c>
      <c r="J40" s="544">
        <v>0</v>
      </c>
      <c r="K40" s="544">
        <v>0</v>
      </c>
      <c r="L40" s="544">
        <v>0</v>
      </c>
      <c r="M40" s="544">
        <v>0</v>
      </c>
      <c r="N40" s="334">
        <f t="shared" si="2"/>
        <v>73.947360000000018</v>
      </c>
      <c r="Q40" s="130"/>
    </row>
    <row r="41" spans="1:20" ht="13.5">
      <c r="A41" s="196" t="s">
        <v>326</v>
      </c>
      <c r="B41" s="543">
        <v>0.38719999999999999</v>
      </c>
      <c r="C41" s="544">
        <v>0.39023999999999998</v>
      </c>
      <c r="D41" s="544">
        <v>-1.20072</v>
      </c>
      <c r="E41" s="544">
        <v>0</v>
      </c>
      <c r="F41" s="544">
        <v>0</v>
      </c>
      <c r="G41" s="544">
        <v>0</v>
      </c>
      <c r="H41" s="544">
        <v>0</v>
      </c>
      <c r="I41" s="544">
        <v>0</v>
      </c>
      <c r="J41" s="544">
        <v>0</v>
      </c>
      <c r="K41" s="544">
        <v>0</v>
      </c>
      <c r="L41" s="544">
        <v>0</v>
      </c>
      <c r="M41" s="544">
        <v>0</v>
      </c>
      <c r="N41" s="334">
        <f t="shared" si="2"/>
        <v>-0.4232800000000001</v>
      </c>
      <c r="Q41" s="130"/>
    </row>
    <row r="42" spans="1:20" ht="13.5">
      <c r="A42" s="196" t="s">
        <v>327</v>
      </c>
      <c r="B42" s="543">
        <v>48.863999999999997</v>
      </c>
      <c r="C42" s="544">
        <v>0</v>
      </c>
      <c r="D42" s="544">
        <v>0</v>
      </c>
      <c r="E42" s="544">
        <v>0</v>
      </c>
      <c r="F42" s="544">
        <v>0</v>
      </c>
      <c r="G42" s="544">
        <v>0</v>
      </c>
      <c r="H42" s="544">
        <v>11.447469999999999</v>
      </c>
      <c r="I42" s="544">
        <v>-11.447469999999999</v>
      </c>
      <c r="J42" s="544">
        <v>0</v>
      </c>
      <c r="K42" s="544">
        <v>0</v>
      </c>
      <c r="L42" s="544">
        <v>0</v>
      </c>
      <c r="M42" s="544">
        <v>0</v>
      </c>
      <c r="N42" s="334">
        <f t="shared" si="2"/>
        <v>48.864000000000004</v>
      </c>
      <c r="Q42" s="130"/>
    </row>
    <row r="43" spans="1:20">
      <c r="A43" s="196" t="s">
        <v>328</v>
      </c>
      <c r="B43" s="543">
        <v>0</v>
      </c>
      <c r="C43" s="544">
        <v>0</v>
      </c>
      <c r="D43" s="544">
        <v>0</v>
      </c>
      <c r="E43" s="544">
        <v>0</v>
      </c>
      <c r="F43" s="544">
        <v>0</v>
      </c>
      <c r="G43" s="544">
        <v>0</v>
      </c>
      <c r="H43" s="544">
        <v>0</v>
      </c>
      <c r="I43" s="544">
        <v>11.447469999999999</v>
      </c>
      <c r="J43" s="544">
        <v>78.240700000000004</v>
      </c>
      <c r="K43" s="544">
        <v>0</v>
      </c>
      <c r="L43" s="544">
        <v>0</v>
      </c>
      <c r="M43" s="544">
        <v>0</v>
      </c>
      <c r="N43" s="334">
        <f t="shared" si="2"/>
        <v>89.68817</v>
      </c>
      <c r="Q43" s="130"/>
    </row>
    <row r="44" spans="1:20" ht="13.5">
      <c r="A44" s="196" t="s">
        <v>329</v>
      </c>
      <c r="B44" s="543">
        <v>0.871</v>
      </c>
      <c r="C44" s="544">
        <v>-15.92</v>
      </c>
      <c r="D44" s="544">
        <v>50.101100000000002</v>
      </c>
      <c r="E44" s="544">
        <v>49.377299999999998</v>
      </c>
      <c r="F44" s="544">
        <v>-0.57321999999999995</v>
      </c>
      <c r="G44" s="544">
        <v>250.21605</v>
      </c>
      <c r="H44" s="544">
        <v>-42.273000000000003</v>
      </c>
      <c r="I44" s="544">
        <v>131.59299999999999</v>
      </c>
      <c r="J44" s="544">
        <v>460.05790000000002</v>
      </c>
      <c r="K44" s="544">
        <v>0</v>
      </c>
      <c r="L44" s="544">
        <v>0</v>
      </c>
      <c r="M44" s="544">
        <v>0</v>
      </c>
      <c r="N44" s="334">
        <f t="shared" si="2"/>
        <v>883.45012999999994</v>
      </c>
      <c r="Q44" s="130"/>
    </row>
    <row r="45" spans="1:20">
      <c r="A45" s="197" t="s">
        <v>330</v>
      </c>
      <c r="B45" s="543">
        <v>23.6</v>
      </c>
      <c r="C45" s="544">
        <v>46.6</v>
      </c>
      <c r="D45" s="544">
        <v>53.7</v>
      </c>
      <c r="E45" s="544">
        <v>24.5</v>
      </c>
      <c r="F45" s="544">
        <v>31.55</v>
      </c>
      <c r="G45" s="544">
        <v>19.2</v>
      </c>
      <c r="H45" s="544">
        <v>40.450000000000003</v>
      </c>
      <c r="I45" s="544">
        <v>57.9</v>
      </c>
      <c r="J45" s="544">
        <v>66.5</v>
      </c>
      <c r="K45" s="544">
        <v>0</v>
      </c>
      <c r="L45" s="544">
        <v>0</v>
      </c>
      <c r="M45" s="544">
        <v>0</v>
      </c>
      <c r="N45" s="334">
        <f t="shared" si="2"/>
        <v>364</v>
      </c>
      <c r="Q45" s="130"/>
    </row>
    <row r="46" spans="1:20" ht="13.5">
      <c r="A46" s="196" t="s">
        <v>331</v>
      </c>
      <c r="B46" s="543">
        <v>0</v>
      </c>
      <c r="C46" s="544">
        <v>0</v>
      </c>
      <c r="D46" s="544">
        <v>0</v>
      </c>
      <c r="E46" s="544">
        <v>0</v>
      </c>
      <c r="F46" s="544">
        <v>0</v>
      </c>
      <c r="G46" s="544">
        <v>0</v>
      </c>
      <c r="H46" s="544">
        <v>0</v>
      </c>
      <c r="I46" s="544">
        <v>0</v>
      </c>
      <c r="J46" s="544">
        <v>0</v>
      </c>
      <c r="K46" s="544">
        <v>0</v>
      </c>
      <c r="L46" s="544">
        <v>0</v>
      </c>
      <c r="M46" s="544">
        <v>0</v>
      </c>
      <c r="N46" s="334">
        <f t="shared" si="2"/>
        <v>0</v>
      </c>
      <c r="Q46" s="130"/>
    </row>
    <row r="47" spans="1:20">
      <c r="A47" s="196" t="s">
        <v>305</v>
      </c>
      <c r="B47" s="543">
        <v>0</v>
      </c>
      <c r="C47" s="544">
        <v>0</v>
      </c>
      <c r="D47" s="544">
        <v>0</v>
      </c>
      <c r="E47" s="544">
        <v>0</v>
      </c>
      <c r="F47" s="544">
        <v>0</v>
      </c>
      <c r="G47" s="544">
        <v>0</v>
      </c>
      <c r="H47" s="544">
        <v>0</v>
      </c>
      <c r="I47" s="544">
        <v>0</v>
      </c>
      <c r="J47" s="544">
        <v>0</v>
      </c>
      <c r="K47" s="544">
        <v>0</v>
      </c>
      <c r="L47" s="544">
        <v>0</v>
      </c>
      <c r="M47" s="544">
        <v>0</v>
      </c>
      <c r="N47" s="334">
        <f t="shared" si="2"/>
        <v>0</v>
      </c>
      <c r="Q47" s="130"/>
    </row>
    <row r="48" spans="1:20" ht="10.9" customHeight="1">
      <c r="A48" s="259" t="s">
        <v>332</v>
      </c>
      <c r="B48" s="543">
        <v>0</v>
      </c>
      <c r="C48" s="544">
        <v>0</v>
      </c>
      <c r="D48" s="544">
        <v>0</v>
      </c>
      <c r="E48" s="544">
        <v>0</v>
      </c>
      <c r="F48" s="544">
        <v>0</v>
      </c>
      <c r="G48" s="544">
        <v>0</v>
      </c>
      <c r="H48" s="544">
        <v>0</v>
      </c>
      <c r="I48" s="544">
        <v>0</v>
      </c>
      <c r="J48" s="544">
        <v>0</v>
      </c>
      <c r="K48" s="544">
        <v>0</v>
      </c>
      <c r="L48" s="544">
        <v>0</v>
      </c>
      <c r="M48" s="544">
        <v>0</v>
      </c>
      <c r="N48" s="334">
        <f t="shared" si="2"/>
        <v>0</v>
      </c>
      <c r="Q48" s="130"/>
    </row>
    <row r="49" spans="1:17">
      <c r="A49" s="196" t="s">
        <v>333</v>
      </c>
      <c r="B49" s="545">
        <v>0</v>
      </c>
      <c r="C49" s="546">
        <v>0</v>
      </c>
      <c r="D49" s="546">
        <v>0</v>
      </c>
      <c r="E49" s="546">
        <v>0</v>
      </c>
      <c r="F49" s="546">
        <v>0</v>
      </c>
      <c r="G49" s="546">
        <v>0</v>
      </c>
      <c r="H49" s="546">
        <v>0</v>
      </c>
      <c r="I49" s="546">
        <v>0</v>
      </c>
      <c r="J49" s="546">
        <v>0</v>
      </c>
      <c r="K49" s="546">
        <v>0</v>
      </c>
      <c r="L49" s="546">
        <v>0</v>
      </c>
      <c r="M49" s="546">
        <v>0</v>
      </c>
      <c r="N49" s="334">
        <f t="shared" si="2"/>
        <v>0</v>
      </c>
      <c r="Q49" s="130"/>
    </row>
    <row r="50" spans="1:17">
      <c r="A50" s="261" t="s">
        <v>334</v>
      </c>
      <c r="B50" s="366">
        <f t="shared" ref="B50:M50" si="3">SUM(B39:B49)</f>
        <v>115.38025999999999</v>
      </c>
      <c r="C50" s="366">
        <f t="shared" si="3"/>
        <v>63.253500000000003</v>
      </c>
      <c r="D50" s="366">
        <f t="shared" si="3"/>
        <v>145.20875999999998</v>
      </c>
      <c r="E50" s="366">
        <f t="shared" si="3"/>
        <v>74.305980000000005</v>
      </c>
      <c r="F50" s="366">
        <f t="shared" si="3"/>
        <v>31.070779999999999</v>
      </c>
      <c r="G50" s="366">
        <f t="shared" si="3"/>
        <v>269.45103</v>
      </c>
      <c r="H50" s="366">
        <f t="shared" si="3"/>
        <v>9.6644699999999979</v>
      </c>
      <c r="I50" s="366">
        <f t="shared" si="3"/>
        <v>189.51300000000001</v>
      </c>
      <c r="J50" s="366">
        <f t="shared" si="3"/>
        <v>604.79860000000008</v>
      </c>
      <c r="K50" s="366">
        <f t="shared" si="3"/>
        <v>0</v>
      </c>
      <c r="L50" s="366">
        <f t="shared" si="3"/>
        <v>0</v>
      </c>
      <c r="M50" s="366">
        <f t="shared" si="3"/>
        <v>0</v>
      </c>
      <c r="N50" s="634">
        <f>SUM(N39:N49)</f>
        <v>1502.6463799999999</v>
      </c>
    </row>
    <row r="51" spans="1:17" ht="20.25" customHeight="1" thickBot="1">
      <c r="A51" s="680" t="s">
        <v>335</v>
      </c>
      <c r="B51" s="342">
        <f t="shared" ref="B51:N51" si="4">B50+B36</f>
        <v>585.8656400000001</v>
      </c>
      <c r="C51" s="333">
        <f t="shared" si="4"/>
        <v>637.18849999999998</v>
      </c>
      <c r="D51" s="333">
        <f t="shared" si="4"/>
        <v>1382.72019</v>
      </c>
      <c r="E51" s="333">
        <f t="shared" si="4"/>
        <v>952.17003999999986</v>
      </c>
      <c r="F51" s="367">
        <f t="shared" si="4"/>
        <v>609.99185000000011</v>
      </c>
      <c r="G51" s="367">
        <f t="shared" si="4"/>
        <v>1312.6707799999999</v>
      </c>
      <c r="H51" s="367">
        <f t="shared" si="4"/>
        <v>509.30378000000002</v>
      </c>
      <c r="I51" s="367">
        <f t="shared" si="4"/>
        <v>1080.8653099999999</v>
      </c>
      <c r="J51" s="367">
        <f t="shared" si="4"/>
        <v>1724.9347800000003</v>
      </c>
      <c r="K51" s="367">
        <f t="shared" si="4"/>
        <v>0</v>
      </c>
      <c r="L51" s="367">
        <f t="shared" si="4"/>
        <v>0</v>
      </c>
      <c r="M51" s="367">
        <f t="shared" si="4"/>
        <v>0</v>
      </c>
      <c r="N51" s="368">
        <f t="shared" si="4"/>
        <v>8795.7108700000008</v>
      </c>
    </row>
    <row r="52" spans="1:17" ht="16.5" customHeight="1">
      <c r="A52" s="679"/>
      <c r="B52" s="507"/>
      <c r="C52" s="507"/>
      <c r="D52" s="507"/>
      <c r="E52" s="507"/>
      <c r="F52" s="508"/>
      <c r="G52" s="508"/>
      <c r="H52" s="508"/>
      <c r="I52" s="508"/>
      <c r="J52" s="509"/>
      <c r="K52" s="508"/>
      <c r="L52" s="508"/>
      <c r="M52" s="508"/>
      <c r="N52" s="649"/>
    </row>
    <row r="53" spans="1:17" s="121" customFormat="1" ht="30.75" customHeight="1" thickBot="1">
      <c r="A53" s="506" t="s">
        <v>336</v>
      </c>
      <c r="B53" s="512">
        <f>B51+0.032</f>
        <v>585.89764000000014</v>
      </c>
      <c r="C53" s="512">
        <f>C51+0.113</f>
        <v>637.30150000000003</v>
      </c>
      <c r="D53" s="512">
        <f>D51+0.335</f>
        <v>1383.05519</v>
      </c>
      <c r="E53" s="512">
        <f>E51+1.618</f>
        <v>953.78803999999991</v>
      </c>
      <c r="F53" s="512">
        <f>F51+2.802</f>
        <v>612.79385000000013</v>
      </c>
      <c r="G53" s="512">
        <f>G51+4.346</f>
        <v>1317.0167799999999</v>
      </c>
      <c r="H53" s="512">
        <f>H51+5.112</f>
        <v>514.41578000000004</v>
      </c>
      <c r="I53" s="512">
        <f>I51+13.297</f>
        <v>1094.1623099999999</v>
      </c>
      <c r="J53" s="512">
        <f>J51+17.08</f>
        <v>1742.0147800000002</v>
      </c>
      <c r="K53" s="512">
        <v>0</v>
      </c>
      <c r="L53" s="512">
        <v>0</v>
      </c>
      <c r="M53" s="512">
        <v>0</v>
      </c>
      <c r="N53" s="650">
        <f>SUM(B53:M53)</f>
        <v>8840.4458699999996</v>
      </c>
    </row>
    <row r="54" spans="1:17" ht="12.75" customHeight="1">
      <c r="A54" s="154"/>
      <c r="B54" s="155"/>
      <c r="C54" s="155"/>
      <c r="D54" s="155"/>
      <c r="E54" s="155"/>
      <c r="F54" s="155"/>
      <c r="G54" s="155"/>
      <c r="H54" s="155"/>
      <c r="I54" s="155"/>
      <c r="J54" s="155"/>
      <c r="K54" s="155"/>
      <c r="L54" s="155"/>
      <c r="M54" s="155"/>
      <c r="N54" s="156"/>
    </row>
    <row r="55" spans="1:17" ht="12.75" customHeight="1">
      <c r="A55" s="659" t="s">
        <v>105</v>
      </c>
      <c r="B55" s="155"/>
      <c r="C55" s="155"/>
      <c r="D55" s="155"/>
      <c r="E55" s="155"/>
      <c r="F55" s="155"/>
      <c r="G55" s="155"/>
      <c r="H55" s="155"/>
      <c r="I55" s="155"/>
      <c r="J55" s="155"/>
      <c r="K55" s="155"/>
      <c r="L55" s="155"/>
      <c r="M55" s="155"/>
      <c r="N55" s="156"/>
    </row>
    <row r="56" spans="1:17" ht="14.45">
      <c r="A56" s="66" t="s">
        <v>337</v>
      </c>
    </row>
    <row r="57" spans="1:17" s="130" customFormat="1" ht="16.5" customHeight="1">
      <c r="A57" s="66" t="s">
        <v>338</v>
      </c>
      <c r="G57" s="129"/>
      <c r="H57" s="129"/>
      <c r="J57" s="174"/>
    </row>
    <row r="58" spans="1:17" ht="15">
      <c r="A58" s="66" t="s">
        <v>339</v>
      </c>
      <c r="I58" s="200"/>
    </row>
    <row r="59" spans="1:17" ht="14.45">
      <c r="A59" s="66" t="s">
        <v>340</v>
      </c>
    </row>
    <row r="60" spans="1:17" ht="14.45">
      <c r="A60" s="684" t="s">
        <v>341</v>
      </c>
    </row>
    <row r="61" spans="1:17" ht="14.45">
      <c r="A61" s="66" t="s">
        <v>342</v>
      </c>
      <c r="F61" s="66"/>
    </row>
    <row r="62" spans="1:17" ht="14.45">
      <c r="A62" s="66" t="s">
        <v>343</v>
      </c>
    </row>
    <row r="63" spans="1:17" ht="12.75">
      <c r="A63" s="684" t="s">
        <v>344</v>
      </c>
    </row>
    <row r="64" spans="1:17" s="66" customFormat="1" ht="13.5" customHeight="1">
      <c r="A64" s="687" t="s">
        <v>345</v>
      </c>
    </row>
    <row r="65" spans="1:1" s="66" customFormat="1" ht="13.5" customHeight="1">
      <c r="A65" s="687" t="s">
        <v>346</v>
      </c>
    </row>
    <row r="66" spans="1:1" s="66" customFormat="1" ht="13.5" customHeight="1">
      <c r="A66" s="695" t="s">
        <v>347</v>
      </c>
    </row>
    <row r="67" spans="1:1" s="66" customFormat="1" ht="13.5" customHeight="1">
      <c r="A67" s="687"/>
    </row>
    <row r="68" spans="1:1" s="66" customFormat="1" ht="13.5" customHeight="1">
      <c r="A68" s="648" t="s">
        <v>216</v>
      </c>
    </row>
    <row r="69" spans="1:1" ht="12.95">
      <c r="A69" s="653" t="s">
        <v>84</v>
      </c>
    </row>
  </sheetData>
  <printOptions horizontalCentered="1"/>
  <pageMargins left="0" right="0" top="0.55000000000000004" bottom="0" header="0.3" footer="0.15"/>
  <pageSetup paperSize="5" scale="77"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9"/>
  <sheetViews>
    <sheetView showGridLines="0" zoomScale="120" zoomScaleNormal="120" zoomScaleSheetLayoutView="75" workbookViewId="0">
      <selection activeCell="N11" sqref="N11"/>
    </sheetView>
  </sheetViews>
  <sheetFormatPr defaultColWidth="9.28515625" defaultRowHeight="12.6"/>
  <cols>
    <col min="1" max="1" width="39.28515625" style="15" customWidth="1"/>
    <col min="2" max="13" width="11" style="15" customWidth="1"/>
    <col min="14" max="14" width="15.7109375" style="15" bestFit="1" customWidth="1"/>
    <col min="15" max="15" width="9.7109375" style="15" bestFit="1" customWidth="1"/>
    <col min="16" max="16" width="9.28515625" style="15"/>
    <col min="17" max="17" width="22.28515625" style="15" customWidth="1"/>
    <col min="18" max="16384" width="9.28515625" style="15"/>
  </cols>
  <sheetData>
    <row r="2" spans="1:14" ht="12.95">
      <c r="E2" s="79" t="s">
        <v>39</v>
      </c>
    </row>
    <row r="3" spans="1:14" ht="12.95">
      <c r="C3" s="90"/>
      <c r="D3" s="90"/>
      <c r="E3" s="91" t="s">
        <v>348</v>
      </c>
      <c r="F3" s="90"/>
      <c r="G3" s="90"/>
    </row>
    <row r="4" spans="1:14" ht="12.95">
      <c r="A4" s="19"/>
      <c r="D4" s="90"/>
      <c r="E4" s="82">
        <f>'Program MW '!H3</f>
        <v>44805</v>
      </c>
      <c r="F4" s="90"/>
    </row>
    <row r="5" spans="1:14" ht="12.95">
      <c r="A5" s="19"/>
      <c r="E5" s="82"/>
    </row>
    <row r="6" spans="1:14" ht="13.5" thickBot="1">
      <c r="A6" s="19"/>
      <c r="E6" s="82"/>
    </row>
    <row r="7" spans="1:14" ht="32.25" customHeight="1">
      <c r="A7" s="20" t="s">
        <v>295</v>
      </c>
      <c r="B7" s="21" t="s">
        <v>41</v>
      </c>
      <c r="C7" s="21" t="s">
        <v>42</v>
      </c>
      <c r="D7" s="21" t="s">
        <v>43</v>
      </c>
      <c r="E7" s="21" t="s">
        <v>44</v>
      </c>
      <c r="F7" s="21" t="s">
        <v>31</v>
      </c>
      <c r="G7" s="21" t="s">
        <v>45</v>
      </c>
      <c r="H7" s="21" t="s">
        <v>58</v>
      </c>
      <c r="I7" s="21" t="s">
        <v>59</v>
      </c>
      <c r="J7" s="21" t="s">
        <v>60</v>
      </c>
      <c r="K7" s="21" t="s">
        <v>61</v>
      </c>
      <c r="L7" s="21" t="s">
        <v>62</v>
      </c>
      <c r="M7" s="21" t="s">
        <v>63</v>
      </c>
      <c r="N7" s="282" t="s">
        <v>349</v>
      </c>
    </row>
    <row r="8" spans="1:14" ht="16.5">
      <c r="A8" s="22" t="s">
        <v>350</v>
      </c>
      <c r="N8" s="205"/>
    </row>
    <row r="9" spans="1:14" ht="6" customHeight="1">
      <c r="A9" s="23"/>
      <c r="N9" s="205"/>
    </row>
    <row r="10" spans="1:14" ht="12.95">
      <c r="A10" s="23" t="s">
        <v>297</v>
      </c>
      <c r="N10" s="205"/>
    </row>
    <row r="11" spans="1:14" ht="14.25" customHeight="1">
      <c r="A11" s="24" t="s">
        <v>117</v>
      </c>
      <c r="B11" s="547">
        <v>1.8908400000000001</v>
      </c>
      <c r="C11" s="547">
        <v>2.3212899999999999</v>
      </c>
      <c r="D11" s="547">
        <v>0.19248999999999999</v>
      </c>
      <c r="E11" s="547">
        <v>0.49575000000000002</v>
      </c>
      <c r="F11" s="547">
        <v>0.43879000000000001</v>
      </c>
      <c r="G11" s="547">
        <v>0.25736999999999999</v>
      </c>
      <c r="H11" s="547">
        <v>0.36899999999999999</v>
      </c>
      <c r="I11" s="547">
        <v>0.41980000000000001</v>
      </c>
      <c r="J11" s="547">
        <v>0.28689999999999999</v>
      </c>
      <c r="K11" s="547">
        <v>0</v>
      </c>
      <c r="L11" s="547">
        <v>0</v>
      </c>
      <c r="M11" s="547">
        <v>0</v>
      </c>
      <c r="N11" s="336">
        <f>SUM(B11:M11)</f>
        <v>6.6722300000000008</v>
      </c>
    </row>
    <row r="12" spans="1:14">
      <c r="A12" s="24" t="s">
        <v>121</v>
      </c>
      <c r="B12" s="547">
        <v>0</v>
      </c>
      <c r="C12" s="547">
        <v>0</v>
      </c>
      <c r="D12" s="547">
        <v>0</v>
      </c>
      <c r="E12" s="547">
        <v>0</v>
      </c>
      <c r="F12" s="547">
        <v>0</v>
      </c>
      <c r="G12" s="547">
        <v>0</v>
      </c>
      <c r="H12" s="547">
        <v>0</v>
      </c>
      <c r="I12" s="547">
        <v>0</v>
      </c>
      <c r="J12" s="547">
        <v>0</v>
      </c>
      <c r="K12" s="547">
        <v>0</v>
      </c>
      <c r="L12" s="547">
        <v>0</v>
      </c>
      <c r="M12" s="547">
        <v>0</v>
      </c>
      <c r="N12" s="336">
        <f>SUM(B12:M12)</f>
        <v>0</v>
      </c>
    </row>
    <row r="13" spans="1:14">
      <c r="A13" s="24" t="s">
        <v>351</v>
      </c>
      <c r="B13" s="547">
        <v>0</v>
      </c>
      <c r="C13" s="547">
        <v>0</v>
      </c>
      <c r="D13" s="547">
        <v>0</v>
      </c>
      <c r="E13" s="547">
        <v>0</v>
      </c>
      <c r="F13" s="547">
        <v>0</v>
      </c>
      <c r="G13" s="547">
        <v>0</v>
      </c>
      <c r="H13" s="547">
        <v>0</v>
      </c>
      <c r="I13" s="547">
        <v>0</v>
      </c>
      <c r="J13" s="547">
        <v>0</v>
      </c>
      <c r="K13" s="547">
        <v>0</v>
      </c>
      <c r="L13" s="547">
        <v>0</v>
      </c>
      <c r="M13" s="547">
        <v>0</v>
      </c>
      <c r="N13" s="336">
        <f>SUM(B13:M13)</f>
        <v>0</v>
      </c>
    </row>
    <row r="14" spans="1:14" ht="12.95">
      <c r="A14" s="643" t="s">
        <v>352</v>
      </c>
      <c r="B14" s="488">
        <f t="shared" ref="B14:M14" si="0">SUM(B11:B13)</f>
        <v>1.8908400000000001</v>
      </c>
      <c r="C14" s="488">
        <f t="shared" si="0"/>
        <v>2.3212899999999999</v>
      </c>
      <c r="D14" s="488">
        <f t="shared" si="0"/>
        <v>0.19248999999999999</v>
      </c>
      <c r="E14" s="488">
        <f t="shared" si="0"/>
        <v>0.49575000000000002</v>
      </c>
      <c r="F14" s="488">
        <f t="shared" si="0"/>
        <v>0.43879000000000001</v>
      </c>
      <c r="G14" s="488">
        <f t="shared" si="0"/>
        <v>0.25736999999999999</v>
      </c>
      <c r="H14" s="488">
        <f t="shared" si="0"/>
        <v>0.36899999999999999</v>
      </c>
      <c r="I14" s="488">
        <f t="shared" si="0"/>
        <v>0.41980000000000001</v>
      </c>
      <c r="J14" s="488">
        <f t="shared" si="0"/>
        <v>0.28689999999999999</v>
      </c>
      <c r="K14" s="488">
        <f t="shared" si="0"/>
        <v>0</v>
      </c>
      <c r="L14" s="488">
        <f t="shared" si="0"/>
        <v>0</v>
      </c>
      <c r="M14" s="488">
        <f t="shared" si="0"/>
        <v>0</v>
      </c>
      <c r="N14" s="635">
        <f>SUM(B14:M14)</f>
        <v>6.6722300000000008</v>
      </c>
    </row>
    <row r="15" spans="1:14">
      <c r="A15" s="24"/>
      <c r="B15" s="335"/>
      <c r="C15" s="335"/>
      <c r="D15" s="335"/>
      <c r="E15" s="335"/>
      <c r="F15" s="335"/>
      <c r="G15" s="335"/>
      <c r="H15" s="335"/>
      <c r="I15" s="335"/>
      <c r="J15" s="335"/>
      <c r="K15" s="335"/>
      <c r="L15" s="335"/>
      <c r="M15" s="335"/>
      <c r="N15" s="336"/>
    </row>
    <row r="16" spans="1:14" ht="12.95">
      <c r="A16" s="23" t="s">
        <v>353</v>
      </c>
      <c r="B16" s="335"/>
      <c r="C16" s="335"/>
      <c r="D16" s="335"/>
      <c r="E16" s="335"/>
      <c r="F16" s="335"/>
      <c r="G16" s="335"/>
      <c r="H16" s="335"/>
      <c r="I16" s="335"/>
      <c r="J16" s="335"/>
      <c r="K16" s="335"/>
      <c r="L16" s="335"/>
      <c r="M16" s="335"/>
      <c r="N16" s="336"/>
    </row>
    <row r="17" spans="1:19" ht="15">
      <c r="A17" s="24" t="s">
        <v>354</v>
      </c>
      <c r="B17" s="547">
        <v>0</v>
      </c>
      <c r="C17" s="547">
        <v>0</v>
      </c>
      <c r="D17" s="547">
        <v>0</v>
      </c>
      <c r="E17" s="547">
        <v>0</v>
      </c>
      <c r="F17" s="547">
        <v>0</v>
      </c>
      <c r="G17" s="547">
        <v>0</v>
      </c>
      <c r="H17" s="548">
        <v>0</v>
      </c>
      <c r="I17" s="548">
        <v>0</v>
      </c>
      <c r="J17" s="548">
        <v>0</v>
      </c>
      <c r="K17" s="548">
        <v>0</v>
      </c>
      <c r="L17" s="548">
        <v>0</v>
      </c>
      <c r="M17" s="548">
        <v>0</v>
      </c>
      <c r="N17" s="336">
        <f>SUM(B17:M17)</f>
        <v>0</v>
      </c>
    </row>
    <row r="18" spans="1:19" ht="12.95">
      <c r="A18" s="643" t="s">
        <v>355</v>
      </c>
      <c r="B18" s="488">
        <f t="shared" ref="B18:M18" si="1">SUM(B17:B17)</f>
        <v>0</v>
      </c>
      <c r="C18" s="488">
        <f t="shared" si="1"/>
        <v>0</v>
      </c>
      <c r="D18" s="488">
        <f t="shared" si="1"/>
        <v>0</v>
      </c>
      <c r="E18" s="488">
        <f t="shared" si="1"/>
        <v>0</v>
      </c>
      <c r="F18" s="488">
        <f t="shared" si="1"/>
        <v>0</v>
      </c>
      <c r="G18" s="488">
        <f t="shared" si="1"/>
        <v>0</v>
      </c>
      <c r="H18" s="488">
        <f t="shared" si="1"/>
        <v>0</v>
      </c>
      <c r="I18" s="488">
        <f t="shared" si="1"/>
        <v>0</v>
      </c>
      <c r="J18" s="488">
        <f t="shared" si="1"/>
        <v>0</v>
      </c>
      <c r="K18" s="488">
        <f t="shared" si="1"/>
        <v>0</v>
      </c>
      <c r="L18" s="488">
        <f t="shared" si="1"/>
        <v>0</v>
      </c>
      <c r="M18" s="488">
        <f t="shared" si="1"/>
        <v>0</v>
      </c>
      <c r="N18" s="635">
        <f>SUM(B18:M18)</f>
        <v>0</v>
      </c>
    </row>
    <row r="19" spans="1:19" ht="12.95">
      <c r="A19" s="26"/>
      <c r="B19" s="335"/>
      <c r="C19" s="335"/>
      <c r="D19" s="335"/>
      <c r="E19" s="335"/>
      <c r="F19" s="335"/>
      <c r="G19" s="335"/>
      <c r="H19" s="335"/>
      <c r="I19" s="335"/>
      <c r="J19" s="335"/>
      <c r="K19" s="335"/>
      <c r="L19" s="335"/>
      <c r="M19" s="335"/>
      <c r="N19" s="336"/>
    </row>
    <row r="20" spans="1:19" ht="12.95">
      <c r="A20" s="23" t="s">
        <v>356</v>
      </c>
      <c r="B20" s="335" t="s">
        <v>67</v>
      </c>
      <c r="C20" s="335" t="s">
        <v>67</v>
      </c>
      <c r="D20" s="335" t="s">
        <v>67</v>
      </c>
      <c r="E20" s="335"/>
      <c r="F20" s="335" t="s">
        <v>67</v>
      </c>
      <c r="G20" s="335"/>
      <c r="H20" s="335" t="s">
        <v>67</v>
      </c>
      <c r="I20" s="335" t="s">
        <v>67</v>
      </c>
      <c r="J20" s="335" t="s">
        <v>67</v>
      </c>
      <c r="K20" s="335" t="s">
        <v>67</v>
      </c>
      <c r="L20" s="335" t="s">
        <v>67</v>
      </c>
      <c r="M20" s="335" t="s">
        <v>67</v>
      </c>
      <c r="N20" s="336" t="s">
        <v>67</v>
      </c>
    </row>
    <row r="21" spans="1:19">
      <c r="A21" s="24" t="s">
        <v>357</v>
      </c>
      <c r="B21" s="547">
        <v>0</v>
      </c>
      <c r="C21" s="547">
        <v>0</v>
      </c>
      <c r="D21" s="547">
        <v>0</v>
      </c>
      <c r="E21" s="547">
        <v>0</v>
      </c>
      <c r="F21" s="547">
        <v>0</v>
      </c>
      <c r="G21" s="547">
        <v>0</v>
      </c>
      <c r="H21" s="548">
        <v>0</v>
      </c>
      <c r="I21" s="548">
        <v>0</v>
      </c>
      <c r="J21" s="548">
        <v>0</v>
      </c>
      <c r="K21" s="548">
        <v>0</v>
      </c>
      <c r="L21" s="548">
        <v>0</v>
      </c>
      <c r="M21" s="548">
        <v>0</v>
      </c>
      <c r="N21" s="336">
        <f>SUM(B21:M21)</f>
        <v>0</v>
      </c>
    </row>
    <row r="22" spans="1:19" ht="12.95">
      <c r="A22" s="644" t="s">
        <v>358</v>
      </c>
      <c r="B22" s="488">
        <f t="shared" ref="B22:M22" si="2">SUM(B21:B21)</f>
        <v>0</v>
      </c>
      <c r="C22" s="488">
        <f t="shared" si="2"/>
        <v>0</v>
      </c>
      <c r="D22" s="488">
        <f t="shared" si="2"/>
        <v>0</v>
      </c>
      <c r="E22" s="488">
        <f t="shared" si="2"/>
        <v>0</v>
      </c>
      <c r="F22" s="488">
        <f t="shared" si="2"/>
        <v>0</v>
      </c>
      <c r="G22" s="488">
        <f t="shared" si="2"/>
        <v>0</v>
      </c>
      <c r="H22" s="488">
        <f t="shared" si="2"/>
        <v>0</v>
      </c>
      <c r="I22" s="488">
        <f t="shared" si="2"/>
        <v>0</v>
      </c>
      <c r="J22" s="488">
        <f t="shared" si="2"/>
        <v>0</v>
      </c>
      <c r="K22" s="488">
        <f t="shared" si="2"/>
        <v>0</v>
      </c>
      <c r="L22" s="488">
        <f t="shared" si="2"/>
        <v>0</v>
      </c>
      <c r="M22" s="488">
        <f t="shared" si="2"/>
        <v>0</v>
      </c>
      <c r="N22" s="635">
        <f>SUM(B22:M22)</f>
        <v>0</v>
      </c>
    </row>
    <row r="23" spans="1:19" ht="12.95">
      <c r="A23" s="28"/>
      <c r="B23" s="335"/>
      <c r="C23" s="335"/>
      <c r="D23" s="335"/>
      <c r="E23" s="335"/>
      <c r="F23" s="335"/>
      <c r="G23" s="489"/>
      <c r="H23" s="335"/>
      <c r="I23" s="489"/>
      <c r="J23" s="335"/>
      <c r="K23" s="335"/>
      <c r="L23" s="489"/>
      <c r="M23" s="335"/>
      <c r="N23" s="336"/>
    </row>
    <row r="24" spans="1:19" ht="12.95">
      <c r="A24" s="29" t="s">
        <v>323</v>
      </c>
      <c r="B24" s="335"/>
      <c r="C24" s="335"/>
      <c r="D24" s="335"/>
      <c r="E24" s="335"/>
      <c r="F24" s="335"/>
      <c r="G24" s="335"/>
      <c r="H24" s="335"/>
      <c r="I24" s="335"/>
      <c r="J24" s="335"/>
      <c r="K24" s="335"/>
      <c r="L24" s="335"/>
      <c r="M24" s="335"/>
      <c r="N24" s="336"/>
    </row>
    <row r="25" spans="1:19">
      <c r="A25" s="24" t="s">
        <v>120</v>
      </c>
      <c r="B25" s="547">
        <v>0</v>
      </c>
      <c r="C25" s="547">
        <v>0</v>
      </c>
      <c r="D25" s="547">
        <v>0</v>
      </c>
      <c r="E25" s="547">
        <v>0</v>
      </c>
      <c r="F25" s="547">
        <v>0</v>
      </c>
      <c r="G25" s="547">
        <v>0</v>
      </c>
      <c r="H25" s="548">
        <v>0</v>
      </c>
      <c r="I25" s="548">
        <v>0</v>
      </c>
      <c r="J25" s="548">
        <v>0</v>
      </c>
      <c r="K25" s="548">
        <v>0</v>
      </c>
      <c r="L25" s="548">
        <v>0</v>
      </c>
      <c r="M25" s="548">
        <v>0</v>
      </c>
      <c r="N25" s="336">
        <f>SUM(B25:M25)</f>
        <v>0</v>
      </c>
    </row>
    <row r="26" spans="1:19">
      <c r="A26" s="24" t="s">
        <v>121</v>
      </c>
      <c r="B26" s="547">
        <v>0</v>
      </c>
      <c r="C26" s="547">
        <v>0</v>
      </c>
      <c r="D26" s="547">
        <v>0</v>
      </c>
      <c r="E26" s="547">
        <v>0</v>
      </c>
      <c r="F26" s="547">
        <v>0</v>
      </c>
      <c r="G26" s="547">
        <v>0</v>
      </c>
      <c r="H26" s="548">
        <v>0</v>
      </c>
      <c r="I26" s="548">
        <v>0</v>
      </c>
      <c r="J26" s="548">
        <v>0</v>
      </c>
      <c r="K26" s="548">
        <v>0</v>
      </c>
      <c r="L26" s="548">
        <v>0</v>
      </c>
      <c r="M26" s="548">
        <v>0</v>
      </c>
      <c r="N26" s="336">
        <f>SUM(B26:M26)</f>
        <v>0</v>
      </c>
    </row>
    <row r="27" spans="1:19">
      <c r="A27" s="24" t="s">
        <v>351</v>
      </c>
      <c r="B27" s="547">
        <v>0</v>
      </c>
      <c r="C27" s="547">
        <v>0</v>
      </c>
      <c r="D27" s="547">
        <v>0</v>
      </c>
      <c r="E27" s="547">
        <v>0</v>
      </c>
      <c r="F27" s="547">
        <v>0</v>
      </c>
      <c r="G27" s="547">
        <v>0</v>
      </c>
      <c r="H27" s="548">
        <v>0</v>
      </c>
      <c r="I27" s="548">
        <v>0</v>
      </c>
      <c r="J27" s="548">
        <v>0</v>
      </c>
      <c r="K27" s="548">
        <v>0</v>
      </c>
      <c r="L27" s="548">
        <v>0</v>
      </c>
      <c r="M27" s="549">
        <v>0</v>
      </c>
      <c r="N27" s="336">
        <f>SUM(B27:M27)</f>
        <v>0</v>
      </c>
    </row>
    <row r="28" spans="1:19" ht="12.95">
      <c r="A28" s="645" t="s">
        <v>334</v>
      </c>
      <c r="B28" s="488">
        <f>SUM(B25:B27)</f>
        <v>0</v>
      </c>
      <c r="C28" s="488">
        <f t="shared" ref="C28:M28" si="3">SUM(C25:C27)</f>
        <v>0</v>
      </c>
      <c r="D28" s="488">
        <f t="shared" si="3"/>
        <v>0</v>
      </c>
      <c r="E28" s="488">
        <f t="shared" si="3"/>
        <v>0</v>
      </c>
      <c r="F28" s="488">
        <f t="shared" si="3"/>
        <v>0</v>
      </c>
      <c r="G28" s="488">
        <f t="shared" si="3"/>
        <v>0</v>
      </c>
      <c r="H28" s="488">
        <f t="shared" si="3"/>
        <v>0</v>
      </c>
      <c r="I28" s="488">
        <f t="shared" si="3"/>
        <v>0</v>
      </c>
      <c r="J28" s="488">
        <f t="shared" si="3"/>
        <v>0</v>
      </c>
      <c r="K28" s="488">
        <f t="shared" si="3"/>
        <v>0</v>
      </c>
      <c r="L28" s="488">
        <f t="shared" si="3"/>
        <v>0</v>
      </c>
      <c r="M28" s="488">
        <f t="shared" si="3"/>
        <v>0</v>
      </c>
      <c r="N28" s="635">
        <f>SUM(B28:M28)</f>
        <v>0</v>
      </c>
      <c r="O28" s="25"/>
    </row>
    <row r="29" spans="1:19" ht="10.5" customHeight="1">
      <c r="A29" s="490"/>
      <c r="B29" s="489"/>
      <c r="C29" s="489"/>
      <c r="D29" s="489"/>
      <c r="E29" s="489"/>
      <c r="F29" s="489"/>
      <c r="G29" s="489"/>
      <c r="H29" s="489"/>
      <c r="I29" s="489"/>
      <c r="J29" s="489"/>
      <c r="K29" s="489"/>
      <c r="L29" s="489"/>
      <c r="M29" s="489"/>
      <c r="N29" s="491"/>
    </row>
    <row r="30" spans="1:19" ht="15" customHeight="1">
      <c r="A30" s="643" t="s">
        <v>359</v>
      </c>
      <c r="B30" s="550">
        <v>0</v>
      </c>
      <c r="C30" s="550">
        <v>0</v>
      </c>
      <c r="D30" s="550">
        <v>0</v>
      </c>
      <c r="E30" s="550">
        <v>0</v>
      </c>
      <c r="F30" s="550">
        <v>0</v>
      </c>
      <c r="G30" s="550">
        <v>0</v>
      </c>
      <c r="H30" s="550">
        <v>0</v>
      </c>
      <c r="I30" s="550">
        <v>0</v>
      </c>
      <c r="J30" s="551">
        <v>0</v>
      </c>
      <c r="K30" s="551">
        <v>0</v>
      </c>
      <c r="L30" s="550">
        <v>0</v>
      </c>
      <c r="M30" s="550">
        <v>0</v>
      </c>
      <c r="N30" s="636">
        <f>SUM(B30:M30)</f>
        <v>0</v>
      </c>
      <c r="O30" s="27"/>
      <c r="P30" s="27"/>
      <c r="Q30" s="27"/>
      <c r="R30" s="27"/>
      <c r="S30" s="30"/>
    </row>
    <row r="31" spans="1:19" ht="28.5" customHeight="1" thickBot="1">
      <c r="A31" s="18" t="s">
        <v>360</v>
      </c>
      <c r="B31" s="338">
        <f t="shared" ref="B31:M31" si="4">B14+B18+B22+B28+B30</f>
        <v>1.8908400000000001</v>
      </c>
      <c r="C31" s="338">
        <f t="shared" si="4"/>
        <v>2.3212899999999999</v>
      </c>
      <c r="D31" s="338">
        <f t="shared" si="4"/>
        <v>0.19248999999999999</v>
      </c>
      <c r="E31" s="338">
        <f t="shared" si="4"/>
        <v>0.49575000000000002</v>
      </c>
      <c r="F31" s="338">
        <f t="shared" si="4"/>
        <v>0.43879000000000001</v>
      </c>
      <c r="G31" s="338">
        <f t="shared" si="4"/>
        <v>0.25736999999999999</v>
      </c>
      <c r="H31" s="338">
        <f t="shared" si="4"/>
        <v>0.36899999999999999</v>
      </c>
      <c r="I31" s="338">
        <f t="shared" si="4"/>
        <v>0.41980000000000001</v>
      </c>
      <c r="J31" s="338">
        <f t="shared" si="4"/>
        <v>0.28689999999999999</v>
      </c>
      <c r="K31" s="338">
        <f t="shared" si="4"/>
        <v>0</v>
      </c>
      <c r="L31" s="338">
        <f t="shared" si="4"/>
        <v>0</v>
      </c>
      <c r="M31" s="338">
        <f t="shared" si="4"/>
        <v>0</v>
      </c>
      <c r="N31" s="339">
        <f>SUM(B31:M31)</f>
        <v>6.6722300000000008</v>
      </c>
      <c r="O31" s="25"/>
    </row>
    <row r="32" spans="1:19" ht="12" customHeight="1">
      <c r="A32" s="31"/>
      <c r="B32" s="32"/>
      <c r="C32" s="32"/>
      <c r="D32" s="140"/>
      <c r="E32" s="32"/>
      <c r="F32" s="32"/>
      <c r="G32" s="32"/>
      <c r="H32" s="32"/>
      <c r="I32" s="140"/>
      <c r="J32" s="140"/>
      <c r="K32" s="140"/>
      <c r="L32" s="140"/>
      <c r="M32" s="140"/>
      <c r="N32" s="32"/>
    </row>
    <row r="33" spans="1:14" s="66" customFormat="1" ht="13.5" customHeight="1"/>
    <row r="34" spans="1:14" s="66" customFormat="1" ht="13.5" customHeight="1">
      <c r="A34" s="648" t="s">
        <v>216</v>
      </c>
    </row>
    <row r="35" spans="1:14" ht="12" customHeight="1">
      <c r="A35" s="653" t="s">
        <v>84</v>
      </c>
      <c r="B35" s="25"/>
      <c r="C35" s="25"/>
      <c r="D35" s="25"/>
      <c r="E35" s="25"/>
      <c r="F35" s="25"/>
      <c r="G35" s="25"/>
      <c r="H35" s="25"/>
      <c r="I35" s="25"/>
      <c r="J35" s="25"/>
      <c r="K35" s="25"/>
      <c r="L35" s="25"/>
      <c r="M35" s="25"/>
      <c r="N35" s="25"/>
    </row>
    <row r="36" spans="1:14" ht="14.25" customHeight="1">
      <c r="A36" s="717"/>
      <c r="B36" s="717"/>
      <c r="C36" s="717"/>
      <c r="D36" s="717"/>
      <c r="E36" s="717"/>
      <c r="F36" s="717"/>
      <c r="G36" s="717"/>
      <c r="H36" s="717"/>
      <c r="I36" s="717"/>
      <c r="J36" s="717"/>
      <c r="K36" s="717"/>
      <c r="L36" s="717"/>
      <c r="M36" s="717"/>
      <c r="N36" s="717"/>
    </row>
    <row r="39" spans="1:14">
      <c r="H39" s="25"/>
    </row>
  </sheetData>
  <mergeCells count="1">
    <mergeCell ref="A36:N36"/>
  </mergeCells>
  <printOptions horizontalCentered="1"/>
  <pageMargins left="0" right="0" top="0.55000000000000004" bottom="0.17" header="0.3" footer="0.15"/>
  <pageSetup paperSize="5" scale="96"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46"/>
  <sheetViews>
    <sheetView showGridLines="0" topLeftCell="A21" zoomScale="110" zoomScaleNormal="110" zoomScaleSheetLayoutView="75" workbookViewId="0">
      <selection activeCell="I21" sqref="I21:J22"/>
    </sheetView>
  </sheetViews>
  <sheetFormatPr defaultColWidth="9.28515625" defaultRowHeight="12.6"/>
  <cols>
    <col min="1" max="1" width="55.28515625" style="15" customWidth="1"/>
    <col min="2" max="13" width="11.5703125" style="15" customWidth="1"/>
    <col min="14" max="14" width="15.7109375" style="15" bestFit="1" customWidth="1"/>
    <col min="15" max="15" width="9.7109375" style="15" bestFit="1" customWidth="1"/>
    <col min="16" max="16" width="22.7109375" style="15" bestFit="1" customWidth="1"/>
    <col min="17" max="17" width="22.28515625" style="15" customWidth="1"/>
    <col min="18" max="16384" width="9.28515625" style="15"/>
  </cols>
  <sheetData>
    <row r="1" spans="1:16" ht="14.45">
      <c r="A1" s="300"/>
    </row>
    <row r="3" spans="1:16" ht="12.95">
      <c r="E3" s="79" t="s">
        <v>39</v>
      </c>
    </row>
    <row r="4" spans="1:16" ht="12.95">
      <c r="C4" s="90"/>
      <c r="D4" s="90"/>
      <c r="E4" s="91" t="s">
        <v>361</v>
      </c>
      <c r="F4" s="90"/>
      <c r="G4" s="90"/>
    </row>
    <row r="5" spans="1:16" ht="12.95">
      <c r="D5" s="90"/>
      <c r="E5" s="82">
        <f>'Program MW '!H3</f>
        <v>44805</v>
      </c>
      <c r="F5" s="90"/>
    </row>
    <row r="6" spans="1:16" ht="12.95">
      <c r="E6" s="82"/>
    </row>
    <row r="7" spans="1:16" ht="13.5" thickBot="1">
      <c r="A7" s="19"/>
    </row>
    <row r="8" spans="1:16" ht="32.25" customHeight="1" thickBot="1">
      <c r="A8" s="231" t="s">
        <v>295</v>
      </c>
      <c r="B8" s="21" t="s">
        <v>41</v>
      </c>
      <c r="C8" s="21" t="s">
        <v>42</v>
      </c>
      <c r="D8" s="21" t="s">
        <v>43</v>
      </c>
      <c r="E8" s="21" t="s">
        <v>44</v>
      </c>
      <c r="F8" s="21" t="s">
        <v>31</v>
      </c>
      <c r="G8" s="21" t="s">
        <v>45</v>
      </c>
      <c r="H8" s="21" t="s">
        <v>58</v>
      </c>
      <c r="I8" s="21" t="s">
        <v>59</v>
      </c>
      <c r="J8" s="21" t="s">
        <v>60</v>
      </c>
      <c r="K8" s="21" t="s">
        <v>61</v>
      </c>
      <c r="L8" s="21" t="s">
        <v>62</v>
      </c>
      <c r="M8" s="21" t="s">
        <v>63</v>
      </c>
      <c r="N8" s="282" t="s">
        <v>349</v>
      </c>
    </row>
    <row r="9" spans="1:16" ht="26.1">
      <c r="A9" s="232" t="s">
        <v>362</v>
      </c>
      <c r="B9" s="141"/>
      <c r="C9" s="141"/>
      <c r="N9" s="492"/>
    </row>
    <row r="10" spans="1:16" ht="6" customHeight="1">
      <c r="A10" s="203"/>
      <c r="B10" s="141"/>
      <c r="C10" s="141"/>
      <c r="N10" s="205"/>
    </row>
    <row r="11" spans="1:16" ht="12.95">
      <c r="A11" s="203" t="s">
        <v>297</v>
      </c>
      <c r="B11" s="141"/>
      <c r="C11" s="141"/>
      <c r="N11" s="205"/>
    </row>
    <row r="12" spans="1:16" ht="15">
      <c r="A12" s="204" t="s">
        <v>363</v>
      </c>
      <c r="B12" s="547">
        <v>0</v>
      </c>
      <c r="C12" s="547">
        <v>0</v>
      </c>
      <c r="D12" s="547">
        <v>0</v>
      </c>
      <c r="E12" s="547">
        <v>0</v>
      </c>
      <c r="F12" s="547">
        <v>0</v>
      </c>
      <c r="G12" s="547">
        <v>0</v>
      </c>
      <c r="H12" s="547">
        <v>0</v>
      </c>
      <c r="I12" s="547">
        <v>0</v>
      </c>
      <c r="J12" s="547">
        <v>0</v>
      </c>
      <c r="K12" s="547">
        <v>0</v>
      </c>
      <c r="L12" s="547">
        <v>0</v>
      </c>
      <c r="M12" s="547">
        <v>0</v>
      </c>
      <c r="N12" s="336">
        <f t="shared" ref="N12:N17" si="0">SUM(B12:M12)</f>
        <v>0</v>
      </c>
      <c r="P12" s="228"/>
    </row>
    <row r="13" spans="1:16" ht="15">
      <c r="A13" s="204" t="s">
        <v>364</v>
      </c>
      <c r="B13" s="547">
        <v>22.611809999999998</v>
      </c>
      <c r="C13" s="547">
        <v>22.087520000000001</v>
      </c>
      <c r="D13" s="547">
        <v>6.8034800000000004</v>
      </c>
      <c r="E13" s="547">
        <v>31.632000000000001</v>
      </c>
      <c r="F13" s="547">
        <v>25.003769999999999</v>
      </c>
      <c r="G13" s="547">
        <v>20.858689999999999</v>
      </c>
      <c r="H13" s="547">
        <v>20.004359999999998</v>
      </c>
      <c r="I13" s="547">
        <v>30.81636</v>
      </c>
      <c r="J13" s="547">
        <v>18.006170000000001</v>
      </c>
      <c r="K13" s="547">
        <v>0</v>
      </c>
      <c r="L13" s="547">
        <v>0</v>
      </c>
      <c r="M13" s="547">
        <v>0</v>
      </c>
      <c r="N13" s="336">
        <f t="shared" si="0"/>
        <v>197.82416000000001</v>
      </c>
    </row>
    <row r="14" spans="1:16" ht="12.95">
      <c r="A14" s="204" t="s">
        <v>365</v>
      </c>
      <c r="B14" s="547">
        <v>0</v>
      </c>
      <c r="C14" s="547">
        <v>0</v>
      </c>
      <c r="D14" s="547">
        <v>0</v>
      </c>
      <c r="E14" s="547">
        <v>0</v>
      </c>
      <c r="F14" s="547">
        <v>0</v>
      </c>
      <c r="G14" s="547">
        <v>0</v>
      </c>
      <c r="H14" s="547">
        <v>0</v>
      </c>
      <c r="I14" s="547">
        <v>0</v>
      </c>
      <c r="J14" s="547">
        <v>0</v>
      </c>
      <c r="K14" s="547">
        <v>0</v>
      </c>
      <c r="L14" s="547">
        <v>0</v>
      </c>
      <c r="M14" s="547">
        <v>0</v>
      </c>
      <c r="N14" s="336">
        <f t="shared" si="0"/>
        <v>0</v>
      </c>
    </row>
    <row r="15" spans="1:16" ht="15">
      <c r="A15" s="204" t="s">
        <v>366</v>
      </c>
      <c r="B15" s="547">
        <v>0</v>
      </c>
      <c r="C15" s="547">
        <v>0</v>
      </c>
      <c r="D15" s="547">
        <v>0</v>
      </c>
      <c r="E15" s="547">
        <v>0</v>
      </c>
      <c r="F15" s="547">
        <v>0</v>
      </c>
      <c r="G15" s="547">
        <v>0</v>
      </c>
      <c r="H15" s="547">
        <v>0</v>
      </c>
      <c r="I15" s="547">
        <v>0</v>
      </c>
      <c r="J15" s="547">
        <v>0</v>
      </c>
      <c r="K15" s="547">
        <v>0</v>
      </c>
      <c r="L15" s="547">
        <v>0</v>
      </c>
      <c r="M15" s="547">
        <v>0</v>
      </c>
      <c r="N15" s="336">
        <f t="shared" si="0"/>
        <v>0</v>
      </c>
    </row>
    <row r="16" spans="1:16" ht="15">
      <c r="A16" s="233" t="s">
        <v>367</v>
      </c>
      <c r="B16" s="547">
        <v>3.6839499999999998</v>
      </c>
      <c r="C16" s="547">
        <v>20.532350000000001</v>
      </c>
      <c r="D16" s="547">
        <v>-3.2681900000000002</v>
      </c>
      <c r="E16" s="547">
        <v>1.3800300000000001</v>
      </c>
      <c r="F16" s="547">
        <v>0</v>
      </c>
      <c r="G16" s="547">
        <v>0</v>
      </c>
      <c r="H16" s="547">
        <v>0</v>
      </c>
      <c r="I16" s="547">
        <v>0</v>
      </c>
      <c r="J16" s="547">
        <v>0</v>
      </c>
      <c r="K16" s="547">
        <v>0</v>
      </c>
      <c r="L16" s="547">
        <v>0</v>
      </c>
      <c r="M16" s="547">
        <v>0</v>
      </c>
      <c r="N16" s="336">
        <f t="shared" si="0"/>
        <v>22.328140000000001</v>
      </c>
      <c r="O16" s="25"/>
    </row>
    <row r="17" spans="1:16" ht="12.95">
      <c r="A17" s="324" t="s">
        <v>352</v>
      </c>
      <c r="B17" s="488">
        <f t="shared" ref="B17:M17" si="1">SUM(B12:B16)</f>
        <v>26.295759999999998</v>
      </c>
      <c r="C17" s="488">
        <f t="shared" si="1"/>
        <v>42.619870000000006</v>
      </c>
      <c r="D17" s="488">
        <f t="shared" si="1"/>
        <v>3.5352900000000003</v>
      </c>
      <c r="E17" s="488">
        <f t="shared" si="1"/>
        <v>33.012030000000003</v>
      </c>
      <c r="F17" s="488">
        <f t="shared" si="1"/>
        <v>25.003769999999999</v>
      </c>
      <c r="G17" s="488">
        <f t="shared" si="1"/>
        <v>20.858689999999999</v>
      </c>
      <c r="H17" s="488">
        <f t="shared" si="1"/>
        <v>20.004359999999998</v>
      </c>
      <c r="I17" s="488">
        <f t="shared" si="1"/>
        <v>30.81636</v>
      </c>
      <c r="J17" s="488">
        <f t="shared" si="1"/>
        <v>18.006170000000001</v>
      </c>
      <c r="K17" s="488">
        <f t="shared" si="1"/>
        <v>0</v>
      </c>
      <c r="L17" s="488">
        <f t="shared" si="1"/>
        <v>0</v>
      </c>
      <c r="M17" s="488">
        <f t="shared" si="1"/>
        <v>0</v>
      </c>
      <c r="N17" s="635">
        <f t="shared" si="0"/>
        <v>220.1523</v>
      </c>
    </row>
    <row r="18" spans="1:16">
      <c r="A18" s="205"/>
      <c r="B18" s="335"/>
      <c r="C18" s="335"/>
      <c r="D18" s="335"/>
      <c r="E18" s="335"/>
      <c r="F18" s="335"/>
      <c r="G18" s="335"/>
      <c r="H18" s="335"/>
      <c r="I18" s="335"/>
      <c r="J18" s="335" t="s">
        <v>67</v>
      </c>
      <c r="K18" s="335"/>
      <c r="L18" s="335"/>
      <c r="M18" s="335"/>
      <c r="N18" s="336"/>
      <c r="P18" s="228"/>
    </row>
    <row r="19" spans="1:16" ht="12.95">
      <c r="A19" s="203" t="s">
        <v>368</v>
      </c>
      <c r="B19" s="335"/>
      <c r="C19" s="335"/>
      <c r="D19" s="335"/>
      <c r="E19" s="335"/>
      <c r="F19" s="335"/>
      <c r="G19" s="335"/>
      <c r="H19" s="335"/>
      <c r="I19" s="335"/>
      <c r="J19" s="335"/>
      <c r="K19" s="335"/>
      <c r="L19" s="335"/>
      <c r="M19" s="335"/>
      <c r="N19" s="336"/>
      <c r="P19" s="228"/>
    </row>
    <row r="20" spans="1:16" ht="15">
      <c r="A20" s="204" t="s">
        <v>369</v>
      </c>
      <c r="B20" s="547">
        <v>43.347000000000001</v>
      </c>
      <c r="C20" s="547">
        <v>43.347000000000001</v>
      </c>
      <c r="D20" s="547">
        <v>43.347149999999999</v>
      </c>
      <c r="E20" s="547">
        <v>43.347149999999999</v>
      </c>
      <c r="F20" s="547">
        <v>42.96546</v>
      </c>
      <c r="G20" s="547">
        <v>42.96546</v>
      </c>
      <c r="H20" s="547">
        <v>42.863869999999999</v>
      </c>
      <c r="I20" s="547">
        <v>0</v>
      </c>
      <c r="J20" s="547">
        <v>0</v>
      </c>
      <c r="K20" s="547">
        <v>0</v>
      </c>
      <c r="L20" s="547">
        <v>0</v>
      </c>
      <c r="M20" s="547">
        <v>0</v>
      </c>
      <c r="N20" s="336">
        <f>SUM(B20:M20)</f>
        <v>302.18309000000005</v>
      </c>
      <c r="P20" s="228"/>
    </row>
    <row r="21" spans="1:16" ht="12.95">
      <c r="A21" s="204" t="s">
        <v>370</v>
      </c>
      <c r="B21" s="547">
        <v>17.338000000000001</v>
      </c>
      <c r="C21" s="547">
        <v>17.645</v>
      </c>
      <c r="D21" s="547">
        <v>17.283999999999999</v>
      </c>
      <c r="E21" s="547">
        <v>17.199000000000002</v>
      </c>
      <c r="F21" s="547">
        <v>16.952999999999999</v>
      </c>
      <c r="G21" s="547">
        <v>16.87</v>
      </c>
      <c r="H21" s="547">
        <v>16.744</v>
      </c>
      <c r="I21" s="547">
        <v>-1.5289999999999999</v>
      </c>
      <c r="J21" s="547">
        <v>-1.528</v>
      </c>
      <c r="K21" s="547">
        <v>0</v>
      </c>
      <c r="L21" s="547">
        <v>0</v>
      </c>
      <c r="M21" s="547">
        <v>0</v>
      </c>
      <c r="N21" s="336">
        <f t="shared" ref="N21:N22" si="2">SUM(B21:M21)</f>
        <v>116.97600000000001</v>
      </c>
      <c r="P21" s="228"/>
    </row>
    <row r="22" spans="1:16" ht="12.95">
      <c r="A22" s="204" t="s">
        <v>371</v>
      </c>
      <c r="B22" s="547">
        <v>1.1639999999999999</v>
      </c>
      <c r="C22" s="547">
        <v>1.1639999999999999</v>
      </c>
      <c r="D22" s="547">
        <v>1.1639999999999999</v>
      </c>
      <c r="E22" s="547">
        <v>1.1639999999999999</v>
      </c>
      <c r="F22" s="547">
        <v>1.1639999999999999</v>
      </c>
      <c r="G22" s="547">
        <v>1.1639999999999999</v>
      </c>
      <c r="H22" s="547">
        <v>0.41799999999999998</v>
      </c>
      <c r="I22" s="547">
        <v>0.41799999999999998</v>
      </c>
      <c r="J22" s="547">
        <v>0.41799999999999998</v>
      </c>
      <c r="K22" s="547">
        <v>0</v>
      </c>
      <c r="L22" s="547">
        <v>0</v>
      </c>
      <c r="M22" s="547">
        <v>0</v>
      </c>
      <c r="N22" s="336">
        <f t="shared" si="2"/>
        <v>8.2379999999999995</v>
      </c>
      <c r="P22" s="228"/>
    </row>
    <row r="23" spans="1:16" ht="15">
      <c r="A23" s="206" t="s">
        <v>372</v>
      </c>
      <c r="B23" s="547">
        <v>1.764</v>
      </c>
      <c r="C23" s="547">
        <v>1.492</v>
      </c>
      <c r="D23" s="547">
        <v>1.2194199999999999</v>
      </c>
      <c r="E23" s="547">
        <v>0.94669999999999999</v>
      </c>
      <c r="F23" s="547">
        <v>0.67517000000000005</v>
      </c>
      <c r="G23" s="547">
        <v>0.40484999999999999</v>
      </c>
      <c r="H23" s="547">
        <v>0.13483999999999999</v>
      </c>
      <c r="I23" s="547">
        <v>0</v>
      </c>
      <c r="J23" s="547">
        <v>0</v>
      </c>
      <c r="K23" s="547">
        <v>0</v>
      </c>
      <c r="L23" s="547">
        <v>0</v>
      </c>
      <c r="M23" s="547">
        <v>0</v>
      </c>
      <c r="N23" s="336">
        <f>SUM(B23:M23)</f>
        <v>6.6369799999999985</v>
      </c>
      <c r="P23" s="228"/>
    </row>
    <row r="24" spans="1:16" ht="12.95">
      <c r="A24" s="637" t="s">
        <v>355</v>
      </c>
      <c r="B24" s="488">
        <f>SUM(B20:B23)</f>
        <v>63.613000000000007</v>
      </c>
      <c r="C24" s="488">
        <f t="shared" ref="C24:M24" si="3">SUM(C20:C23)</f>
        <v>63.648000000000003</v>
      </c>
      <c r="D24" s="488">
        <f t="shared" si="3"/>
        <v>63.014569999999999</v>
      </c>
      <c r="E24" s="488">
        <f t="shared" si="3"/>
        <v>62.656849999999999</v>
      </c>
      <c r="F24" s="488">
        <f t="shared" si="3"/>
        <v>61.757629999999999</v>
      </c>
      <c r="G24" s="488">
        <f t="shared" si="3"/>
        <v>61.404310000000002</v>
      </c>
      <c r="H24" s="488">
        <f t="shared" si="3"/>
        <v>60.160709999999995</v>
      </c>
      <c r="I24" s="488">
        <f t="shared" si="3"/>
        <v>-1.111</v>
      </c>
      <c r="J24" s="488">
        <f t="shared" si="3"/>
        <v>-1.1100000000000001</v>
      </c>
      <c r="K24" s="488">
        <f t="shared" si="3"/>
        <v>0</v>
      </c>
      <c r="L24" s="488">
        <f t="shared" si="3"/>
        <v>0</v>
      </c>
      <c r="M24" s="488">
        <f t="shared" si="3"/>
        <v>0</v>
      </c>
      <c r="N24" s="635">
        <f>SUM(B24:M24)</f>
        <v>434.03406999999999</v>
      </c>
      <c r="P24" s="228"/>
    </row>
    <row r="25" spans="1:16" ht="12.95">
      <c r="A25" s="206"/>
      <c r="B25" s="335"/>
      <c r="C25" s="335"/>
      <c r="D25" s="335"/>
      <c r="E25" s="335"/>
      <c r="F25" s="335"/>
      <c r="G25" s="335"/>
      <c r="H25" s="335"/>
      <c r="I25" s="335"/>
      <c r="J25" s="335"/>
      <c r="K25" s="335"/>
      <c r="L25" s="335"/>
      <c r="M25" s="335"/>
      <c r="N25" s="336"/>
      <c r="P25" s="228"/>
    </row>
    <row r="26" spans="1:16" ht="12.95">
      <c r="A26" s="203"/>
      <c r="B26" s="335" t="s">
        <v>67</v>
      </c>
      <c r="C26" s="335" t="s">
        <v>67</v>
      </c>
      <c r="D26" s="335" t="s">
        <v>67</v>
      </c>
      <c r="E26" s="335"/>
      <c r="F26" s="335" t="s">
        <v>67</v>
      </c>
      <c r="G26" s="335"/>
      <c r="H26" s="337" t="s">
        <v>67</v>
      </c>
      <c r="I26" s="337" t="s">
        <v>67</v>
      </c>
      <c r="J26" s="337" t="s">
        <v>67</v>
      </c>
      <c r="K26" s="337" t="s">
        <v>67</v>
      </c>
      <c r="L26" s="337" t="s">
        <v>67</v>
      </c>
      <c r="M26" s="337" t="s">
        <v>67</v>
      </c>
      <c r="N26" s="336" t="s">
        <v>67</v>
      </c>
      <c r="P26" s="228"/>
    </row>
    <row r="27" spans="1:16" ht="12.95">
      <c r="A27" s="203" t="s">
        <v>356</v>
      </c>
      <c r="B27" s="547">
        <v>0</v>
      </c>
      <c r="C27" s="547">
        <v>0</v>
      </c>
      <c r="D27" s="547">
        <v>0</v>
      </c>
      <c r="E27" s="547">
        <v>0</v>
      </c>
      <c r="F27" s="547">
        <v>0</v>
      </c>
      <c r="G27" s="547">
        <v>0</v>
      </c>
      <c r="H27" s="548">
        <v>0</v>
      </c>
      <c r="I27" s="548">
        <v>0</v>
      </c>
      <c r="J27" s="548">
        <v>0</v>
      </c>
      <c r="K27" s="548">
        <v>0</v>
      </c>
      <c r="L27" s="548">
        <v>0</v>
      </c>
      <c r="M27" s="548">
        <v>0</v>
      </c>
      <c r="N27" s="336">
        <f>SUM(B27:M27)</f>
        <v>0</v>
      </c>
      <c r="P27" s="228"/>
    </row>
    <row r="28" spans="1:16" ht="12.95">
      <c r="A28" s="638" t="s">
        <v>358</v>
      </c>
      <c r="B28" s="488">
        <f t="shared" ref="B28:H28" si="4">SUM(B27:B27)</f>
        <v>0</v>
      </c>
      <c r="C28" s="488">
        <f t="shared" si="4"/>
        <v>0</v>
      </c>
      <c r="D28" s="488">
        <f t="shared" si="4"/>
        <v>0</v>
      </c>
      <c r="E28" s="488">
        <f>SUM(E27:E27)</f>
        <v>0</v>
      </c>
      <c r="F28" s="488">
        <f t="shared" si="4"/>
        <v>0</v>
      </c>
      <c r="G28" s="488">
        <f t="shared" si="4"/>
        <v>0</v>
      </c>
      <c r="H28" s="488">
        <f t="shared" si="4"/>
        <v>0</v>
      </c>
      <c r="I28" s="488">
        <f>SUM(I27:I27)</f>
        <v>0</v>
      </c>
      <c r="J28" s="488">
        <f>SUM(J27:J27)</f>
        <v>0</v>
      </c>
      <c r="K28" s="488">
        <f>SUM(K27:K27)</f>
        <v>0</v>
      </c>
      <c r="L28" s="488">
        <f>SUM(L27:L27)</f>
        <v>0</v>
      </c>
      <c r="M28" s="488">
        <f>SUM(M27:M27)</f>
        <v>0</v>
      </c>
      <c r="N28" s="635">
        <f>SUM(B28:M28)</f>
        <v>0</v>
      </c>
      <c r="P28" s="228"/>
    </row>
    <row r="29" spans="1:16" ht="12.95">
      <c r="A29" s="207"/>
      <c r="B29" s="335"/>
      <c r="C29" s="335"/>
      <c r="D29" s="335"/>
      <c r="E29" s="335"/>
      <c r="F29" s="335"/>
      <c r="G29" s="489"/>
      <c r="H29" s="335"/>
      <c r="I29" s="489"/>
      <c r="J29" s="335"/>
      <c r="K29" s="335"/>
      <c r="L29" s="489"/>
      <c r="M29" s="335"/>
      <c r="N29" s="336"/>
    </row>
    <row r="30" spans="1:16" ht="12.95">
      <c r="A30" s="208"/>
      <c r="B30" s="335"/>
      <c r="C30" s="335"/>
      <c r="D30" s="335"/>
      <c r="E30" s="335"/>
      <c r="F30" s="335"/>
      <c r="G30" s="335"/>
      <c r="H30" s="335"/>
      <c r="I30" s="335"/>
      <c r="J30" s="335"/>
      <c r="K30" s="335"/>
      <c r="L30" s="335"/>
      <c r="M30" s="335"/>
      <c r="N30" s="336"/>
    </row>
    <row r="31" spans="1:16" ht="12.95">
      <c r="A31" s="208" t="s">
        <v>323</v>
      </c>
      <c r="B31" s="547">
        <v>0</v>
      </c>
      <c r="C31" s="547">
        <v>0</v>
      </c>
      <c r="D31" s="547">
        <v>0</v>
      </c>
      <c r="E31" s="547">
        <v>0</v>
      </c>
      <c r="F31" s="547">
        <v>0</v>
      </c>
      <c r="G31" s="547">
        <v>0</v>
      </c>
      <c r="H31" s="548">
        <v>0</v>
      </c>
      <c r="I31" s="548">
        <v>0</v>
      </c>
      <c r="J31" s="548">
        <v>0</v>
      </c>
      <c r="K31" s="548">
        <v>0</v>
      </c>
      <c r="L31" s="548">
        <v>0</v>
      </c>
      <c r="M31" s="548">
        <v>0</v>
      </c>
      <c r="N31" s="336">
        <f>SUM(B31:M31)</f>
        <v>0</v>
      </c>
    </row>
    <row r="32" spans="1:16" ht="12.95">
      <c r="A32" s="639" t="s">
        <v>334</v>
      </c>
      <c r="B32" s="488">
        <f t="shared" ref="B32:G32" si="5">SUM(B31:B31)</f>
        <v>0</v>
      </c>
      <c r="C32" s="488">
        <f t="shared" si="5"/>
        <v>0</v>
      </c>
      <c r="D32" s="488">
        <f t="shared" si="5"/>
        <v>0</v>
      </c>
      <c r="E32" s="488">
        <f t="shared" si="5"/>
        <v>0</v>
      </c>
      <c r="F32" s="488">
        <f t="shared" si="5"/>
        <v>0</v>
      </c>
      <c r="G32" s="488">
        <f t="shared" si="5"/>
        <v>0</v>
      </c>
      <c r="H32" s="488">
        <f>SUM(H30:H31)</f>
        <v>0</v>
      </c>
      <c r="I32" s="488">
        <f>SUM(I30:I31)</f>
        <v>0</v>
      </c>
      <c r="J32" s="488">
        <f>SUM(J31:J31)</f>
        <v>0</v>
      </c>
      <c r="K32" s="488">
        <f>SUM(K31:K31)</f>
        <v>0</v>
      </c>
      <c r="L32" s="488">
        <f>SUM(L31:L31)</f>
        <v>0</v>
      </c>
      <c r="M32" s="488">
        <f>SUM(M31:M31)</f>
        <v>0</v>
      </c>
      <c r="N32" s="635">
        <f>SUM(B32:M32)</f>
        <v>0</v>
      </c>
      <c r="O32" s="25"/>
    </row>
    <row r="33" spans="1:19" ht="10.5" customHeight="1">
      <c r="A33" s="381"/>
      <c r="B33" s="489"/>
      <c r="C33" s="489"/>
      <c r="D33" s="489"/>
      <c r="E33" s="489"/>
      <c r="F33" s="489"/>
      <c r="G33" s="489"/>
      <c r="H33" s="489">
        <v>0</v>
      </c>
      <c r="I33" s="489"/>
      <c r="J33" s="489"/>
      <c r="K33" s="489"/>
      <c r="L33" s="489"/>
      <c r="M33" s="489"/>
      <c r="N33" s="491"/>
    </row>
    <row r="34" spans="1:19" ht="15" customHeight="1">
      <c r="A34" s="637" t="s">
        <v>359</v>
      </c>
      <c r="B34" s="550">
        <v>0</v>
      </c>
      <c r="C34" s="550">
        <v>0</v>
      </c>
      <c r="D34" s="550">
        <v>0</v>
      </c>
      <c r="E34" s="550">
        <v>0</v>
      </c>
      <c r="F34" s="550">
        <v>0</v>
      </c>
      <c r="G34" s="550">
        <v>0</v>
      </c>
      <c r="H34" s="550">
        <v>0</v>
      </c>
      <c r="I34" s="550">
        <v>0</v>
      </c>
      <c r="J34" s="551">
        <v>0</v>
      </c>
      <c r="K34" s="551">
        <v>0</v>
      </c>
      <c r="L34" s="550">
        <v>0</v>
      </c>
      <c r="M34" s="550">
        <v>0</v>
      </c>
      <c r="N34" s="636">
        <f>SUM(B34:M34)</f>
        <v>0</v>
      </c>
      <c r="O34" s="27"/>
      <c r="P34" s="27"/>
      <c r="Q34" s="27"/>
      <c r="R34" s="27"/>
      <c r="S34" s="30"/>
    </row>
    <row r="35" spans="1:19" ht="15" customHeight="1" thickBot="1">
      <c r="A35" s="209" t="s">
        <v>373</v>
      </c>
      <c r="B35" s="338">
        <f t="shared" ref="B35:M35" si="6">B17+B24+B28+B32+B34</f>
        <v>89.908760000000001</v>
      </c>
      <c r="C35" s="338">
        <f t="shared" si="6"/>
        <v>106.26787000000002</v>
      </c>
      <c r="D35" s="338">
        <f t="shared" si="6"/>
        <v>66.549859999999995</v>
      </c>
      <c r="E35" s="338">
        <f t="shared" si="6"/>
        <v>95.668880000000001</v>
      </c>
      <c r="F35" s="338">
        <f t="shared" si="6"/>
        <v>86.761399999999995</v>
      </c>
      <c r="G35" s="338">
        <f t="shared" si="6"/>
        <v>82.263000000000005</v>
      </c>
      <c r="H35" s="338">
        <f t="shared" si="6"/>
        <v>80.165069999999986</v>
      </c>
      <c r="I35" s="338">
        <f t="shared" si="6"/>
        <v>29.705359999999999</v>
      </c>
      <c r="J35" s="338">
        <f t="shared" si="6"/>
        <v>16.896170000000001</v>
      </c>
      <c r="K35" s="338">
        <f t="shared" si="6"/>
        <v>0</v>
      </c>
      <c r="L35" s="338">
        <f t="shared" si="6"/>
        <v>0</v>
      </c>
      <c r="M35" s="338">
        <f t="shared" si="6"/>
        <v>0</v>
      </c>
      <c r="N35" s="339">
        <f>SUM(B35:M35)</f>
        <v>654.18637000000001</v>
      </c>
      <c r="O35" s="27"/>
      <c r="P35" s="27"/>
      <c r="Q35" s="27"/>
      <c r="R35" s="27"/>
      <c r="S35" s="30"/>
    </row>
    <row r="36" spans="1:19" s="90" customFormat="1" ht="26.25" customHeight="1" thickBot="1">
      <c r="A36" s="316" t="s">
        <v>374</v>
      </c>
      <c r="B36" s="501">
        <f>B35+0.005</f>
        <v>89.913759999999996</v>
      </c>
      <c r="C36" s="502">
        <f>C35+0.018</f>
        <v>106.28587000000002</v>
      </c>
      <c r="D36" s="502">
        <f>D35+0.04</f>
        <v>66.589860000000002</v>
      </c>
      <c r="E36" s="502">
        <f>E35+0.163</f>
        <v>95.831879999999998</v>
      </c>
      <c r="F36" s="502">
        <f>F35+0.291</f>
        <v>87.052399999999992</v>
      </c>
      <c r="G36" s="502">
        <f>G35+0.438</f>
        <v>82.701000000000008</v>
      </c>
      <c r="H36" s="502">
        <f>H35+0.507</f>
        <v>80.672069999999991</v>
      </c>
      <c r="I36" s="502">
        <f>I35+1.269</f>
        <v>30.974359999999997</v>
      </c>
      <c r="J36" s="502">
        <f>J35+1.389</f>
        <v>18.285170000000001</v>
      </c>
      <c r="K36" s="502">
        <v>0</v>
      </c>
      <c r="L36" s="502">
        <v>0</v>
      </c>
      <c r="M36" s="502">
        <v>0</v>
      </c>
      <c r="N36" s="340">
        <f>SUM(B36:M36)</f>
        <v>658.30637000000002</v>
      </c>
      <c r="O36" s="317"/>
    </row>
    <row r="37" spans="1:19" ht="12.95">
      <c r="A37" s="31"/>
      <c r="B37" s="32"/>
      <c r="C37" s="32"/>
      <c r="D37" s="32"/>
      <c r="E37" s="32"/>
      <c r="F37" s="32"/>
      <c r="G37" s="32"/>
      <c r="H37" s="32"/>
      <c r="I37" s="32"/>
      <c r="J37" s="32"/>
      <c r="K37" s="32"/>
      <c r="L37" s="32"/>
      <c r="M37" s="32"/>
      <c r="N37" s="32"/>
    </row>
    <row r="38" spans="1:19" ht="12.95">
      <c r="A38" s="659" t="s">
        <v>68</v>
      </c>
      <c r="B38" s="264"/>
      <c r="C38" s="264"/>
      <c r="D38" s="264"/>
      <c r="E38" s="264"/>
      <c r="F38" s="264"/>
      <c r="G38" s="264"/>
      <c r="H38" s="264"/>
      <c r="I38" s="264"/>
      <c r="J38" s="264"/>
      <c r="K38" s="264"/>
      <c r="L38" s="264"/>
      <c r="M38" s="264"/>
      <c r="N38" s="264"/>
    </row>
    <row r="39" spans="1:19" ht="15">
      <c r="A39" s="660" t="s">
        <v>375</v>
      </c>
      <c r="B39" s="264"/>
      <c r="C39" s="264"/>
      <c r="D39" s="264"/>
      <c r="E39" s="264"/>
      <c r="F39" s="264"/>
      <c r="G39" s="264"/>
      <c r="H39" s="264"/>
      <c r="I39" s="264"/>
      <c r="J39" s="264"/>
      <c r="K39" s="264"/>
      <c r="L39" s="264"/>
      <c r="M39" s="264"/>
      <c r="N39" s="264"/>
    </row>
    <row r="40" spans="1:19" ht="15" customHeight="1">
      <c r="A40" s="717" t="s">
        <v>376</v>
      </c>
      <c r="B40" s="717"/>
      <c r="C40" s="717"/>
      <c r="D40" s="717"/>
      <c r="E40" s="717"/>
      <c r="F40" s="717"/>
      <c r="G40" s="717"/>
      <c r="H40" s="717"/>
      <c r="I40" s="717"/>
      <c r="J40" s="717"/>
      <c r="K40" s="717"/>
      <c r="L40" s="717"/>
      <c r="M40" s="717"/>
      <c r="N40" s="717"/>
    </row>
    <row r="41" spans="1:19" ht="15" customHeight="1">
      <c r="A41" s="661" t="s">
        <v>377</v>
      </c>
      <c r="B41" s="662"/>
      <c r="C41" s="662"/>
      <c r="D41" s="662"/>
      <c r="E41" s="662"/>
      <c r="F41" s="662"/>
      <c r="G41" s="662"/>
      <c r="H41" s="662"/>
      <c r="I41" s="662"/>
      <c r="J41" s="662"/>
      <c r="K41" s="662"/>
      <c r="L41" s="662"/>
      <c r="M41" s="662"/>
      <c r="N41" s="662"/>
    </row>
    <row r="42" spans="1:19" ht="15" customHeight="1">
      <c r="A42" s="90" t="s">
        <v>378</v>
      </c>
      <c r="B42" s="662"/>
      <c r="C42" s="662"/>
      <c r="D42" s="662"/>
      <c r="E42" s="662"/>
      <c r="F42" s="662"/>
      <c r="G42" s="662"/>
      <c r="H42" s="662"/>
      <c r="I42" s="662"/>
      <c r="J42" s="662"/>
      <c r="K42" s="662"/>
      <c r="L42" s="662"/>
      <c r="M42" s="662"/>
      <c r="N42" s="662"/>
    </row>
    <row r="43" spans="1:19" ht="15" customHeight="1">
      <c r="A43" s="90" t="s">
        <v>379</v>
      </c>
      <c r="B43" s="663"/>
      <c r="C43" s="663"/>
      <c r="D43" s="663"/>
      <c r="E43" s="663"/>
      <c r="F43" s="663"/>
      <c r="G43" s="663"/>
      <c r="H43" s="663"/>
      <c r="I43" s="663"/>
      <c r="J43" s="663"/>
      <c r="K43" s="663"/>
      <c r="L43" s="663"/>
      <c r="M43" s="663"/>
      <c r="N43" s="663"/>
    </row>
    <row r="44" spans="1:19" ht="15" customHeight="1">
      <c r="A44" s="90"/>
      <c r="B44" s="663"/>
      <c r="C44" s="663"/>
      <c r="D44" s="663"/>
      <c r="E44" s="663"/>
      <c r="F44" s="663"/>
      <c r="G44" s="663"/>
      <c r="H44" s="663"/>
      <c r="I44" s="663"/>
      <c r="J44" s="663"/>
      <c r="K44" s="663"/>
      <c r="L44" s="663"/>
      <c r="M44" s="663"/>
      <c r="N44" s="663"/>
    </row>
    <row r="45" spans="1:19" s="66" customFormat="1" ht="13.5" customHeight="1">
      <c r="A45" s="648" t="s">
        <v>216</v>
      </c>
    </row>
    <row r="46" spans="1:19" ht="12.95">
      <c r="A46" s="653" t="s">
        <v>84</v>
      </c>
      <c r="H46" s="25"/>
    </row>
  </sheetData>
  <mergeCells count="1">
    <mergeCell ref="A40:N40"/>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AE49B-D9A7-4664-A36E-ADD6121550E7}">
  <sheetPr>
    <pageSetUpPr fitToPage="1"/>
  </sheetPr>
  <dimension ref="A1:S42"/>
  <sheetViews>
    <sheetView showGridLines="0" topLeftCell="A10" zoomScale="70" zoomScaleNormal="70" zoomScaleSheetLayoutView="75" workbookViewId="0">
      <selection activeCell="A39" sqref="A39"/>
    </sheetView>
  </sheetViews>
  <sheetFormatPr defaultColWidth="9.28515625" defaultRowHeight="12.6"/>
  <cols>
    <col min="1" max="1" width="55.28515625" style="369" customWidth="1"/>
    <col min="2" max="13" width="11.5703125" style="369" customWidth="1"/>
    <col min="14" max="14" width="15.7109375" style="369" bestFit="1" customWidth="1"/>
    <col min="15" max="15" width="9.7109375" style="369" bestFit="1" customWidth="1"/>
    <col min="16" max="16" width="26.85546875" style="369" bestFit="1" customWidth="1"/>
    <col min="17" max="17" width="22.28515625" style="369" customWidth="1"/>
    <col min="18" max="16384" width="9.28515625" style="369"/>
  </cols>
  <sheetData>
    <row r="1" spans="1:16" ht="14.45">
      <c r="A1" s="493"/>
    </row>
    <row r="3" spans="1:16" ht="12.95">
      <c r="E3" s="79" t="s">
        <v>380</v>
      </c>
    </row>
    <row r="4" spans="1:16" ht="12.95">
      <c r="C4" s="370"/>
      <c r="D4" s="370"/>
      <c r="E4" s="91" t="s">
        <v>381</v>
      </c>
      <c r="F4" s="370"/>
      <c r="G4" s="370"/>
    </row>
    <row r="5" spans="1:16" ht="12.95">
      <c r="D5" s="370"/>
      <c r="E5" s="107">
        <f>'Program MW '!H3</f>
        <v>44805</v>
      </c>
      <c r="F5" s="370"/>
    </row>
    <row r="6" spans="1:16" ht="12.95">
      <c r="E6" s="107"/>
    </row>
    <row r="7" spans="1:16" ht="13.5" thickBot="1">
      <c r="A7" s="19"/>
    </row>
    <row r="8" spans="1:16" ht="32.25" customHeight="1" thickBot="1">
      <c r="A8" s="231" t="s">
        <v>295</v>
      </c>
      <c r="B8" s="21" t="s">
        <v>41</v>
      </c>
      <c r="C8" s="21" t="s">
        <v>42</v>
      </c>
      <c r="D8" s="21" t="s">
        <v>43</v>
      </c>
      <c r="E8" s="21" t="s">
        <v>44</v>
      </c>
      <c r="F8" s="21" t="s">
        <v>31</v>
      </c>
      <c r="G8" s="21" t="s">
        <v>45</v>
      </c>
      <c r="H8" s="21" t="s">
        <v>58</v>
      </c>
      <c r="I8" s="21" t="s">
        <v>59</v>
      </c>
      <c r="J8" s="21" t="s">
        <v>60</v>
      </c>
      <c r="K8" s="21" t="s">
        <v>61</v>
      </c>
      <c r="L8" s="21" t="s">
        <v>62</v>
      </c>
      <c r="M8" s="21" t="s">
        <v>63</v>
      </c>
      <c r="N8" s="282" t="s">
        <v>349</v>
      </c>
    </row>
    <row r="9" spans="1:16" ht="26.1">
      <c r="A9" s="232" t="s">
        <v>382</v>
      </c>
      <c r="B9" s="371"/>
      <c r="C9" s="371"/>
      <c r="N9" s="372"/>
    </row>
    <row r="10" spans="1:16" ht="6" customHeight="1">
      <c r="A10" s="203"/>
      <c r="B10" s="371"/>
      <c r="C10" s="371"/>
      <c r="N10" s="373"/>
    </row>
    <row r="11" spans="1:16" ht="12.95">
      <c r="A11" s="203" t="s">
        <v>297</v>
      </c>
      <c r="B11" s="371"/>
      <c r="C11" s="371"/>
      <c r="N11" s="373"/>
    </row>
    <row r="12" spans="1:16" ht="12.95">
      <c r="A12" s="204" t="s">
        <v>247</v>
      </c>
      <c r="B12" s="547">
        <v>21.271000000000001</v>
      </c>
      <c r="C12" s="547">
        <v>24.053999999999998</v>
      </c>
      <c r="D12" s="547">
        <v>23.854880000000001</v>
      </c>
      <c r="E12" s="547">
        <v>28.098659999999999</v>
      </c>
      <c r="F12" s="547">
        <v>28.794609999999999</v>
      </c>
      <c r="G12" s="547">
        <v>25.432839999999999</v>
      </c>
      <c r="H12" s="547">
        <v>29.86055</v>
      </c>
      <c r="I12" s="547">
        <v>36.798409999999997</v>
      </c>
      <c r="J12" s="547">
        <v>29.781669999999998</v>
      </c>
      <c r="K12" s="547">
        <v>0</v>
      </c>
      <c r="L12" s="547">
        <v>0</v>
      </c>
      <c r="M12" s="547">
        <v>0</v>
      </c>
      <c r="N12" s="375">
        <f>SUM(B12:M12)</f>
        <v>247.94661999999997</v>
      </c>
      <c r="P12" s="547"/>
    </row>
    <row r="13" spans="1:16" ht="12.95">
      <c r="A13" s="204" t="s">
        <v>383</v>
      </c>
      <c r="B13" s="547">
        <v>7.6319999999999997</v>
      </c>
      <c r="C13" s="547">
        <v>1.768</v>
      </c>
      <c r="D13" s="547">
        <v>16.300419999999999</v>
      </c>
      <c r="E13" s="547">
        <v>30.710799999999999</v>
      </c>
      <c r="F13" s="547">
        <v>37.01061</v>
      </c>
      <c r="G13" s="547">
        <v>78.743030000000005</v>
      </c>
      <c r="H13" s="547">
        <v>11.58506</v>
      </c>
      <c r="I13" s="547">
        <v>41.001040000000003</v>
      </c>
      <c r="J13" s="547">
        <v>8654.2549099999997</v>
      </c>
      <c r="K13" s="547">
        <v>0</v>
      </c>
      <c r="L13" s="547">
        <v>0</v>
      </c>
      <c r="M13" s="547">
        <v>0</v>
      </c>
      <c r="N13" s="375">
        <f>SUM(B13:M13)</f>
        <v>8879.005869999999</v>
      </c>
      <c r="P13" s="378"/>
    </row>
    <row r="14" spans="1:16" ht="15">
      <c r="A14" s="204" t="s">
        <v>384</v>
      </c>
      <c r="B14" s="547">
        <v>0</v>
      </c>
      <c r="C14" s="547">
        <v>0</v>
      </c>
      <c r="D14" s="547">
        <v>7.3609200000000001</v>
      </c>
      <c r="E14" s="547">
        <v>26.551079999999999</v>
      </c>
      <c r="F14" s="547">
        <v>33</v>
      </c>
      <c r="G14" s="547">
        <v>179.78214</v>
      </c>
      <c r="H14" s="547">
        <v>-123.12432</v>
      </c>
      <c r="I14" s="547">
        <v>81.831270000000004</v>
      </c>
      <c r="J14" s="547">
        <v>203.19336000000001</v>
      </c>
      <c r="K14" s="547">
        <v>0</v>
      </c>
      <c r="L14" s="547">
        <v>0</v>
      </c>
      <c r="M14" s="547">
        <v>0</v>
      </c>
      <c r="N14" s="375">
        <f>SUM(B14:M14)</f>
        <v>408.59445000000005</v>
      </c>
      <c r="P14" s="694"/>
    </row>
    <row r="15" spans="1:16" ht="12.95">
      <c r="A15" s="324" t="s">
        <v>352</v>
      </c>
      <c r="B15" s="377">
        <f>SUM(B12:B14)</f>
        <v>28.902999999999999</v>
      </c>
      <c r="C15" s="377">
        <f t="shared" ref="C15:D15" si="0">SUM(C12:C14)</f>
        <v>25.821999999999999</v>
      </c>
      <c r="D15" s="377">
        <f t="shared" si="0"/>
        <v>47.516219999999997</v>
      </c>
      <c r="E15" s="377">
        <f t="shared" ref="E15:M15" si="1">SUM(E12:E14)</f>
        <v>85.36054</v>
      </c>
      <c r="F15" s="377">
        <f t="shared" si="1"/>
        <v>98.805219999999991</v>
      </c>
      <c r="G15" s="377">
        <f t="shared" si="1"/>
        <v>283.95801</v>
      </c>
      <c r="H15" s="377">
        <f t="shared" si="1"/>
        <v>-81.678709999999995</v>
      </c>
      <c r="I15" s="377">
        <f t="shared" si="1"/>
        <v>159.63072</v>
      </c>
      <c r="J15" s="377">
        <f t="shared" si="1"/>
        <v>8887.2299399999993</v>
      </c>
      <c r="K15" s="377">
        <f t="shared" si="1"/>
        <v>0</v>
      </c>
      <c r="L15" s="377">
        <f t="shared" si="1"/>
        <v>0</v>
      </c>
      <c r="M15" s="377">
        <f t="shared" si="1"/>
        <v>0</v>
      </c>
      <c r="N15" s="640">
        <f>SUM(B15:M15)</f>
        <v>9535.5469400000002</v>
      </c>
    </row>
    <row r="16" spans="1:16">
      <c r="A16" s="373"/>
      <c r="B16" s="374"/>
      <c r="C16" s="374"/>
      <c r="D16" s="374"/>
      <c r="E16" s="374"/>
      <c r="F16" s="374"/>
      <c r="G16" s="374"/>
      <c r="H16" s="374"/>
      <c r="I16" s="374"/>
      <c r="J16" s="374" t="s">
        <v>67</v>
      </c>
      <c r="K16" s="374"/>
      <c r="L16" s="374"/>
      <c r="M16" s="374"/>
      <c r="N16" s="375"/>
      <c r="P16" s="378"/>
    </row>
    <row r="17" spans="1:19" ht="12.95">
      <c r="A17" s="203" t="s">
        <v>368</v>
      </c>
      <c r="B17" s="374"/>
      <c r="C17" s="374"/>
      <c r="D17" s="374"/>
      <c r="E17" s="374"/>
      <c r="F17" s="374"/>
      <c r="G17" s="374"/>
      <c r="H17" s="374"/>
      <c r="I17" s="374"/>
      <c r="J17" s="374"/>
      <c r="K17" s="374"/>
      <c r="L17" s="374"/>
      <c r="M17" s="374"/>
      <c r="N17" s="375"/>
      <c r="P17" s="378"/>
    </row>
    <row r="18" spans="1:19" ht="12.95">
      <c r="A18" s="204" t="s">
        <v>385</v>
      </c>
      <c r="B18" s="547">
        <v>0</v>
      </c>
      <c r="C18" s="547">
        <v>0</v>
      </c>
      <c r="D18" s="547">
        <v>0</v>
      </c>
      <c r="E18" s="547">
        <v>0</v>
      </c>
      <c r="F18" s="547">
        <v>0</v>
      </c>
      <c r="G18" s="547">
        <v>0</v>
      </c>
      <c r="H18" s="547">
        <v>0</v>
      </c>
      <c r="I18" s="547">
        <v>0</v>
      </c>
      <c r="J18" s="547">
        <v>0</v>
      </c>
      <c r="K18" s="547">
        <v>0</v>
      </c>
      <c r="L18" s="547">
        <v>0</v>
      </c>
      <c r="M18" s="547">
        <v>0</v>
      </c>
      <c r="N18" s="375">
        <f>SUM(B18:M18)</f>
        <v>0</v>
      </c>
      <c r="P18" s="378"/>
    </row>
    <row r="19" spans="1:19" ht="12.95">
      <c r="A19" s="204" t="s">
        <v>386</v>
      </c>
      <c r="B19" s="547">
        <v>0</v>
      </c>
      <c r="C19" s="547">
        <v>0</v>
      </c>
      <c r="D19" s="547">
        <v>0</v>
      </c>
      <c r="E19" s="547">
        <v>0</v>
      </c>
      <c r="F19" s="547">
        <v>0</v>
      </c>
      <c r="G19" s="547">
        <v>0</v>
      </c>
      <c r="H19" s="547">
        <v>0</v>
      </c>
      <c r="I19" s="547">
        <v>0</v>
      </c>
      <c r="J19" s="547">
        <v>0</v>
      </c>
      <c r="K19" s="547">
        <v>0</v>
      </c>
      <c r="L19" s="547">
        <v>0</v>
      </c>
      <c r="M19" s="547">
        <v>0</v>
      </c>
      <c r="N19" s="375">
        <f>SUM(B19:M19)</f>
        <v>0</v>
      </c>
      <c r="P19" s="378"/>
    </row>
    <row r="20" spans="1:19" ht="12.95">
      <c r="A20" s="204" t="s">
        <v>387</v>
      </c>
      <c r="B20" s="547">
        <v>0</v>
      </c>
      <c r="C20" s="547">
        <v>0</v>
      </c>
      <c r="D20" s="547">
        <v>0</v>
      </c>
      <c r="E20" s="547">
        <v>0</v>
      </c>
      <c r="F20" s="547">
        <v>0</v>
      </c>
      <c r="G20" s="547">
        <v>0</v>
      </c>
      <c r="H20" s="547">
        <v>0</v>
      </c>
      <c r="I20" s="547">
        <v>0</v>
      </c>
      <c r="J20" s="547">
        <v>0</v>
      </c>
      <c r="K20" s="547">
        <v>0</v>
      </c>
      <c r="L20" s="547">
        <v>0</v>
      </c>
      <c r="M20" s="547">
        <v>0</v>
      </c>
      <c r="N20" s="375">
        <f>SUM(B20:M20)</f>
        <v>0</v>
      </c>
      <c r="P20" s="378"/>
    </row>
    <row r="21" spans="1:19" ht="12.95">
      <c r="A21" s="206" t="s">
        <v>388</v>
      </c>
      <c r="B21" s="547">
        <v>0</v>
      </c>
      <c r="C21" s="547">
        <v>0</v>
      </c>
      <c r="D21" s="547">
        <v>0</v>
      </c>
      <c r="E21" s="547">
        <v>0</v>
      </c>
      <c r="F21" s="547">
        <v>0</v>
      </c>
      <c r="G21" s="547">
        <v>0</v>
      </c>
      <c r="H21" s="547">
        <v>0</v>
      </c>
      <c r="I21" s="547">
        <v>0</v>
      </c>
      <c r="J21" s="547">
        <v>0</v>
      </c>
      <c r="K21" s="547">
        <v>0</v>
      </c>
      <c r="L21" s="547">
        <v>0</v>
      </c>
      <c r="M21" s="547">
        <v>0</v>
      </c>
      <c r="N21" s="375">
        <f>SUM(B21:M21)</f>
        <v>0</v>
      </c>
      <c r="P21" s="378"/>
    </row>
    <row r="22" spans="1:19" ht="12.95">
      <c r="A22" s="637" t="s">
        <v>355</v>
      </c>
      <c r="B22" s="377">
        <f t="shared" ref="B22:M22" si="2">SUM(B18:B21)</f>
        <v>0</v>
      </c>
      <c r="C22" s="377">
        <f t="shared" si="2"/>
        <v>0</v>
      </c>
      <c r="D22" s="377">
        <f t="shared" si="2"/>
        <v>0</v>
      </c>
      <c r="E22" s="377">
        <f t="shared" si="2"/>
        <v>0</v>
      </c>
      <c r="F22" s="377">
        <f t="shared" si="2"/>
        <v>0</v>
      </c>
      <c r="G22" s="377">
        <f t="shared" si="2"/>
        <v>0</v>
      </c>
      <c r="H22" s="377">
        <f t="shared" si="2"/>
        <v>0</v>
      </c>
      <c r="I22" s="377">
        <f t="shared" si="2"/>
        <v>0</v>
      </c>
      <c r="J22" s="377">
        <f t="shared" si="2"/>
        <v>0</v>
      </c>
      <c r="K22" s="377">
        <f t="shared" si="2"/>
        <v>0</v>
      </c>
      <c r="L22" s="377">
        <f t="shared" si="2"/>
        <v>0</v>
      </c>
      <c r="M22" s="377">
        <f t="shared" si="2"/>
        <v>0</v>
      </c>
      <c r="N22" s="640">
        <f>SUM(B22:M22)</f>
        <v>0</v>
      </c>
      <c r="P22" s="378"/>
    </row>
    <row r="23" spans="1:19" ht="12.95">
      <c r="A23" s="206"/>
      <c r="B23" s="374"/>
      <c r="C23" s="374"/>
      <c r="D23" s="374"/>
      <c r="E23" s="374"/>
      <c r="F23" s="374"/>
      <c r="G23" s="374"/>
      <c r="H23" s="374"/>
      <c r="I23" s="374"/>
      <c r="J23" s="374"/>
      <c r="K23" s="374"/>
      <c r="L23" s="374"/>
      <c r="M23" s="374"/>
      <c r="N23" s="375"/>
      <c r="P23" s="378"/>
    </row>
    <row r="24" spans="1:19" ht="12.95">
      <c r="A24" s="203"/>
      <c r="B24" s="374" t="s">
        <v>67</v>
      </c>
      <c r="C24" s="374" t="s">
        <v>67</v>
      </c>
      <c r="D24" s="374" t="s">
        <v>67</v>
      </c>
      <c r="E24" s="374"/>
      <c r="F24" s="374" t="s">
        <v>67</v>
      </c>
      <c r="G24" s="374"/>
      <c r="H24" s="379" t="s">
        <v>67</v>
      </c>
      <c r="I24" s="379" t="s">
        <v>67</v>
      </c>
      <c r="J24" s="379" t="s">
        <v>67</v>
      </c>
      <c r="K24" s="379" t="s">
        <v>67</v>
      </c>
      <c r="L24" s="379" t="s">
        <v>67</v>
      </c>
      <c r="M24" s="379" t="s">
        <v>67</v>
      </c>
      <c r="N24" s="375" t="s">
        <v>67</v>
      </c>
      <c r="P24" s="378"/>
    </row>
    <row r="25" spans="1:19" ht="12.95">
      <c r="A25" s="203" t="s">
        <v>356</v>
      </c>
      <c r="B25" s="547">
        <v>0</v>
      </c>
      <c r="C25" s="547">
        <v>0</v>
      </c>
      <c r="D25" s="547">
        <v>0</v>
      </c>
      <c r="E25" s="547">
        <v>0</v>
      </c>
      <c r="F25" s="547">
        <v>0</v>
      </c>
      <c r="G25" s="547">
        <v>0</v>
      </c>
      <c r="H25" s="548">
        <v>0</v>
      </c>
      <c r="I25" s="548">
        <v>0</v>
      </c>
      <c r="J25" s="548">
        <v>0</v>
      </c>
      <c r="K25" s="548">
        <v>0</v>
      </c>
      <c r="L25" s="548">
        <v>0</v>
      </c>
      <c r="M25" s="548">
        <v>0</v>
      </c>
      <c r="N25" s="375">
        <f>SUM(B25:M25)</f>
        <v>0</v>
      </c>
      <c r="P25" s="378"/>
    </row>
    <row r="26" spans="1:19" ht="12.95">
      <c r="A26" s="638" t="s">
        <v>358</v>
      </c>
      <c r="B26" s="377">
        <f t="shared" ref="B26:M26" si="3">SUM(B25:B25)</f>
        <v>0</v>
      </c>
      <c r="C26" s="377">
        <f t="shared" si="3"/>
        <v>0</v>
      </c>
      <c r="D26" s="377">
        <f t="shared" si="3"/>
        <v>0</v>
      </c>
      <c r="E26" s="377">
        <f t="shared" si="3"/>
        <v>0</v>
      </c>
      <c r="F26" s="377">
        <f t="shared" si="3"/>
        <v>0</v>
      </c>
      <c r="G26" s="377">
        <f t="shared" si="3"/>
        <v>0</v>
      </c>
      <c r="H26" s="377">
        <f t="shared" si="3"/>
        <v>0</v>
      </c>
      <c r="I26" s="377">
        <f t="shared" si="3"/>
        <v>0</v>
      </c>
      <c r="J26" s="377">
        <f t="shared" si="3"/>
        <v>0</v>
      </c>
      <c r="K26" s="377">
        <f t="shared" si="3"/>
        <v>0</v>
      </c>
      <c r="L26" s="377">
        <f t="shared" si="3"/>
        <v>0</v>
      </c>
      <c r="M26" s="377">
        <f t="shared" si="3"/>
        <v>0</v>
      </c>
      <c r="N26" s="640">
        <f>SUM(B26:M26)</f>
        <v>0</v>
      </c>
      <c r="P26" s="378"/>
    </row>
    <row r="27" spans="1:19" ht="12.95">
      <c r="A27" s="207"/>
      <c r="B27" s="374"/>
      <c r="C27" s="374"/>
      <c r="D27" s="374"/>
      <c r="E27" s="374"/>
      <c r="F27" s="374"/>
      <c r="G27" s="380"/>
      <c r="H27" s="374"/>
      <c r="I27" s="380"/>
      <c r="J27" s="374"/>
      <c r="K27" s="374"/>
      <c r="L27" s="380"/>
      <c r="M27" s="374"/>
      <c r="N27" s="375"/>
    </row>
    <row r="28" spans="1:19" ht="12.95">
      <c r="A28" s="208"/>
      <c r="B28" s="374"/>
      <c r="C28" s="374"/>
      <c r="D28" s="374"/>
      <c r="E28" s="374"/>
      <c r="F28" s="374"/>
      <c r="G28" s="374"/>
      <c r="H28" s="374"/>
      <c r="I28" s="374"/>
      <c r="J28" s="374"/>
      <c r="K28" s="374"/>
      <c r="L28" s="374"/>
      <c r="M28" s="374"/>
      <c r="N28" s="375"/>
    </row>
    <row r="29" spans="1:19" ht="12.95">
      <c r="A29" s="208" t="s">
        <v>323</v>
      </c>
      <c r="B29" s="547">
        <v>0</v>
      </c>
      <c r="C29" s="547">
        <v>0</v>
      </c>
      <c r="D29" s="547">
        <v>0</v>
      </c>
      <c r="E29" s="547">
        <v>0</v>
      </c>
      <c r="F29" s="547">
        <v>0</v>
      </c>
      <c r="G29" s="547">
        <v>0</v>
      </c>
      <c r="H29" s="548">
        <v>0</v>
      </c>
      <c r="I29" s="548">
        <v>0</v>
      </c>
      <c r="J29" s="548">
        <v>0</v>
      </c>
      <c r="K29" s="548">
        <v>0</v>
      </c>
      <c r="L29" s="548">
        <v>0</v>
      </c>
      <c r="M29" s="548">
        <v>0</v>
      </c>
      <c r="N29" s="375">
        <f>SUM(B29:M29)</f>
        <v>0</v>
      </c>
    </row>
    <row r="30" spans="1:19" ht="12.95">
      <c r="A30" s="639" t="s">
        <v>334</v>
      </c>
      <c r="B30" s="377">
        <f t="shared" ref="B30:G30" si="4">SUM(B29:B29)</f>
        <v>0</v>
      </c>
      <c r="C30" s="377">
        <f t="shared" si="4"/>
        <v>0</v>
      </c>
      <c r="D30" s="377">
        <f t="shared" si="4"/>
        <v>0</v>
      </c>
      <c r="E30" s="377">
        <f t="shared" si="4"/>
        <v>0</v>
      </c>
      <c r="F30" s="377">
        <f t="shared" si="4"/>
        <v>0</v>
      </c>
      <c r="G30" s="377">
        <f t="shared" si="4"/>
        <v>0</v>
      </c>
      <c r="H30" s="377">
        <f>SUM(H28:H29)</f>
        <v>0</v>
      </c>
      <c r="I30" s="377">
        <f>SUM(I28:I29)</f>
        <v>0</v>
      </c>
      <c r="J30" s="377">
        <f>SUM(J29:J29)</f>
        <v>0</v>
      </c>
      <c r="K30" s="377">
        <f>SUM(K29:K29)</f>
        <v>0</v>
      </c>
      <c r="L30" s="377">
        <f>SUM(L29:L29)</f>
        <v>0</v>
      </c>
      <c r="M30" s="377">
        <f>SUM(M29:M29)</f>
        <v>0</v>
      </c>
      <c r="N30" s="640">
        <f>SUM(B30:M30)</f>
        <v>0</v>
      </c>
      <c r="O30" s="376"/>
    </row>
    <row r="31" spans="1:19" ht="10.5" customHeight="1">
      <c r="A31" s="381"/>
      <c r="B31" s="380"/>
      <c r="C31" s="380"/>
      <c r="D31" s="380"/>
      <c r="E31" s="380"/>
      <c r="F31" s="380"/>
      <c r="G31" s="380"/>
      <c r="H31" s="380"/>
      <c r="I31" s="380"/>
      <c r="J31" s="380"/>
      <c r="K31" s="380"/>
      <c r="L31" s="380"/>
      <c r="M31" s="380"/>
      <c r="N31" s="382"/>
    </row>
    <row r="32" spans="1:19" ht="15" customHeight="1">
      <c r="A32" s="637" t="s">
        <v>359</v>
      </c>
      <c r="B32" s="550">
        <v>0</v>
      </c>
      <c r="C32" s="550">
        <v>0</v>
      </c>
      <c r="D32" s="550">
        <v>0</v>
      </c>
      <c r="E32" s="550">
        <v>0</v>
      </c>
      <c r="F32" s="550">
        <v>0</v>
      </c>
      <c r="G32" s="550">
        <v>0</v>
      </c>
      <c r="H32" s="550">
        <v>0</v>
      </c>
      <c r="I32" s="550">
        <v>0</v>
      </c>
      <c r="J32" s="551">
        <v>0</v>
      </c>
      <c r="K32" s="551">
        <v>0</v>
      </c>
      <c r="L32" s="550">
        <v>0</v>
      </c>
      <c r="M32" s="550">
        <v>0</v>
      </c>
      <c r="N32" s="641">
        <f>SUM(B32:M32)</f>
        <v>0</v>
      </c>
      <c r="O32" s="383"/>
      <c r="P32" s="383"/>
      <c r="Q32" s="383"/>
      <c r="R32" s="383"/>
      <c r="S32" s="384"/>
    </row>
    <row r="33" spans="1:19" ht="15" customHeight="1">
      <c r="A33" s="672" t="s">
        <v>389</v>
      </c>
      <c r="B33" s="505">
        <f t="shared" ref="B33:M33" si="5">B15+B22+B26+B30+B32</f>
        <v>28.902999999999999</v>
      </c>
      <c r="C33" s="505">
        <f t="shared" si="5"/>
        <v>25.821999999999999</v>
      </c>
      <c r="D33" s="505">
        <f t="shared" si="5"/>
        <v>47.516219999999997</v>
      </c>
      <c r="E33" s="505">
        <f t="shared" si="5"/>
        <v>85.36054</v>
      </c>
      <c r="F33" s="505">
        <f t="shared" si="5"/>
        <v>98.805219999999991</v>
      </c>
      <c r="G33" s="505">
        <f t="shared" si="5"/>
        <v>283.95801</v>
      </c>
      <c r="H33" s="505">
        <f t="shared" si="5"/>
        <v>-81.678709999999995</v>
      </c>
      <c r="I33" s="505">
        <f t="shared" si="5"/>
        <v>159.63072</v>
      </c>
      <c r="J33" s="505">
        <f t="shared" si="5"/>
        <v>8887.2299399999993</v>
      </c>
      <c r="K33" s="505">
        <f t="shared" si="5"/>
        <v>0</v>
      </c>
      <c r="L33" s="505">
        <f t="shared" si="5"/>
        <v>0</v>
      </c>
      <c r="M33" s="505">
        <f t="shared" si="5"/>
        <v>0</v>
      </c>
      <c r="N33" s="673">
        <f>SUM(B33:M33)</f>
        <v>9535.5469400000002</v>
      </c>
      <c r="O33" s="383"/>
      <c r="P33" s="383"/>
      <c r="Q33" s="383"/>
      <c r="R33" s="383"/>
      <c r="S33" s="384"/>
    </row>
    <row r="34" spans="1:19" s="370" customFormat="1" ht="26.25" customHeight="1" thickBot="1">
      <c r="A34" s="503" t="s">
        <v>390</v>
      </c>
      <c r="B34" s="674">
        <f>B33</f>
        <v>28.902999999999999</v>
      </c>
      <c r="C34" s="675">
        <f t="shared" ref="C34:M34" si="6">C33</f>
        <v>25.821999999999999</v>
      </c>
      <c r="D34" s="676">
        <f t="shared" si="6"/>
        <v>47.516219999999997</v>
      </c>
      <c r="E34" s="676">
        <f t="shared" si="6"/>
        <v>85.36054</v>
      </c>
      <c r="F34" s="676">
        <f t="shared" si="6"/>
        <v>98.805219999999991</v>
      </c>
      <c r="G34" s="676">
        <f t="shared" si="6"/>
        <v>283.95801</v>
      </c>
      <c r="H34" s="676">
        <f t="shared" si="6"/>
        <v>-81.678709999999995</v>
      </c>
      <c r="I34" s="676">
        <f t="shared" si="6"/>
        <v>159.63072</v>
      </c>
      <c r="J34" s="676">
        <f t="shared" si="6"/>
        <v>8887.2299399999993</v>
      </c>
      <c r="K34" s="676">
        <f t="shared" si="6"/>
        <v>0</v>
      </c>
      <c r="L34" s="676">
        <f t="shared" si="6"/>
        <v>0</v>
      </c>
      <c r="M34" s="677">
        <f t="shared" si="6"/>
        <v>0</v>
      </c>
      <c r="N34" s="504">
        <f>SUM(B34:M34)</f>
        <v>9535.5469400000002</v>
      </c>
      <c r="O34" s="385"/>
    </row>
    <row r="35" spans="1:19" ht="12.95">
      <c r="A35" s="659"/>
      <c r="B35" s="264"/>
      <c r="C35" s="264"/>
      <c r="D35" s="264"/>
      <c r="E35" s="264"/>
      <c r="F35" s="264"/>
      <c r="G35" s="264"/>
      <c r="H35" s="264"/>
      <c r="I35" s="264"/>
      <c r="J35" s="264"/>
      <c r="K35" s="264"/>
      <c r="L35" s="264"/>
      <c r="M35" s="264"/>
      <c r="N35" s="264"/>
    </row>
    <row r="36" spans="1:19" ht="12.95">
      <c r="A36" s="659" t="s">
        <v>68</v>
      </c>
      <c r="B36" s="264"/>
      <c r="C36" s="264"/>
      <c r="D36" s="264"/>
      <c r="E36" s="264"/>
      <c r="F36" s="264"/>
      <c r="G36" s="264"/>
      <c r="H36" s="264"/>
      <c r="I36" s="264"/>
      <c r="J36" s="264"/>
      <c r="K36" s="264"/>
      <c r="L36" s="264"/>
      <c r="M36" s="264"/>
      <c r="N36" s="264"/>
    </row>
    <row r="37" spans="1:19" ht="14.1">
      <c r="A37" s="660" t="s">
        <v>391</v>
      </c>
      <c r="B37" s="314"/>
      <c r="C37" s="314"/>
      <c r="D37" s="314"/>
      <c r="E37" s="314"/>
      <c r="F37" s="314"/>
      <c r="G37" s="314"/>
      <c r="H37" s="314"/>
      <c r="I37" s="314"/>
      <c r="J37" s="314"/>
      <c r="K37" s="314"/>
      <c r="L37" s="314"/>
      <c r="M37" s="314"/>
      <c r="N37" s="314"/>
    </row>
    <row r="38" spans="1:19" ht="15" customHeight="1">
      <c r="A38" s="66" t="s">
        <v>392</v>
      </c>
      <c r="B38" s="302"/>
      <c r="C38" s="302"/>
      <c r="D38" s="302"/>
      <c r="E38" s="302"/>
      <c r="F38" s="302"/>
      <c r="G38" s="302"/>
      <c r="H38" s="302"/>
      <c r="I38" s="302"/>
      <c r="J38" s="302"/>
      <c r="K38" s="302"/>
      <c r="L38" s="302"/>
      <c r="M38" s="302"/>
      <c r="N38" s="302"/>
    </row>
    <row r="39" spans="1:19" ht="15" customHeight="1">
      <c r="A39" s="66"/>
      <c r="B39" s="302"/>
      <c r="C39" s="302"/>
      <c r="D39" s="302"/>
      <c r="E39" s="302"/>
      <c r="F39" s="302"/>
      <c r="G39" s="302"/>
      <c r="H39" s="302"/>
      <c r="I39" s="302"/>
      <c r="J39" s="302"/>
      <c r="K39" s="302"/>
      <c r="L39" s="302"/>
      <c r="M39" s="302"/>
      <c r="N39" s="302"/>
    </row>
    <row r="40" spans="1:19" s="66" customFormat="1" ht="13.5" customHeight="1">
      <c r="A40" s="648" t="s">
        <v>216</v>
      </c>
    </row>
    <row r="41" spans="1:19" ht="14.45">
      <c r="A41" s="653" t="s">
        <v>84</v>
      </c>
      <c r="E41" s="62"/>
    </row>
    <row r="42" spans="1:19">
      <c r="H42" s="376"/>
    </row>
  </sheetData>
  <printOptions horizontalCentered="1"/>
  <pageMargins left="0" right="0" top="0.55000000000000004" bottom="0.17" header="0.3" footer="0.15"/>
  <pageSetup paperSize="5" scale="85"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582AB-EEA3-486B-833E-43D6F3807422}">
  <sheetPr>
    <pageSetUpPr fitToPage="1"/>
  </sheetPr>
  <dimension ref="A1:S41"/>
  <sheetViews>
    <sheetView showGridLines="0" zoomScaleNormal="100" zoomScaleSheetLayoutView="75" workbookViewId="0">
      <selection activeCell="A37" sqref="A37"/>
    </sheetView>
  </sheetViews>
  <sheetFormatPr defaultColWidth="9.28515625" defaultRowHeight="12.6"/>
  <cols>
    <col min="1" max="1" width="55.28515625" style="369" customWidth="1"/>
    <col min="2" max="13" width="11.5703125" style="369" customWidth="1"/>
    <col min="14" max="14" width="15.7109375" style="369" bestFit="1" customWidth="1"/>
    <col min="15" max="15" width="9.7109375" style="369" bestFit="1" customWidth="1"/>
    <col min="16" max="16" width="22.7109375" style="369" bestFit="1" customWidth="1"/>
    <col min="17" max="17" width="22.28515625" style="369" customWidth="1"/>
    <col min="18" max="16384" width="9.28515625" style="369"/>
  </cols>
  <sheetData>
    <row r="1" spans="1:16" ht="14.45">
      <c r="A1" s="493"/>
    </row>
    <row r="3" spans="1:16" ht="12.95">
      <c r="E3" s="79" t="s">
        <v>380</v>
      </c>
    </row>
    <row r="4" spans="1:16" ht="12.95">
      <c r="C4" s="370"/>
      <c r="D4" s="370"/>
      <c r="E4" s="91" t="s">
        <v>393</v>
      </c>
      <c r="F4" s="370"/>
      <c r="G4" s="370"/>
    </row>
    <row r="5" spans="1:16" ht="12.95">
      <c r="D5" s="370"/>
      <c r="E5" s="107">
        <f>'Program MW '!H3</f>
        <v>44805</v>
      </c>
      <c r="F5" s="370"/>
    </row>
    <row r="6" spans="1:16" ht="12.95">
      <c r="E6" s="107"/>
    </row>
    <row r="7" spans="1:16" ht="13.5" thickBot="1">
      <c r="A7" s="19"/>
    </row>
    <row r="8" spans="1:16" ht="32.25" customHeight="1" thickBot="1">
      <c r="A8" s="231" t="s">
        <v>295</v>
      </c>
      <c r="B8" s="21" t="s">
        <v>41</v>
      </c>
      <c r="C8" s="21" t="s">
        <v>42</v>
      </c>
      <c r="D8" s="21" t="s">
        <v>43</v>
      </c>
      <c r="E8" s="21" t="s">
        <v>44</v>
      </c>
      <c r="F8" s="21" t="s">
        <v>31</v>
      </c>
      <c r="G8" s="21" t="s">
        <v>45</v>
      </c>
      <c r="H8" s="21" t="s">
        <v>58</v>
      </c>
      <c r="I8" s="21" t="s">
        <v>59</v>
      </c>
      <c r="J8" s="21" t="s">
        <v>60</v>
      </c>
      <c r="K8" s="21" t="s">
        <v>61</v>
      </c>
      <c r="L8" s="21" t="s">
        <v>62</v>
      </c>
      <c r="M8" s="21" t="s">
        <v>63</v>
      </c>
      <c r="N8" s="282" t="s">
        <v>349</v>
      </c>
    </row>
    <row r="9" spans="1:16" ht="26.1">
      <c r="A9" s="232" t="s">
        <v>382</v>
      </c>
      <c r="B9" s="371"/>
      <c r="C9" s="371"/>
      <c r="N9" s="372"/>
    </row>
    <row r="10" spans="1:16" ht="6" customHeight="1">
      <c r="A10" s="203"/>
      <c r="B10" s="371"/>
      <c r="C10" s="371"/>
      <c r="N10" s="373"/>
    </row>
    <row r="11" spans="1:16" ht="12.95">
      <c r="A11" s="203" t="s">
        <v>297</v>
      </c>
      <c r="B11" s="371"/>
      <c r="C11" s="371"/>
      <c r="N11" s="373"/>
    </row>
    <row r="12" spans="1:16" ht="15">
      <c r="A12" s="204" t="s">
        <v>394</v>
      </c>
      <c r="B12" s="547">
        <v>0</v>
      </c>
      <c r="C12" s="547">
        <v>0</v>
      </c>
      <c r="D12" s="547">
        <v>0</v>
      </c>
      <c r="E12" s="547">
        <v>0</v>
      </c>
      <c r="F12" s="547">
        <v>0</v>
      </c>
      <c r="G12" s="547">
        <v>19.574999999999999</v>
      </c>
      <c r="H12" s="547">
        <v>-6.0750000000000002</v>
      </c>
      <c r="I12" s="547">
        <v>6.2249999999999996</v>
      </c>
      <c r="J12" s="547">
        <v>13.2</v>
      </c>
      <c r="K12" s="547">
        <v>0</v>
      </c>
      <c r="L12" s="547">
        <v>0</v>
      </c>
      <c r="M12" s="547">
        <v>0</v>
      </c>
      <c r="N12" s="375">
        <f>SUM(B12:M12)</f>
        <v>32.924999999999997</v>
      </c>
    </row>
    <row r="13" spans="1:16" ht="12.95">
      <c r="A13" s="204" t="s">
        <v>395</v>
      </c>
      <c r="B13" s="547">
        <v>264.05085000000003</v>
      </c>
      <c r="C13" s="547">
        <v>0</v>
      </c>
      <c r="D13" s="547">
        <v>0</v>
      </c>
      <c r="E13" s="547">
        <v>266.16406000000001</v>
      </c>
      <c r="F13" s="547">
        <v>0</v>
      </c>
      <c r="G13" s="547">
        <v>594.54098999999997</v>
      </c>
      <c r="H13" s="547">
        <v>0</v>
      </c>
      <c r="I13" s="547">
        <v>0</v>
      </c>
      <c r="J13" s="547">
        <v>0</v>
      </c>
      <c r="K13" s="547">
        <v>0</v>
      </c>
      <c r="L13" s="547">
        <v>0</v>
      </c>
      <c r="M13" s="547">
        <v>0</v>
      </c>
      <c r="N13" s="375">
        <f>SUM(B13:M13)</f>
        <v>1124.7559000000001</v>
      </c>
    </row>
    <row r="14" spans="1:16" ht="12.95">
      <c r="A14" s="324" t="s">
        <v>352</v>
      </c>
      <c r="B14" s="377">
        <f t="shared" ref="B14:M14" si="0">SUM(B12:B13)</f>
        <v>264.05085000000003</v>
      </c>
      <c r="C14" s="377">
        <f t="shared" si="0"/>
        <v>0</v>
      </c>
      <c r="D14" s="377">
        <f t="shared" si="0"/>
        <v>0</v>
      </c>
      <c r="E14" s="377">
        <f t="shared" si="0"/>
        <v>266.16406000000001</v>
      </c>
      <c r="F14" s="377">
        <f t="shared" si="0"/>
        <v>0</v>
      </c>
      <c r="G14" s="377">
        <f t="shared" si="0"/>
        <v>614.11599000000001</v>
      </c>
      <c r="H14" s="377">
        <f t="shared" si="0"/>
        <v>-6.0750000000000002</v>
      </c>
      <c r="I14" s="377">
        <f t="shared" si="0"/>
        <v>6.2249999999999996</v>
      </c>
      <c r="J14" s="377">
        <f t="shared" si="0"/>
        <v>13.2</v>
      </c>
      <c r="K14" s="377">
        <f t="shared" si="0"/>
        <v>0</v>
      </c>
      <c r="L14" s="377">
        <f t="shared" si="0"/>
        <v>0</v>
      </c>
      <c r="M14" s="377">
        <f t="shared" si="0"/>
        <v>0</v>
      </c>
      <c r="N14" s="640">
        <f>SUM(B14:M14)</f>
        <v>1157.6808999999998</v>
      </c>
    </row>
    <row r="15" spans="1:16">
      <c r="A15" s="373"/>
      <c r="B15" s="374"/>
      <c r="C15" s="374"/>
      <c r="D15" s="374"/>
      <c r="E15" s="374"/>
      <c r="F15" s="374"/>
      <c r="G15" s="374"/>
      <c r="H15" s="374"/>
      <c r="I15" s="374"/>
      <c r="J15" s="374" t="s">
        <v>67</v>
      </c>
      <c r="K15" s="374"/>
      <c r="L15" s="374"/>
      <c r="M15" s="374"/>
      <c r="N15" s="375"/>
      <c r="P15" s="378"/>
    </row>
    <row r="16" spans="1:16" ht="12.95">
      <c r="A16" s="203" t="s">
        <v>368</v>
      </c>
      <c r="B16" s="374"/>
      <c r="C16" s="374"/>
      <c r="D16" s="374"/>
      <c r="E16" s="374"/>
      <c r="F16" s="374"/>
      <c r="G16" s="374"/>
      <c r="H16" s="374"/>
      <c r="I16" s="374"/>
      <c r="J16" s="374"/>
      <c r="K16" s="374"/>
      <c r="L16" s="374"/>
      <c r="M16" s="374"/>
      <c r="N16" s="375"/>
      <c r="P16" s="378"/>
    </row>
    <row r="17" spans="1:19" ht="12.95">
      <c r="A17" s="204" t="s">
        <v>385</v>
      </c>
      <c r="B17" s="547">
        <v>0</v>
      </c>
      <c r="C17" s="547">
        <v>0</v>
      </c>
      <c r="D17" s="547">
        <v>0</v>
      </c>
      <c r="E17" s="547">
        <v>0</v>
      </c>
      <c r="F17" s="547">
        <v>0</v>
      </c>
      <c r="G17" s="547">
        <v>0</v>
      </c>
      <c r="H17" s="547">
        <v>0</v>
      </c>
      <c r="I17" s="547">
        <v>0</v>
      </c>
      <c r="J17" s="547">
        <v>0</v>
      </c>
      <c r="K17" s="547">
        <v>0</v>
      </c>
      <c r="L17" s="547">
        <v>0</v>
      </c>
      <c r="M17" s="547">
        <v>0</v>
      </c>
      <c r="N17" s="375">
        <f>SUM(B17:M17)</f>
        <v>0</v>
      </c>
      <c r="P17" s="378"/>
    </row>
    <row r="18" spans="1:19" ht="12.95">
      <c r="A18" s="204" t="s">
        <v>386</v>
      </c>
      <c r="B18" s="547">
        <v>0</v>
      </c>
      <c r="C18" s="547">
        <v>0</v>
      </c>
      <c r="D18" s="547">
        <v>0</v>
      </c>
      <c r="E18" s="547">
        <v>0</v>
      </c>
      <c r="F18" s="547">
        <v>0</v>
      </c>
      <c r="G18" s="547">
        <v>0</v>
      </c>
      <c r="H18" s="547">
        <v>0</v>
      </c>
      <c r="I18" s="547">
        <v>0</v>
      </c>
      <c r="J18" s="547">
        <v>0</v>
      </c>
      <c r="K18" s="547">
        <v>0</v>
      </c>
      <c r="L18" s="547">
        <v>0</v>
      </c>
      <c r="M18" s="547">
        <v>0</v>
      </c>
      <c r="N18" s="375">
        <f>SUM(B18:M18)</f>
        <v>0</v>
      </c>
      <c r="P18" s="378"/>
    </row>
    <row r="19" spans="1:19" ht="12.95">
      <c r="A19" s="204" t="s">
        <v>387</v>
      </c>
      <c r="B19" s="547">
        <v>0</v>
      </c>
      <c r="C19" s="547">
        <v>0</v>
      </c>
      <c r="D19" s="547">
        <v>0</v>
      </c>
      <c r="E19" s="547">
        <v>0</v>
      </c>
      <c r="F19" s="547">
        <v>0</v>
      </c>
      <c r="G19" s="547">
        <v>0</v>
      </c>
      <c r="H19" s="547">
        <v>0</v>
      </c>
      <c r="I19" s="547">
        <v>0</v>
      </c>
      <c r="J19" s="547">
        <v>0</v>
      </c>
      <c r="K19" s="547">
        <v>0</v>
      </c>
      <c r="L19" s="547">
        <v>0</v>
      </c>
      <c r="M19" s="547">
        <v>0</v>
      </c>
      <c r="N19" s="375">
        <f>SUM(B19:M19)</f>
        <v>0</v>
      </c>
      <c r="P19" s="378"/>
    </row>
    <row r="20" spans="1:19" ht="12.95">
      <c r="A20" s="206" t="s">
        <v>388</v>
      </c>
      <c r="B20" s="547">
        <v>0</v>
      </c>
      <c r="C20" s="547">
        <v>0</v>
      </c>
      <c r="D20" s="547">
        <v>0</v>
      </c>
      <c r="E20" s="547">
        <v>0</v>
      </c>
      <c r="F20" s="547">
        <v>0</v>
      </c>
      <c r="G20" s="547">
        <v>0</v>
      </c>
      <c r="H20" s="547">
        <v>0</v>
      </c>
      <c r="I20" s="547">
        <v>0</v>
      </c>
      <c r="J20" s="547">
        <v>0</v>
      </c>
      <c r="K20" s="547">
        <v>0</v>
      </c>
      <c r="L20" s="547">
        <v>0</v>
      </c>
      <c r="M20" s="547">
        <v>0</v>
      </c>
      <c r="N20" s="375">
        <f>SUM(B20:M20)</f>
        <v>0</v>
      </c>
      <c r="P20" s="378"/>
    </row>
    <row r="21" spans="1:19" ht="12.95">
      <c r="A21" s="637" t="s">
        <v>355</v>
      </c>
      <c r="B21" s="377">
        <f t="shared" ref="B21:M21" si="1">SUM(B17:B20)</f>
        <v>0</v>
      </c>
      <c r="C21" s="377">
        <f t="shared" si="1"/>
        <v>0</v>
      </c>
      <c r="D21" s="377">
        <f t="shared" si="1"/>
        <v>0</v>
      </c>
      <c r="E21" s="377">
        <f t="shared" si="1"/>
        <v>0</v>
      </c>
      <c r="F21" s="377">
        <f t="shared" si="1"/>
        <v>0</v>
      </c>
      <c r="G21" s="377">
        <f t="shared" si="1"/>
        <v>0</v>
      </c>
      <c r="H21" s="377">
        <f t="shared" si="1"/>
        <v>0</v>
      </c>
      <c r="I21" s="377">
        <f t="shared" si="1"/>
        <v>0</v>
      </c>
      <c r="J21" s="377">
        <f t="shared" si="1"/>
        <v>0</v>
      </c>
      <c r="K21" s="377">
        <f t="shared" si="1"/>
        <v>0</v>
      </c>
      <c r="L21" s="377">
        <f t="shared" si="1"/>
        <v>0</v>
      </c>
      <c r="M21" s="377">
        <f t="shared" si="1"/>
        <v>0</v>
      </c>
      <c r="N21" s="640">
        <f>SUM(B21:M21)</f>
        <v>0</v>
      </c>
      <c r="P21" s="378"/>
    </row>
    <row r="22" spans="1:19" ht="12.95">
      <c r="A22" s="206"/>
      <c r="B22" s="374"/>
      <c r="C22" s="374"/>
      <c r="D22" s="374"/>
      <c r="E22" s="374"/>
      <c r="F22" s="374"/>
      <c r="G22" s="374"/>
      <c r="H22" s="374"/>
      <c r="I22" s="374"/>
      <c r="J22" s="374"/>
      <c r="K22" s="374"/>
      <c r="L22" s="374"/>
      <c r="M22" s="374"/>
      <c r="N22" s="375"/>
      <c r="P22" s="378"/>
    </row>
    <row r="23" spans="1:19" ht="12.95">
      <c r="A23" s="203"/>
      <c r="B23" s="374" t="s">
        <v>67</v>
      </c>
      <c r="C23" s="374" t="s">
        <v>67</v>
      </c>
      <c r="D23" s="374" t="s">
        <v>67</v>
      </c>
      <c r="E23" s="374"/>
      <c r="F23" s="374" t="s">
        <v>67</v>
      </c>
      <c r="G23" s="374"/>
      <c r="H23" s="379" t="s">
        <v>67</v>
      </c>
      <c r="I23" s="379" t="s">
        <v>67</v>
      </c>
      <c r="J23" s="379" t="s">
        <v>67</v>
      </c>
      <c r="K23" s="379" t="s">
        <v>67</v>
      </c>
      <c r="L23" s="379" t="s">
        <v>67</v>
      </c>
      <c r="M23" s="379" t="s">
        <v>67</v>
      </c>
      <c r="N23" s="375" t="s">
        <v>67</v>
      </c>
      <c r="P23" s="378"/>
    </row>
    <row r="24" spans="1:19" ht="12.95">
      <c r="A24" s="203" t="s">
        <v>356</v>
      </c>
      <c r="B24" s="547">
        <v>0</v>
      </c>
      <c r="C24" s="547">
        <v>0</v>
      </c>
      <c r="D24" s="547">
        <v>0</v>
      </c>
      <c r="E24" s="547">
        <v>0</v>
      </c>
      <c r="F24" s="547">
        <v>0</v>
      </c>
      <c r="G24" s="547">
        <v>0</v>
      </c>
      <c r="H24" s="548">
        <v>0</v>
      </c>
      <c r="I24" s="548">
        <v>0</v>
      </c>
      <c r="J24" s="548">
        <v>0</v>
      </c>
      <c r="K24" s="548">
        <v>0</v>
      </c>
      <c r="L24" s="548">
        <v>0</v>
      </c>
      <c r="M24" s="548">
        <v>0</v>
      </c>
      <c r="N24" s="375">
        <f>SUM(B24:M24)</f>
        <v>0</v>
      </c>
      <c r="P24" s="378"/>
    </row>
    <row r="25" spans="1:19" ht="12.95">
      <c r="A25" s="638" t="s">
        <v>358</v>
      </c>
      <c r="B25" s="377">
        <f t="shared" ref="B25:M25" si="2">SUM(B24:B24)</f>
        <v>0</v>
      </c>
      <c r="C25" s="377">
        <f t="shared" si="2"/>
        <v>0</v>
      </c>
      <c r="D25" s="377">
        <f t="shared" si="2"/>
        <v>0</v>
      </c>
      <c r="E25" s="377">
        <f t="shared" si="2"/>
        <v>0</v>
      </c>
      <c r="F25" s="377">
        <f t="shared" si="2"/>
        <v>0</v>
      </c>
      <c r="G25" s="377">
        <f t="shared" si="2"/>
        <v>0</v>
      </c>
      <c r="H25" s="377">
        <f t="shared" si="2"/>
        <v>0</v>
      </c>
      <c r="I25" s="377">
        <f t="shared" si="2"/>
        <v>0</v>
      </c>
      <c r="J25" s="377">
        <f t="shared" si="2"/>
        <v>0</v>
      </c>
      <c r="K25" s="377">
        <f t="shared" si="2"/>
        <v>0</v>
      </c>
      <c r="L25" s="377">
        <f t="shared" si="2"/>
        <v>0</v>
      </c>
      <c r="M25" s="377">
        <f t="shared" si="2"/>
        <v>0</v>
      </c>
      <c r="N25" s="640">
        <f>SUM(B25:M25)</f>
        <v>0</v>
      </c>
      <c r="P25" s="378"/>
    </row>
    <row r="26" spans="1:19" ht="12.95">
      <c r="A26" s="207"/>
      <c r="B26" s="374"/>
      <c r="C26" s="374"/>
      <c r="D26" s="374"/>
      <c r="E26" s="374"/>
      <c r="F26" s="374"/>
      <c r="G26" s="380"/>
      <c r="H26" s="374"/>
      <c r="I26" s="380"/>
      <c r="J26" s="374"/>
      <c r="K26" s="374"/>
      <c r="L26" s="380"/>
      <c r="M26" s="374"/>
      <c r="N26" s="375"/>
    </row>
    <row r="27" spans="1:19" ht="12.95">
      <c r="A27" s="208"/>
      <c r="B27" s="374"/>
      <c r="C27" s="374"/>
      <c r="D27" s="374"/>
      <c r="E27" s="374"/>
      <c r="F27" s="374"/>
      <c r="G27" s="374"/>
      <c r="H27" s="374"/>
      <c r="I27" s="374"/>
      <c r="J27" s="374"/>
      <c r="K27" s="374"/>
      <c r="L27" s="374"/>
      <c r="M27" s="374"/>
      <c r="N27" s="375"/>
    </row>
    <row r="28" spans="1:19" ht="12.95">
      <c r="A28" s="208" t="s">
        <v>323</v>
      </c>
      <c r="B28" s="547">
        <v>0</v>
      </c>
      <c r="C28" s="547">
        <v>0</v>
      </c>
      <c r="D28" s="547">
        <v>0</v>
      </c>
      <c r="E28" s="547">
        <v>0</v>
      </c>
      <c r="F28" s="547">
        <v>0</v>
      </c>
      <c r="G28" s="547">
        <v>0</v>
      </c>
      <c r="H28" s="548">
        <v>0</v>
      </c>
      <c r="I28" s="548">
        <v>0</v>
      </c>
      <c r="J28" s="548">
        <v>0</v>
      </c>
      <c r="K28" s="548">
        <v>0</v>
      </c>
      <c r="L28" s="548">
        <v>0</v>
      </c>
      <c r="M28" s="548">
        <v>0</v>
      </c>
      <c r="N28" s="375">
        <f>SUM(B28:M28)</f>
        <v>0</v>
      </c>
    </row>
    <row r="29" spans="1:19" ht="12.95">
      <c r="A29" s="639" t="s">
        <v>334</v>
      </c>
      <c r="B29" s="377">
        <f t="shared" ref="B29:G29" si="3">SUM(B28:B28)</f>
        <v>0</v>
      </c>
      <c r="C29" s="377">
        <f t="shared" si="3"/>
        <v>0</v>
      </c>
      <c r="D29" s="377">
        <f t="shared" si="3"/>
        <v>0</v>
      </c>
      <c r="E29" s="377">
        <f t="shared" si="3"/>
        <v>0</v>
      </c>
      <c r="F29" s="377">
        <f t="shared" si="3"/>
        <v>0</v>
      </c>
      <c r="G29" s="377">
        <f t="shared" si="3"/>
        <v>0</v>
      </c>
      <c r="H29" s="377">
        <f>SUM(H27:H28)</f>
        <v>0</v>
      </c>
      <c r="I29" s="377">
        <f>SUM(I27:I28)</f>
        <v>0</v>
      </c>
      <c r="J29" s="377">
        <f>SUM(J28:J28)</f>
        <v>0</v>
      </c>
      <c r="K29" s="377">
        <f>SUM(K28:K28)</f>
        <v>0</v>
      </c>
      <c r="L29" s="377">
        <f>SUM(L28:L28)</f>
        <v>0</v>
      </c>
      <c r="M29" s="377">
        <f>SUM(M28:M28)</f>
        <v>0</v>
      </c>
      <c r="N29" s="640">
        <f>SUM(B29:M29)</f>
        <v>0</v>
      </c>
      <c r="O29" s="376"/>
    </row>
    <row r="30" spans="1:19" ht="10.5" customHeight="1">
      <c r="A30" s="381"/>
      <c r="B30" s="380"/>
      <c r="C30" s="380"/>
      <c r="D30" s="380"/>
      <c r="E30" s="380"/>
      <c r="F30" s="380"/>
      <c r="G30" s="380"/>
      <c r="H30" s="380"/>
      <c r="I30" s="380"/>
      <c r="J30" s="380"/>
      <c r="K30" s="380"/>
      <c r="L30" s="380"/>
      <c r="M30" s="380"/>
      <c r="N30" s="382"/>
    </row>
    <row r="31" spans="1:19" ht="15" customHeight="1">
      <c r="A31" s="637" t="s">
        <v>359</v>
      </c>
      <c r="B31" s="550">
        <v>0</v>
      </c>
      <c r="C31" s="550">
        <v>0</v>
      </c>
      <c r="D31" s="550">
        <v>0</v>
      </c>
      <c r="E31" s="550">
        <v>0</v>
      </c>
      <c r="F31" s="550">
        <v>0</v>
      </c>
      <c r="G31" s="550">
        <v>0</v>
      </c>
      <c r="H31" s="550">
        <v>0</v>
      </c>
      <c r="I31" s="550">
        <v>0</v>
      </c>
      <c r="J31" s="551">
        <v>0</v>
      </c>
      <c r="K31" s="551">
        <v>0</v>
      </c>
      <c r="L31" s="550">
        <v>0</v>
      </c>
      <c r="M31" s="550">
        <v>0</v>
      </c>
      <c r="N31" s="641">
        <f>SUM(B31:M31)</f>
        <v>0</v>
      </c>
      <c r="O31" s="383"/>
      <c r="P31" s="383"/>
      <c r="Q31" s="383"/>
      <c r="R31" s="383"/>
      <c r="S31" s="384"/>
    </row>
    <row r="32" spans="1:19" ht="15" customHeight="1" thickBot="1">
      <c r="A32" s="629" t="s">
        <v>389</v>
      </c>
      <c r="B32" s="630">
        <f t="shared" ref="B32:M32" si="4">B14+B21+B25+B29+B31</f>
        <v>264.05085000000003</v>
      </c>
      <c r="C32" s="338">
        <f t="shared" si="4"/>
        <v>0</v>
      </c>
      <c r="D32" s="338">
        <f t="shared" si="4"/>
        <v>0</v>
      </c>
      <c r="E32" s="338">
        <f t="shared" si="4"/>
        <v>266.16406000000001</v>
      </c>
      <c r="F32" s="338">
        <f t="shared" si="4"/>
        <v>0</v>
      </c>
      <c r="G32" s="338">
        <f t="shared" si="4"/>
        <v>614.11599000000001</v>
      </c>
      <c r="H32" s="338">
        <f t="shared" si="4"/>
        <v>-6.0750000000000002</v>
      </c>
      <c r="I32" s="338">
        <f t="shared" si="4"/>
        <v>6.2249999999999996</v>
      </c>
      <c r="J32" s="338">
        <f t="shared" si="4"/>
        <v>13.2</v>
      </c>
      <c r="K32" s="338">
        <f t="shared" si="4"/>
        <v>0</v>
      </c>
      <c r="L32" s="338">
        <f t="shared" si="4"/>
        <v>0</v>
      </c>
      <c r="M32" s="338">
        <f t="shared" si="4"/>
        <v>0</v>
      </c>
      <c r="N32" s="339">
        <f>SUM(B32:M32)</f>
        <v>1157.6808999999998</v>
      </c>
      <c r="O32" s="383"/>
      <c r="P32" s="383"/>
      <c r="Q32" s="383"/>
      <c r="R32" s="383"/>
      <c r="S32" s="384"/>
    </row>
    <row r="33" spans="1:15" s="370" customFormat="1" ht="26.25" customHeight="1" thickBot="1">
      <c r="A33" s="503" t="s">
        <v>390</v>
      </c>
      <c r="B33" s="627">
        <f>B32+0.079</f>
        <v>264.12985000000003</v>
      </c>
      <c r="C33" s="631">
        <f>C32+0.092</f>
        <v>9.1999999999999998E-2</v>
      </c>
      <c r="D33" s="631">
        <f>D32+0.098</f>
        <v>9.8000000000000004E-2</v>
      </c>
      <c r="E33" s="631">
        <f>E32+0.268</f>
        <v>266.43205999999998</v>
      </c>
      <c r="F33" s="631">
        <f>F32+0.348</f>
        <v>0.34799999999999998</v>
      </c>
      <c r="G33" s="631">
        <f>G32+0.545</f>
        <v>614.66098999999997</v>
      </c>
      <c r="H33" s="631">
        <f>H32+0.633</f>
        <v>-5.4420000000000002</v>
      </c>
      <c r="I33" s="631">
        <f>I32+1.001</f>
        <v>7.2259999999999991</v>
      </c>
      <c r="J33" s="631">
        <f>J32+0.566</f>
        <v>13.766</v>
      </c>
      <c r="K33" s="631">
        <f t="shared" ref="K33:M33" si="5">K32</f>
        <v>0</v>
      </c>
      <c r="L33" s="631">
        <f t="shared" si="5"/>
        <v>0</v>
      </c>
      <c r="M33" s="632">
        <f t="shared" si="5"/>
        <v>0</v>
      </c>
      <c r="N33" s="628">
        <f>SUM(B33:M33)</f>
        <v>1161.3108999999999</v>
      </c>
      <c r="O33" s="385"/>
    </row>
    <row r="34" spans="1:15" ht="12.95">
      <c r="A34" s="31"/>
      <c r="B34" s="264"/>
      <c r="C34" s="264"/>
      <c r="D34" s="264"/>
      <c r="E34" s="264"/>
      <c r="F34" s="264"/>
      <c r="G34" s="264"/>
      <c r="H34" s="264"/>
      <c r="I34" s="264"/>
      <c r="J34" s="264"/>
      <c r="K34" s="264"/>
      <c r="L34" s="264"/>
      <c r="M34" s="264"/>
      <c r="N34" s="264"/>
    </row>
    <row r="35" spans="1:15" ht="12.95">
      <c r="A35" s="659" t="s">
        <v>68</v>
      </c>
      <c r="B35" s="264"/>
      <c r="C35" s="264"/>
      <c r="D35" s="264"/>
      <c r="E35" s="264"/>
      <c r="F35" s="264"/>
      <c r="G35" s="264"/>
      <c r="H35" s="264"/>
      <c r="I35" s="264"/>
      <c r="J35" s="264"/>
      <c r="K35" s="264"/>
      <c r="L35" s="264"/>
      <c r="M35" s="264"/>
      <c r="N35" s="264"/>
    </row>
    <row r="36" spans="1:15" ht="14.1">
      <c r="A36" s="660" t="s">
        <v>396</v>
      </c>
      <c r="B36" s="314"/>
      <c r="C36" s="314"/>
      <c r="D36" s="314"/>
      <c r="E36" s="314"/>
      <c r="F36" s="314"/>
      <c r="G36" s="314"/>
      <c r="H36" s="314"/>
      <c r="I36" s="314"/>
      <c r="J36" s="314"/>
      <c r="K36" s="314"/>
      <c r="L36" s="314"/>
      <c r="M36" s="314"/>
      <c r="N36" s="314"/>
    </row>
    <row r="37" spans="1:15" ht="15">
      <c r="A37" s="66" t="s">
        <v>392</v>
      </c>
      <c r="B37" s="302"/>
      <c r="C37" s="302"/>
      <c r="D37" s="302"/>
      <c r="E37" s="302"/>
      <c r="F37" s="302"/>
      <c r="G37" s="302"/>
      <c r="H37" s="302"/>
      <c r="I37" s="302"/>
      <c r="J37" s="302"/>
      <c r="K37" s="302"/>
      <c r="L37" s="302"/>
      <c r="M37" s="302"/>
      <c r="N37" s="302"/>
    </row>
    <row r="38" spans="1:15" ht="14.1">
      <c r="A38" s="66"/>
      <c r="B38" s="302"/>
      <c r="C38" s="302"/>
      <c r="D38" s="302"/>
      <c r="E38" s="302"/>
      <c r="F38" s="302"/>
      <c r="G38" s="302"/>
      <c r="H38" s="302"/>
      <c r="I38" s="302"/>
      <c r="J38" s="302"/>
      <c r="K38" s="302"/>
      <c r="L38" s="302"/>
      <c r="M38" s="302"/>
      <c r="N38" s="302"/>
    </row>
    <row r="39" spans="1:15" s="66" customFormat="1" ht="13.5" customHeight="1">
      <c r="A39" s="648" t="s">
        <v>216</v>
      </c>
    </row>
    <row r="40" spans="1:15" ht="14.45">
      <c r="A40" s="653" t="s">
        <v>84</v>
      </c>
      <c r="E40" s="62"/>
    </row>
    <row r="41" spans="1:15">
      <c r="H41" s="376"/>
    </row>
  </sheetData>
  <printOptions horizontalCentered="1"/>
  <pageMargins left="0" right="0" top="0.55000000000000004" bottom="0.17" header="0.3" footer="0.15"/>
  <pageSetup paperSize="5" scale="85"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AE65"/>
  <sheetViews>
    <sheetView showGridLines="0" showRuler="0" zoomScale="90" zoomScaleNormal="90" zoomScaleSheetLayoutView="80" workbookViewId="0"/>
  </sheetViews>
  <sheetFormatPr defaultColWidth="9.28515625" defaultRowHeight="12.6"/>
  <cols>
    <col min="1" max="1" width="41.7109375" style="9" customWidth="1"/>
    <col min="2" max="2" width="11.28515625" style="9" customWidth="1"/>
    <col min="3" max="3" width="12.28515625" style="9" customWidth="1"/>
    <col min="4" max="4" width="12.7109375" style="9" customWidth="1"/>
    <col min="5" max="5" width="17.140625" style="9" bestFit="1" customWidth="1"/>
    <col min="6" max="6" width="10.28515625" style="9" customWidth="1"/>
    <col min="7" max="7" width="10.85546875" style="9" customWidth="1"/>
    <col min="8" max="8" width="11.28515625" style="9" customWidth="1"/>
    <col min="9" max="9" width="11.5703125" style="9" bestFit="1" customWidth="1"/>
    <col min="10" max="10" width="10.7109375" style="9" customWidth="1"/>
    <col min="11" max="14" width="12.5703125" style="9" customWidth="1"/>
    <col min="15" max="15" width="12.28515625" style="9" customWidth="1"/>
    <col min="16" max="16" width="12.5703125" style="9" customWidth="1"/>
    <col min="17" max="17" width="10.7109375" style="9" customWidth="1"/>
    <col min="18" max="18" width="11" style="9" customWidth="1"/>
    <col min="19" max="19" width="11.28515625" style="9" customWidth="1"/>
    <col min="20" max="20" width="14.28515625" style="9" hidden="1" customWidth="1"/>
    <col min="21" max="21" width="9.7109375" style="9" customWidth="1"/>
    <col min="22" max="22" width="25" style="9" bestFit="1" customWidth="1"/>
    <col min="23" max="23" width="11" style="9" customWidth="1"/>
    <col min="24" max="25" width="9.7109375" style="9" customWidth="1"/>
    <col min="26" max="26" width="12.7109375" style="9" customWidth="1"/>
    <col min="27" max="27" width="8.7109375" style="9" bestFit="1" customWidth="1"/>
    <col min="28" max="28" width="10.5703125" style="9" customWidth="1"/>
    <col min="29" max="29" width="9.7109375" style="9" bestFit="1" customWidth="1"/>
    <col min="30" max="30" width="11.28515625" style="9" customWidth="1"/>
    <col min="31" max="31" width="9.7109375" style="9" bestFit="1" customWidth="1"/>
    <col min="32" max="32" width="10.7109375" style="9" customWidth="1"/>
    <col min="33" max="33" width="12.28515625" style="9" bestFit="1" customWidth="1"/>
    <col min="34" max="34" width="12.28515625" style="9" customWidth="1"/>
    <col min="35" max="35" width="9.5703125" style="9" bestFit="1" customWidth="1"/>
    <col min="36" max="36" width="11.28515625" style="9" customWidth="1"/>
    <col min="37" max="37" width="11.7109375" style="9" bestFit="1" customWidth="1"/>
    <col min="38" max="38" width="11.7109375" style="9" customWidth="1"/>
    <col min="39" max="16384" width="9.28515625" style="9"/>
  </cols>
  <sheetData>
    <row r="1" spans="1:31" ht="12.95">
      <c r="H1" s="79" t="s">
        <v>39</v>
      </c>
    </row>
    <row r="2" spans="1:31" ht="12.95">
      <c r="H2" s="79" t="s">
        <v>40</v>
      </c>
      <c r="Q2" s="11"/>
      <c r="R2" s="52"/>
    </row>
    <row r="3" spans="1:31" ht="12.95">
      <c r="C3" s="83"/>
      <c r="E3" s="83"/>
      <c r="G3" s="83"/>
      <c r="H3" s="107">
        <v>44805</v>
      </c>
      <c r="I3" s="83"/>
    </row>
    <row r="4" spans="1:31" hidden="1">
      <c r="C4" s="9">
        <v>2</v>
      </c>
      <c r="D4" s="9">
        <f>C4</f>
        <v>2</v>
      </c>
      <c r="F4" s="9">
        <f>C4+1</f>
        <v>3</v>
      </c>
      <c r="G4" s="9">
        <f>F4</f>
        <v>3</v>
      </c>
      <c r="I4" s="9">
        <f>F4+1</f>
        <v>4</v>
      </c>
      <c r="J4" s="9">
        <f>I4</f>
        <v>4</v>
      </c>
      <c r="L4" s="9">
        <f>I4+1</f>
        <v>5</v>
      </c>
      <c r="M4" s="9">
        <f>L4</f>
        <v>5</v>
      </c>
      <c r="O4" s="9">
        <f>L4+1</f>
        <v>6</v>
      </c>
      <c r="P4" s="9">
        <f>O4</f>
        <v>6</v>
      </c>
      <c r="R4" s="9">
        <f>O4+1</f>
        <v>7</v>
      </c>
      <c r="S4" s="9">
        <f>R4</f>
        <v>7</v>
      </c>
    </row>
    <row r="5" spans="1:31" ht="12.95">
      <c r="C5" s="53"/>
    </row>
    <row r="6" spans="1:31" ht="12.95">
      <c r="A6" s="54"/>
      <c r="B6" s="395"/>
      <c r="C6" s="396" t="s">
        <v>41</v>
      </c>
      <c r="D6" s="519">
        <f>DATE(YEAR($H$3),1,1)</f>
        <v>44562</v>
      </c>
      <c r="E6" s="395"/>
      <c r="F6" s="395" t="s">
        <v>42</v>
      </c>
      <c r="G6" s="519">
        <f>DATE(YEAR($H$3),1,1)</f>
        <v>44562</v>
      </c>
      <c r="H6" s="395"/>
      <c r="I6" s="395" t="s">
        <v>43</v>
      </c>
      <c r="J6" s="519">
        <f>DATE(YEAR($H$3),1,1)</f>
        <v>44562</v>
      </c>
      <c r="K6" s="395"/>
      <c r="L6" s="395" t="s">
        <v>44</v>
      </c>
      <c r="M6" s="519">
        <f>DATE(YEAR($H$3),1,1)</f>
        <v>44562</v>
      </c>
      <c r="N6" s="395"/>
      <c r="O6" s="395" t="s">
        <v>31</v>
      </c>
      <c r="P6" s="519">
        <f>DATE(YEAR($H$3),1,1)</f>
        <v>44562</v>
      </c>
      <c r="Q6" s="395"/>
      <c r="R6" s="395" t="s">
        <v>45</v>
      </c>
      <c r="S6" s="519">
        <f>DATE(YEAR($H$3),1,1)</f>
        <v>44562</v>
      </c>
      <c r="T6" s="98"/>
    </row>
    <row r="7" spans="1:31" ht="42.6">
      <c r="A7" s="397" t="s">
        <v>46</v>
      </c>
      <c r="B7" s="398" t="s">
        <v>47</v>
      </c>
      <c r="C7" s="399" t="s">
        <v>48</v>
      </c>
      <c r="D7" s="400" t="s">
        <v>49</v>
      </c>
      <c r="E7" s="401" t="s">
        <v>47</v>
      </c>
      <c r="F7" s="399" t="s">
        <v>48</v>
      </c>
      <c r="G7" s="400" t="s">
        <v>49</v>
      </c>
      <c r="H7" s="401" t="s">
        <v>47</v>
      </c>
      <c r="I7" s="399" t="s">
        <v>48</v>
      </c>
      <c r="J7" s="400" t="s">
        <v>49</v>
      </c>
      <c r="K7" s="401" t="s">
        <v>47</v>
      </c>
      <c r="L7" s="399" t="s">
        <v>48</v>
      </c>
      <c r="M7" s="400" t="s">
        <v>49</v>
      </c>
      <c r="N7" s="401" t="s">
        <v>47</v>
      </c>
      <c r="O7" s="399" t="s">
        <v>48</v>
      </c>
      <c r="P7" s="400" t="s">
        <v>49</v>
      </c>
      <c r="Q7" s="401" t="s">
        <v>47</v>
      </c>
      <c r="R7" s="399" t="s">
        <v>48</v>
      </c>
      <c r="S7" s="400" t="s">
        <v>49</v>
      </c>
      <c r="T7" s="400" t="s">
        <v>50</v>
      </c>
    </row>
    <row r="8" spans="1:31" ht="12.95">
      <c r="A8" s="402" t="s">
        <v>51</v>
      </c>
      <c r="B8" s="403"/>
      <c r="C8" s="403"/>
      <c r="D8" s="404"/>
      <c r="E8" s="405"/>
      <c r="F8" s="403"/>
      <c r="G8" s="404"/>
      <c r="H8" s="405"/>
      <c r="I8" s="403"/>
      <c r="J8" s="403"/>
      <c r="K8" s="405"/>
      <c r="L8" s="403"/>
      <c r="M8" s="406"/>
      <c r="N8" s="405"/>
      <c r="O8" s="403"/>
      <c r="P8" s="406"/>
      <c r="Q8" s="405"/>
      <c r="R8" s="403"/>
      <c r="S8" s="406"/>
      <c r="T8" s="407"/>
    </row>
    <row r="9" spans="1:31">
      <c r="A9" s="51" t="s">
        <v>8</v>
      </c>
      <c r="B9" s="61">
        <v>0</v>
      </c>
      <c r="C9" s="214">
        <f>B9*(INDEX('Ex ante LI &amp; Eligibility Stats'!$A:$M,MATCH('Program MW '!$A9,'Ex ante LI &amp; Eligibility Stats'!$A:$A,0),MATCH('Program MW '!C$6,'Ex ante LI &amp; Eligibility Stats'!$A$8:$M$8,0))/1000)</f>
        <v>0</v>
      </c>
      <c r="D9" s="210">
        <f>B9*(INDEX('Ex post LI &amp; Eligibility Stats'!$A:$N,MATCH($A9,'Ex post LI &amp; Eligibility Stats'!$A:$A,0),MATCH('Program MW '!C$6,'Ex post LI &amp; Eligibility Stats'!$A$8:$N$8,0))/1000)</f>
        <v>0</v>
      </c>
      <c r="E9" s="13">
        <v>0</v>
      </c>
      <c r="F9" s="210">
        <f>E9*(INDEX('Ex ante LI &amp; Eligibility Stats'!$A:$M,MATCH('Program MW '!$A9,'Ex ante LI &amp; Eligibility Stats'!$A:$A,0),MATCH('Program MW '!F$6,'Ex ante LI &amp; Eligibility Stats'!$A$8:$M$8,0))/1000)</f>
        <v>0</v>
      </c>
      <c r="G9" s="210">
        <f>E9*(INDEX('Ex post LI &amp; Eligibility Stats'!$A:$N,MATCH($A9,'Ex post LI &amp; Eligibility Stats'!$A:$A,0),MATCH('Program MW '!F$6,'Ex post LI &amp; Eligibility Stats'!$A$8:$N$8,0))/1000)</f>
        <v>0</v>
      </c>
      <c r="H9" s="13">
        <v>0</v>
      </c>
      <c r="I9" s="210">
        <f>H9*(INDEX('Ex ante LI &amp; Eligibility Stats'!$A:$M,MATCH('Program MW '!$A9,'Ex ante LI &amp; Eligibility Stats'!$A:$A,0),MATCH('Program MW '!I$6,'Ex ante LI &amp; Eligibility Stats'!$A$8:$M$8,0))/1000)</f>
        <v>0</v>
      </c>
      <c r="J9" s="210">
        <f>H9*(INDEX('Ex post LI &amp; Eligibility Stats'!$A:$N,MATCH($A9,'Ex post LI &amp; Eligibility Stats'!$A:$A,0),MATCH('Program MW '!I$6,'Ex post LI &amp; Eligibility Stats'!$A$8:$N$8,0))/1000)</f>
        <v>0</v>
      </c>
      <c r="K9" s="13"/>
      <c r="L9" s="210">
        <f>K9*(INDEX('Ex ante LI &amp; Eligibility Stats'!$A:$M,MATCH('Program MW '!$A9,'Ex ante LI &amp; Eligibility Stats'!$A:$A,0),MATCH('Program MW '!L$6,'Ex ante LI &amp; Eligibility Stats'!$A$8:$M$8,0))/1000)</f>
        <v>0</v>
      </c>
      <c r="M9" s="210">
        <f>K9*(INDEX('Ex post LI &amp; Eligibility Stats'!$A:$N,MATCH($A9,'Ex post LI &amp; Eligibility Stats'!$A:$A,0),MATCH('Program MW '!L$6,'Ex post LI &amp; Eligibility Stats'!$A$8:$N$8,0))/1000)</f>
        <v>0</v>
      </c>
      <c r="N9" s="13"/>
      <c r="O9" s="210">
        <f>N9*(INDEX('Ex ante LI &amp; Eligibility Stats'!$A:$M,MATCH('Program MW '!$A9,'Ex ante LI &amp; Eligibility Stats'!$A:$A,0),MATCH('Program MW '!O$6,'Ex ante LI &amp; Eligibility Stats'!$A$8:$M$8,0))/1000)</f>
        <v>0</v>
      </c>
      <c r="P9" s="210">
        <f>N9*(INDEX('Ex post LI &amp; Eligibility Stats'!$A:$N,MATCH($A9,'Ex post LI &amp; Eligibility Stats'!$A:$A,0),MATCH('Program MW '!O$6,'Ex post LI &amp; Eligibility Stats'!$A$8:$N$8,0))/1000)</f>
        <v>0</v>
      </c>
      <c r="Q9" s="63"/>
      <c r="R9" s="210">
        <f>Q9*(INDEX('Ex ante LI &amp; Eligibility Stats'!$A:$M,MATCH('Program MW '!$A9,'Ex ante LI &amp; Eligibility Stats'!$A:$A,0),MATCH('Program MW '!R$6,'Ex ante LI &amp; Eligibility Stats'!$A$8:$M$8,0))/1000)</f>
        <v>0</v>
      </c>
      <c r="S9" s="210">
        <f>Q9*(INDEX('Ex post LI &amp; Eligibility Stats'!$A:$N,MATCH($A9,'Ex post LI &amp; Eligibility Stats'!$A:$A,0),MATCH('Program MW '!R$6,'Ex post LI &amp; Eligibility Stats'!$A$8:$N$8,0))/1000)</f>
        <v>0</v>
      </c>
      <c r="T9" s="4">
        <v>5276</v>
      </c>
    </row>
    <row r="10" spans="1:31" ht="13.5" thickBot="1">
      <c r="A10" s="99" t="s">
        <v>52</v>
      </c>
      <c r="B10" s="85">
        <f t="shared" ref="B10:Q10" si="0">SUM(B9:B9)</f>
        <v>0</v>
      </c>
      <c r="C10" s="94">
        <f t="shared" si="0"/>
        <v>0</v>
      </c>
      <c r="D10" s="94">
        <f t="shared" si="0"/>
        <v>0</v>
      </c>
      <c r="E10" s="1">
        <f t="shared" si="0"/>
        <v>0</v>
      </c>
      <c r="F10" s="131">
        <f t="shared" si="0"/>
        <v>0</v>
      </c>
      <c r="G10" s="131">
        <f t="shared" si="0"/>
        <v>0</v>
      </c>
      <c r="H10" s="1">
        <f t="shared" si="0"/>
        <v>0</v>
      </c>
      <c r="I10" s="131">
        <f t="shared" si="0"/>
        <v>0</v>
      </c>
      <c r="J10" s="131">
        <f t="shared" si="0"/>
        <v>0</v>
      </c>
      <c r="K10" s="1">
        <f>SUM(K9)</f>
        <v>0</v>
      </c>
      <c r="L10" s="131">
        <f t="shared" ref="L10:M10" si="1">SUM(L9:L9)</f>
        <v>0</v>
      </c>
      <c r="M10" s="131">
        <f t="shared" si="1"/>
        <v>0</v>
      </c>
      <c r="N10" s="1">
        <f t="shared" si="0"/>
        <v>0</v>
      </c>
      <c r="O10" s="131">
        <f t="shared" si="0"/>
        <v>0</v>
      </c>
      <c r="P10" s="131">
        <f t="shared" si="0"/>
        <v>0</v>
      </c>
      <c r="Q10" s="64">
        <f t="shared" si="0"/>
        <v>0</v>
      </c>
      <c r="R10" s="131">
        <f t="shared" ref="R10:S10" si="2">SUM(R9:R9)</f>
        <v>0</v>
      </c>
      <c r="S10" s="131">
        <f t="shared" si="2"/>
        <v>0</v>
      </c>
      <c r="T10" s="5"/>
    </row>
    <row r="11" spans="1:31" ht="13.5" thickTop="1">
      <c r="A11" s="402" t="s">
        <v>53</v>
      </c>
      <c r="B11" s="408"/>
      <c r="C11" s="93"/>
      <c r="D11" s="95"/>
      <c r="E11" s="409"/>
      <c r="F11" s="410"/>
      <c r="G11" s="100"/>
      <c r="H11" s="409"/>
      <c r="I11" s="411"/>
      <c r="J11" s="100"/>
      <c r="K11" s="409"/>
      <c r="L11" s="411"/>
      <c r="M11" s="100"/>
      <c r="N11" s="409"/>
      <c r="O11" s="412"/>
      <c r="P11" s="215"/>
      <c r="Q11" s="413"/>
      <c r="R11" s="411"/>
      <c r="S11" s="101"/>
      <c r="T11" s="407"/>
      <c r="Y11" s="6"/>
      <c r="Z11" s="6"/>
      <c r="AA11" s="6"/>
      <c r="AB11" s="6"/>
      <c r="AC11" s="6"/>
      <c r="AD11" s="6"/>
      <c r="AE11" s="6"/>
    </row>
    <row r="12" spans="1:31">
      <c r="A12" s="36" t="s">
        <v>11</v>
      </c>
      <c r="B12" s="414">
        <v>5372</v>
      </c>
      <c r="C12" s="210">
        <f>B12*(INDEX('Ex ante LI &amp; Eligibility Stats'!$A:$M,MATCH($A12,'Ex ante LI &amp; Eligibility Stats'!$A:$A,0),MATCH('Program MW '!C$6,'Ex ante LI &amp; Eligibility Stats'!$A$8:$M$8,0))/1000)</f>
        <v>0.75208000000000008</v>
      </c>
      <c r="D12" s="415">
        <f>B12*(INDEX('Ex post LI &amp; Eligibility Stats'!$A:$N,MATCH($A12,'Ex post LI &amp; Eligibility Stats'!$A:$A,0),MATCH('Program MW '!C$6,'Ex post LI &amp; Eligibility Stats'!$A$8:$N$8,0))/1000)</f>
        <v>2.5850449123358743</v>
      </c>
      <c r="E12" s="414">
        <v>5319</v>
      </c>
      <c r="F12" s="416">
        <f>E12*(INDEX('Ex ante LI &amp; Eligibility Stats'!$A:$M,MATCH($A12,'Ex ante LI &amp; Eligibility Stats'!$A:$A,0),MATCH('Program MW '!F$6,'Ex ante LI &amp; Eligibility Stats'!$A$8:$M$8,0))/1000)</f>
        <v>0.7446600000000001</v>
      </c>
      <c r="G12" s="415">
        <f>E12*(INDEX('Ex post LI &amp; Eligibility Stats'!$A:$N,MATCH($A12,'Ex post LI &amp; Eligibility Stats'!$A:$A,0),MATCH('Program MW '!F$6,'Ex post LI &amp; Eligibility Stats'!$A$8:$N$8,0))/1000)</f>
        <v>2.5595409323742584</v>
      </c>
      <c r="H12" s="414">
        <v>5172</v>
      </c>
      <c r="I12" s="210">
        <f>H12*(INDEX('Ex ante LI &amp; Eligibility Stats'!$A:$M,MATCH('Program MW '!$A12,'Ex ante LI &amp; Eligibility Stats'!$A:$A,0),MATCH('Program MW '!I$6,'Ex ante LI &amp; Eligibility Stats'!$A$8:$M$8,0))/1000)</f>
        <v>0</v>
      </c>
      <c r="J12" s="415">
        <f>H12*(INDEX('Ex post LI &amp; Eligibility Stats'!$A:$N,MATCH($A12,'Ex post LI &amp; Eligibility Stats'!$A:$A,0),MATCH('Program MW '!I$6,'Ex post LI &amp; Eligibility Stats'!$A$8:$N$8,0))/1000)</f>
        <v>2.4888034785184554</v>
      </c>
      <c r="K12" s="414">
        <v>5323</v>
      </c>
      <c r="L12" s="210">
        <f>K12*(INDEX('Ex ante LI &amp; Eligibility Stats'!$A:$M,MATCH('Program MW '!$A12,'Ex ante LI &amp; Eligibility Stats'!$A:$A,0),MATCH('Program MW '!L$6,'Ex ante LI &amp; Eligibility Stats'!$A$8:$M$8,0))/1000)</f>
        <v>2.0755195977881966</v>
      </c>
      <c r="M12" s="415">
        <f>K12*(INDEX('Ex post LI &amp; Eligibility Stats'!$A:$N,MATCH($A12,'Ex post LI &amp; Eligibility Stats'!$A:$A,0),MATCH('Program MW '!L$6,'Ex post LI &amp; Eligibility Stats'!$A$8:$N$8,0))/1000)</f>
        <v>0.16921312271075153</v>
      </c>
      <c r="N12" s="414">
        <v>5256</v>
      </c>
      <c r="O12" s="210">
        <f>N12*(INDEX('Ex ante LI &amp; Eligibility Stats'!$A:$M,MATCH('Program MW '!$A12,'Ex ante LI &amp; Eligibility Stats'!$A:$A,0),MATCH('Program MW '!O$6,'Ex ante LI &amp; Eligibility Stats'!$A$8:$M$8,0))/1000)</f>
        <v>2.1975888066818539</v>
      </c>
      <c r="P12" s="415">
        <f>N12*(INDEX('Ex post LI &amp; Eligibility Stats'!$A:$N,MATCH($A12,'Ex post LI &amp; Eligibility Stats'!$A:$A,0),MATCH('Program MW '!O$6,'Ex post LI &amp; Eligibility Stats'!$A$8:$N$8,0))/1000)</f>
        <v>0.16708325624041143</v>
      </c>
      <c r="Q12" s="414">
        <v>5267</v>
      </c>
      <c r="R12" s="210">
        <f>Q12*(INDEX('Ex ante LI &amp; Eligibility Stats'!$A:$M,MATCH('Program MW '!$A12,'Ex ante LI &amp; Eligibility Stats'!$A:$A,0),MATCH('Program MW '!R$6,'Ex ante LI &amp; Eligibility Stats'!$A$8:$M$8,0))/1000)</f>
        <v>2.2395922830296446</v>
      </c>
      <c r="S12" s="415">
        <f>Q12*(INDEX('Ex post LI &amp; Eligibility Stats'!$A:$N,MATCH($A12,'Ex post LI &amp; Eligibility Stats'!$A:$A,0),MATCH('Program MW '!R$6,'Ex post LI &amp; Eligibility Stats'!$A$8:$N$8,0))/1000)</f>
        <v>0.16743293581016877</v>
      </c>
      <c r="T12" s="417">
        <v>138123</v>
      </c>
      <c r="U12" s="6"/>
      <c r="V12" s="6"/>
      <c r="W12" s="6"/>
      <c r="X12" s="6"/>
      <c r="Y12" s="6"/>
      <c r="Z12" s="6"/>
      <c r="AA12" s="6"/>
      <c r="AB12" s="6"/>
      <c r="AC12" s="6"/>
      <c r="AD12" s="6"/>
      <c r="AE12" s="6"/>
    </row>
    <row r="13" spans="1:31" ht="13.5">
      <c r="A13" s="114" t="s">
        <v>54</v>
      </c>
      <c r="B13" s="115">
        <v>0</v>
      </c>
      <c r="C13" s="210">
        <v>0</v>
      </c>
      <c r="D13" s="211">
        <v>0</v>
      </c>
      <c r="E13" s="115">
        <v>0</v>
      </c>
      <c r="F13" s="210">
        <v>0</v>
      </c>
      <c r="G13" s="211">
        <v>0</v>
      </c>
      <c r="H13" s="115">
        <v>0</v>
      </c>
      <c r="I13" s="210">
        <v>0</v>
      </c>
      <c r="J13" s="211">
        <v>0</v>
      </c>
      <c r="K13" s="115">
        <v>0</v>
      </c>
      <c r="L13" s="210">
        <v>0</v>
      </c>
      <c r="M13" s="211">
        <v>0</v>
      </c>
      <c r="N13" s="115">
        <v>0</v>
      </c>
      <c r="O13" s="210">
        <v>0</v>
      </c>
      <c r="P13" s="211">
        <v>0</v>
      </c>
      <c r="Q13" s="115">
        <v>0</v>
      </c>
      <c r="R13" s="210">
        <v>0</v>
      </c>
      <c r="S13" s="211">
        <v>0</v>
      </c>
      <c r="T13" s="4"/>
      <c r="U13" s="6"/>
      <c r="V13" s="6"/>
      <c r="W13" s="6"/>
      <c r="X13" s="6"/>
      <c r="Y13" s="6"/>
      <c r="Z13" s="6"/>
      <c r="AA13" s="6"/>
      <c r="AB13" s="6"/>
      <c r="AC13" s="6"/>
      <c r="AD13" s="6"/>
      <c r="AE13" s="6"/>
    </row>
    <row r="14" spans="1:31">
      <c r="A14" s="171" t="s">
        <v>17</v>
      </c>
      <c r="B14" s="89">
        <v>15879</v>
      </c>
      <c r="C14" s="210">
        <f>B14*(INDEX('Ex ante LI &amp; Eligibility Stats'!$A:$M,MATCH($A14,'Ex ante LI &amp; Eligibility Stats'!$A:$A,0),MATCH('Program MW '!C$6,'Ex ante LI &amp; Eligibility Stats'!$A$8:$M$8,0))/1000)</f>
        <v>1.7863801617295393E-4</v>
      </c>
      <c r="D14" s="211">
        <f>B14*(INDEX('Ex post LI &amp; Eligibility Stats'!$A:$N,MATCH($A14,'Ex post LI &amp; Eligibility Stats'!$A:$A,0),MATCH('Program MW '!C$6,'Ex post LI &amp; Eligibility Stats'!$A$8:$N$8,0))/1000)</f>
        <v>4.7682275910079479</v>
      </c>
      <c r="E14" s="89">
        <v>16220</v>
      </c>
      <c r="F14" s="210">
        <f>E14*(INDEX('Ex ante LI &amp; Eligibility Stats'!$A:$M,MATCH($A14,'Ex ante LI &amp; Eligibility Stats'!$A:$A,0),MATCH('Program MW '!F$6,'Ex ante LI &amp; Eligibility Stats'!$A$8:$M$8,0))/1000)</f>
        <v>4.2258834246240442E-5</v>
      </c>
      <c r="G14" s="211">
        <f>E14*(INDEX('Ex post LI &amp; Eligibility Stats'!$A:$N,MATCH($A14,'Ex post LI &amp; Eligibility Stats'!$A:$A,0),MATCH('Program MW '!F$6,'Ex post LI &amp; Eligibility Stats'!$A$8:$N$8,0))/1000)</f>
        <v>4.8706248205900193</v>
      </c>
      <c r="H14" s="89">
        <v>16662</v>
      </c>
      <c r="I14" s="210">
        <f>H14*(INDEX('Ex ante LI &amp; Eligibility Stats'!$A:$M,MATCH('Program MW '!$A14,'Ex ante LI &amp; Eligibility Stats'!$A:$A,0),MATCH('Program MW '!I$6,'Ex ante LI &amp; Eligibility Stats'!$A$8:$M$8,0))/1000)</f>
        <v>0</v>
      </c>
      <c r="J14" s="211">
        <f>H14*(INDEX('Ex post LI &amp; Eligibility Stats'!$A:$N,MATCH($A14,'Ex post LI &amp; Eligibility Stats'!$A:$A,0),MATCH('Program MW '!I$6,'Ex post LI &amp; Eligibility Stats'!$A$8:$N$8,0))/1000)</f>
        <v>5.0033508483767513</v>
      </c>
      <c r="K14" s="89">
        <v>16958</v>
      </c>
      <c r="L14" s="210">
        <f>K14*(INDEX('Ex ante LI &amp; Eligibility Stats'!$A:$M,MATCH('Program MW '!$A14,'Ex ante LI &amp; Eligibility Stats'!$A:$A,0),MATCH('Program MW '!L$6,'Ex ante LI &amp; Eligibility Stats'!$A$8:$M$8,0))/1000)</f>
        <v>0.71205822024494414</v>
      </c>
      <c r="M14" s="211">
        <f>K14*(INDEX('Ex post LI &amp; Eligibility Stats'!$A:$N,MATCH($A14,'Ex post LI &amp; Eligibility Stats'!$A:$A,0),MATCH('Program MW '!L$6,'Ex post LI &amp; Eligibility Stats'!$A$8:$N$8,0))/1000)</f>
        <v>6.8814338406324387</v>
      </c>
      <c r="N14" s="89">
        <v>17137</v>
      </c>
      <c r="O14" s="210">
        <f>N14*(INDEX('Ex ante LI &amp; Eligibility Stats'!$A:$M,MATCH('Program MW '!$A14,'Ex ante LI &amp; Eligibility Stats'!$A:$A,0),MATCH('Program MW '!O$6,'Ex ante LI &amp; Eligibility Stats'!$A$8:$M$8,0))/1000)</f>
        <v>1.3195377569571136</v>
      </c>
      <c r="P14" s="211">
        <f>N14*(INDEX('Ex post LI &amp; Eligibility Stats'!$A:$N,MATCH($A14,'Ex post LI &amp; Eligibility Stats'!$A:$A,0),MATCH('Program MW '!O$6,'Ex post LI &amp; Eligibility Stats'!$A$8:$N$8,0))/1000)</f>
        <v>6.9540707469582559</v>
      </c>
      <c r="Q14" s="89">
        <v>17219</v>
      </c>
      <c r="R14" s="210">
        <f>Q14*(INDEX('Ex ante LI &amp; Eligibility Stats'!$A:$M,MATCH('Program MW '!$A14,'Ex ante LI &amp; Eligibility Stats'!$A:$A,0),MATCH('Program MW '!R$6,'Ex ante LI &amp; Eligibility Stats'!$A$8:$M$8,0))/1000)</f>
        <v>0.88752894243225455</v>
      </c>
      <c r="S14" s="211">
        <f>Q14*(INDEX('Ex post LI &amp; Eligibility Stats'!$A:$N,MATCH($A14,'Ex post LI &amp; Eligibility Stats'!$A:$A,0),MATCH('Program MW '!R$6,'Ex post LI &amp; Eligibility Stats'!$A$8:$N$8,0))/1000)</f>
        <v>6.9873457543253901</v>
      </c>
      <c r="T14" s="4">
        <v>663393.5</v>
      </c>
      <c r="U14" s="6"/>
      <c r="V14" s="6"/>
      <c r="W14" s="6"/>
      <c r="X14" s="6"/>
      <c r="Y14" s="6"/>
      <c r="Z14" s="6"/>
      <c r="AA14" s="6"/>
      <c r="AB14" s="6"/>
      <c r="AC14" s="6"/>
      <c r="AD14" s="6"/>
      <c r="AE14" s="6"/>
    </row>
    <row r="15" spans="1:31">
      <c r="A15" s="87" t="s">
        <v>20</v>
      </c>
      <c r="B15" s="89">
        <v>296</v>
      </c>
      <c r="C15" s="210">
        <f>B15*(INDEX('Ex ante LI &amp; Eligibility Stats'!$A:$M,MATCH($A15,'Ex ante LI &amp; Eligibility Stats'!$A:$A,0),MATCH('Program MW '!C$6,'Ex ante LI &amp; Eligibility Stats'!$A$8:$M$8,0))/1000)</f>
        <v>1.0762042365968228E-4</v>
      </c>
      <c r="D15" s="211">
        <f>B15*(INDEX('Ex post LI &amp; Eligibility Stats'!$A:$N,MATCH($A15,'Ex post LI &amp; Eligibility Stats'!$A:$A,0),MATCH('Program MW '!C$6,'Ex post LI &amp; Eligibility Stats'!$A$8:$N$8,0))/1000)</f>
        <v>0.13729801845550538</v>
      </c>
      <c r="E15" s="89">
        <v>295</v>
      </c>
      <c r="F15" s="210">
        <f>E15*(INDEX('Ex ante LI &amp; Eligibility Stats'!$A:$M,MATCH($A15,'Ex ante LI &amp; Eligibility Stats'!$A:$A,0),MATCH('Program MW '!F$6,'Ex ante LI &amp; Eligibility Stats'!$A$8:$M$8,0))/1000)</f>
        <v>2.4839281431923156E-5</v>
      </c>
      <c r="G15" s="211">
        <f>E15*(INDEX('Ex post LI &amp; Eligibility Stats'!$A:$N,MATCH($A15,'Ex post LI &amp; Eligibility Stats'!$A:$A,0),MATCH('Program MW '!F$6,'Ex post LI &amp; Eligibility Stats'!$A$8:$N$8,0))/1000)</f>
        <v>0.13683417379856108</v>
      </c>
      <c r="H15" s="89">
        <v>295</v>
      </c>
      <c r="I15" s="210">
        <f>H15*(INDEX('Ex ante LI &amp; Eligibility Stats'!$A:$M,MATCH('Program MW '!$A15,'Ex ante LI &amp; Eligibility Stats'!$A:$A,0),MATCH('Program MW '!I$6,'Ex ante LI &amp; Eligibility Stats'!$A$8:$M$8,0))/1000)</f>
        <v>0</v>
      </c>
      <c r="J15" s="211">
        <f>H15*(INDEX('Ex post LI &amp; Eligibility Stats'!$A:$N,MATCH($A15,'Ex post LI &amp; Eligibility Stats'!$A:$A,0),MATCH('Program MW '!I$6,'Ex post LI &amp; Eligibility Stats'!$A$8:$N$8,0))/1000)</f>
        <v>0.13683417379856108</v>
      </c>
      <c r="K15" s="89">
        <v>293</v>
      </c>
      <c r="L15" s="210">
        <f>K15*(INDEX('Ex ante LI &amp; Eligibility Stats'!$A:$M,MATCH('Program MW '!$A15,'Ex ante LI &amp; Eligibility Stats'!$A:$A,0),MATCH('Program MW '!L$6,'Ex ante LI &amp; Eligibility Stats'!$A$8:$M$8,0))/1000)</f>
        <v>8.8960863947868341E-2</v>
      </c>
      <c r="M15" s="211">
        <f>K15*(INDEX('Ex post LI &amp; Eligibility Stats'!$A:$N,MATCH($A15,'Ex post LI &amp; Eligibility Stats'!$A:$A,0),MATCH('Program MW '!L$6,'Ex post LI &amp; Eligibility Stats'!$A$8:$N$8,0))/1000)</f>
        <v>0.27325568330287936</v>
      </c>
      <c r="N15" s="89">
        <v>291</v>
      </c>
      <c r="O15" s="210">
        <f>N15*(INDEX('Ex ante LI &amp; Eligibility Stats'!$A:$M,MATCH('Program MW '!$A15,'Ex ante LI &amp; Eligibility Stats'!$A:$A,0),MATCH('Program MW '!O$6,'Ex ante LI &amp; Eligibility Stats'!$A$8:$M$8,0))/1000)</f>
        <v>0.12720945364236833</v>
      </c>
      <c r="P15" s="211">
        <f>N15*(INDEX('Ex post LI &amp; Eligibility Stats'!$A:$N,MATCH($A15,'Ex post LI &amp; Eligibility Stats'!$A:$A,0),MATCH('Program MW '!O$6,'Ex post LI &amp; Eligibility Stats'!$A$8:$N$8,0))/1000)</f>
        <v>0.27139045679569246</v>
      </c>
      <c r="Q15" s="89">
        <v>272</v>
      </c>
      <c r="R15" s="210">
        <f>Q15*(INDEX('Ex ante LI &amp; Eligibility Stats'!$A:$M,MATCH('Program MW '!$A15,'Ex ante LI &amp; Eligibility Stats'!$A:$A,0),MATCH('Program MW '!R$6,'Ex ante LI &amp; Eligibility Stats'!$A$8:$M$8,0))/1000)</f>
        <v>8.4633955001831046E-2</v>
      </c>
      <c r="S15" s="211">
        <f>Q15*(INDEX('Ex post LI &amp; Eligibility Stats'!$A:$N,MATCH($A15,'Ex post LI &amp; Eligibility Stats'!$A:$A,0),MATCH('Program MW '!R$6,'Ex post LI &amp; Eligibility Stats'!$A$8:$N$8,0))/1000)</f>
        <v>0.25367080497741701</v>
      </c>
      <c r="T15" s="4"/>
      <c r="U15" s="6"/>
      <c r="V15" s="6"/>
      <c r="W15" s="6"/>
      <c r="X15" s="6"/>
      <c r="Y15" s="6"/>
      <c r="Z15" s="6"/>
      <c r="AA15" s="6"/>
      <c r="AB15" s="6"/>
      <c r="AC15" s="6"/>
      <c r="AD15" s="6"/>
      <c r="AE15" s="6"/>
    </row>
    <row r="16" spans="1:31">
      <c r="A16" s="171" t="s">
        <v>21</v>
      </c>
      <c r="B16" s="63">
        <v>8805</v>
      </c>
      <c r="C16" s="210">
        <f>B16*(INDEX('Ex ante LI &amp; Eligibility Stats'!$A:$M,MATCH($A16,'Ex ante LI &amp; Eligibility Stats'!$A:$A,0),MATCH('Program MW '!C$6,'Ex ante LI &amp; Eligibility Stats'!$A$8:$M$8,0))/1000)</f>
        <v>0</v>
      </c>
      <c r="D16" s="211">
        <f>B16*(INDEX('Ex post LI &amp; Eligibility Stats'!$A:$N,MATCH($A16,'Ex post LI &amp; Eligibility Stats'!$A:$A,0),MATCH('Program MW '!C$6,'Ex post LI &amp; Eligibility Stats'!$A$8:$N$8,0))/1000)</f>
        <v>1.1810930145000003</v>
      </c>
      <c r="E16" s="63">
        <v>8757</v>
      </c>
      <c r="F16" s="210">
        <f>E16*(INDEX('Ex ante LI &amp; Eligibility Stats'!$A:$M,MATCH($A16,'Ex ante LI &amp; Eligibility Stats'!$A:$A,0),MATCH('Program MW '!F$6,'Ex ante LI &amp; Eligibility Stats'!$A$8:$M$8,0))/1000)</f>
        <v>0</v>
      </c>
      <c r="G16" s="211">
        <f>E16*(INDEX('Ex post LI &amp; Eligibility Stats'!$A:$N,MATCH($A16,'Ex post LI &amp; Eligibility Stats'!$A:$A,0),MATCH('Program MW '!F$6,'Ex post LI &amp; Eligibility Stats'!$A$8:$N$8,0))/1000)</f>
        <v>1.1746543473000002</v>
      </c>
      <c r="H16" s="63">
        <v>8660</v>
      </c>
      <c r="I16" s="210">
        <f>H16*(INDEX('Ex ante LI &amp; Eligibility Stats'!$A:$M,MATCH('Program MW '!$A16,'Ex ante LI &amp; Eligibility Stats'!$A:$A,0),MATCH('Program MW '!I$6,'Ex ante LI &amp; Eligibility Stats'!$A$8:$M$8,0))/1000)</f>
        <v>0</v>
      </c>
      <c r="J16" s="211">
        <f>H16*(INDEX('Ex post LI &amp; Eligibility Stats'!$A:$N,MATCH($A16,'Ex post LI &amp; Eligibility Stats'!$A:$A,0),MATCH('Program MW '!I$6,'Ex post LI &amp; Eligibility Stats'!$A$8:$N$8,0))/1000)</f>
        <v>1.1616428740000002</v>
      </c>
      <c r="K16" s="353">
        <v>8613</v>
      </c>
      <c r="L16" s="210">
        <f>K16*(INDEX('Ex ante LI &amp; Eligibility Stats'!$A:$M,MATCH('Program MW '!$A16,'Ex ante LI &amp; Eligibility Stats'!$A:$A,0),MATCH('Program MW '!L$6,'Ex ante LI &amp; Eligibility Stats'!$A$8:$M$8,0))/1000)</f>
        <v>0</v>
      </c>
      <c r="M16" s="211">
        <f>K16*(INDEX('Ex post LI &amp; Eligibility Stats'!$A:$N,MATCH($A16,'Ex post LI &amp; Eligibility Stats'!$A:$A,0),MATCH('Program MW '!L$6,'Ex post LI &amp; Eligibility Stats'!$A$8:$N$8,0))/1000)</f>
        <v>0.48108772799999999</v>
      </c>
      <c r="N16" s="63">
        <v>8491</v>
      </c>
      <c r="O16" s="210">
        <f>N16*(INDEX('Ex ante LI &amp; Eligibility Stats'!$A:$M,MATCH('Program MW '!$A16,'Ex ante LI &amp; Eligibility Stats'!$A:$A,0),MATCH('Program MW '!O$6,'Ex ante LI &amp; Eligibility Stats'!$A$8:$M$8,0))/1000)</f>
        <v>0.2001473047</v>
      </c>
      <c r="P16" s="211">
        <f>N16*(INDEX('Ex post LI &amp; Eligibility Stats'!$A:$N,MATCH($A16,'Ex post LI &amp; Eligibility Stats'!$A:$A,0),MATCH('Program MW '!O$6,'Ex post LI &amp; Eligibility Stats'!$A$8:$N$8,0))/1000)</f>
        <v>0.47427329600000001</v>
      </c>
      <c r="Q16" s="63">
        <v>8414</v>
      </c>
      <c r="R16" s="210">
        <f>Q16*(INDEX('Ex ante LI &amp; Eligibility Stats'!$A:$M,MATCH('Program MW '!$A16,'Ex ante LI &amp; Eligibility Stats'!$A:$A,0),MATCH('Program MW '!R$6,'Ex ante LI &amp; Eligibility Stats'!$A$8:$M$8,0))/1000)</f>
        <v>0</v>
      </c>
      <c r="S16" s="211">
        <f>Q16*(INDEX('Ex post LI &amp; Eligibility Stats'!$A:$N,MATCH($A16,'Ex post LI &amp; Eligibility Stats'!$A:$A,0),MATCH('Program MW '!R$6,'Ex post LI &amp; Eligibility Stats'!$A$8:$N$8,0))/1000)</f>
        <v>0.46997238400000002</v>
      </c>
      <c r="T16" s="4">
        <v>157189</v>
      </c>
      <c r="U16" s="6"/>
      <c r="V16" s="6"/>
      <c r="W16" s="6"/>
      <c r="X16" s="6"/>
      <c r="Y16" s="6"/>
      <c r="Z16" s="6"/>
      <c r="AA16" s="6"/>
      <c r="AB16" s="6"/>
      <c r="AC16" s="6"/>
      <c r="AD16" s="6"/>
      <c r="AE16" s="6"/>
    </row>
    <row r="17" spans="1:31">
      <c r="A17" s="171" t="s">
        <v>23</v>
      </c>
      <c r="B17" s="63">
        <v>2552</v>
      </c>
      <c r="C17" s="210">
        <f>B17*(INDEX('Ex ante LI &amp; Eligibility Stats'!$A:$M,MATCH($A17,'Ex ante LI &amp; Eligibility Stats'!$A:$A,0),MATCH('Program MW '!C$6,'Ex ante LI &amp; Eligibility Stats'!$A$8:$M$8,0))/1000)</f>
        <v>0</v>
      </c>
      <c r="D17" s="211">
        <f>B17*(INDEX('Ex post LI &amp; Eligibility Stats'!$A:$N,MATCH($A17,'Ex post LI &amp; Eligibility Stats'!$A:$A,0),MATCH('Program MW '!C$6,'Ex post LI &amp; Eligibility Stats'!$A$8:$N$8,0))/1000)</f>
        <v>0.12592665359999999</v>
      </c>
      <c r="E17" s="63">
        <v>2542</v>
      </c>
      <c r="F17" s="210">
        <f>E17*(INDEX('Ex ante LI &amp; Eligibility Stats'!$A:$M,MATCH($A17,'Ex ante LI &amp; Eligibility Stats'!$A:$A,0),MATCH('Program MW '!F$6,'Ex ante LI &amp; Eligibility Stats'!$A$8:$M$8,0))/1000)</f>
        <v>0</v>
      </c>
      <c r="G17" s="211">
        <f>E17*(INDEX('Ex post LI &amp; Eligibility Stats'!$A:$N,MATCH($A17,'Ex post LI &amp; Eligibility Stats'!$A:$A,0),MATCH('Program MW '!F$6,'Ex post LI &amp; Eligibility Stats'!$A$8:$N$8,0))/1000)</f>
        <v>0.12543321060000001</v>
      </c>
      <c r="H17" s="63">
        <v>2508</v>
      </c>
      <c r="I17" s="210">
        <f>H17*(INDEX('Ex ante LI &amp; Eligibility Stats'!$A:$M,MATCH('Program MW '!$A17,'Ex ante LI &amp; Eligibility Stats'!$A:$A,0),MATCH('Program MW '!I$6,'Ex ante LI &amp; Eligibility Stats'!$A$8:$M$8,0))/1000)</f>
        <v>0</v>
      </c>
      <c r="J17" s="211">
        <f>H17*(INDEX('Ex post LI &amp; Eligibility Stats'!$A:$N,MATCH($A17,'Ex post LI &amp; Eligibility Stats'!$A:$A,0),MATCH('Program MW '!I$6,'Ex post LI &amp; Eligibility Stats'!$A$8:$N$8,0))/1000)</f>
        <v>0.12375550440000001</v>
      </c>
      <c r="K17" s="353">
        <v>2499</v>
      </c>
      <c r="L17" s="210">
        <f>K17*(INDEX('Ex ante LI &amp; Eligibility Stats'!$A:$M,MATCH('Program MW '!$A17,'Ex ante LI &amp; Eligibility Stats'!$A:$A,0),MATCH('Program MW '!L$6,'Ex ante LI &amp; Eligibility Stats'!$A$8:$M$8,0))/1000)</f>
        <v>0.13921704090000001</v>
      </c>
      <c r="M17" s="211">
        <f>K17*(INDEX('Ex post LI &amp; Eligibility Stats'!$A:$N,MATCH($A17,'Ex post LI &amp; Eligibility Stats'!$A:$A,0),MATCH('Program MW '!L$6,'Ex post LI &amp; Eligibility Stats'!$A$8:$N$8,0))/1000)</f>
        <v>0.23396962469999999</v>
      </c>
      <c r="N17" s="63">
        <v>2473</v>
      </c>
      <c r="O17" s="210">
        <f>N17*(INDEX('Ex ante LI &amp; Eligibility Stats'!$A:$M,MATCH('Program MW '!$A17,'Ex ante LI &amp; Eligibility Stats'!$A:$A,0),MATCH('Program MW '!O$6,'Ex ante LI &amp; Eligibility Stats'!$A$8:$M$8,0))/1000)</f>
        <v>0.19790751289999997</v>
      </c>
      <c r="P17" s="211">
        <f>N17*(INDEX('Ex post LI &amp; Eligibility Stats'!$A:$N,MATCH($A17,'Ex post LI &amp; Eligibility Stats'!$A:$A,0),MATCH('Program MW '!O$6,'Ex post LI &amp; Eligibility Stats'!$A$8:$N$8,0))/1000)</f>
        <v>0.23153536689999998</v>
      </c>
      <c r="Q17" s="63">
        <v>2443</v>
      </c>
      <c r="R17" s="210">
        <f>Q17*(INDEX('Ex ante LI &amp; Eligibility Stats'!$A:$M,MATCH('Program MW '!$A17,'Ex ante LI &amp; Eligibility Stats'!$A:$A,0),MATCH('Program MW '!R$6,'Ex ante LI &amp; Eligibility Stats'!$A$8:$M$8,0))/1000)</f>
        <v>0.1495638802</v>
      </c>
      <c r="S17" s="211">
        <f>Q17*(INDEX('Ex post LI &amp; Eligibility Stats'!$A:$N,MATCH($A17,'Ex post LI &amp; Eligibility Stats'!$A:$A,0),MATCH('Program MW '!R$6,'Ex post LI &amp; Eligibility Stats'!$A$8:$N$8,0))/1000)</f>
        <v>0.22872660789999999</v>
      </c>
      <c r="T17" s="4">
        <v>157189</v>
      </c>
      <c r="U17" s="6"/>
      <c r="V17" s="6"/>
      <c r="W17" s="6"/>
      <c r="X17" s="6"/>
      <c r="Y17" s="6"/>
      <c r="Z17" s="6"/>
      <c r="AA17" s="6"/>
      <c r="AB17" s="6"/>
      <c r="AC17" s="6"/>
      <c r="AD17" s="6"/>
      <c r="AE17" s="6"/>
    </row>
    <row r="18" spans="1:31">
      <c r="A18" s="87" t="s">
        <v>24</v>
      </c>
      <c r="B18" s="89"/>
      <c r="C18" s="210">
        <f>B18*(INDEX('Ex ante LI &amp; Eligibility Stats'!$A:$M,MATCH($A18,'Ex ante LI &amp; Eligibility Stats'!$A:$A,0),MATCH('Program MW '!C$6,'Ex ante LI &amp; Eligibility Stats'!$A$8:$M$8,0))/1000)</f>
        <v>0</v>
      </c>
      <c r="D18" s="211">
        <f>B18*(INDEX('Ex post LI &amp; Eligibility Stats'!$A:$N,MATCH($A18,'Ex post LI &amp; Eligibility Stats'!$A:$A,0),MATCH('Program MW '!C$6,'Ex post LI &amp; Eligibility Stats'!$A$8:$N$8,0))/1000)</f>
        <v>0</v>
      </c>
      <c r="E18" s="89"/>
      <c r="F18" s="210">
        <f>E18*(INDEX('Ex ante LI &amp; Eligibility Stats'!$A:$M,MATCH($A18,'Ex ante LI &amp; Eligibility Stats'!$A:$A,0),MATCH('Program MW '!F$6,'Ex ante LI &amp; Eligibility Stats'!$A$8:$M$8,0))/1000)</f>
        <v>0</v>
      </c>
      <c r="G18" s="211">
        <f>E18*(INDEX('Ex post LI &amp; Eligibility Stats'!$A:$N,MATCH($A18,'Ex post LI &amp; Eligibility Stats'!$A:$A,0),MATCH('Program MW '!F$6,'Ex post LI &amp; Eligibility Stats'!$A$8:$N$8,0))/1000)</f>
        <v>0</v>
      </c>
      <c r="H18" s="89"/>
      <c r="I18" s="210">
        <f>H18*(INDEX('Ex ante LI &amp; Eligibility Stats'!$A:$M,MATCH('Program MW '!$A18,'Ex ante LI &amp; Eligibility Stats'!$A:$A,0),MATCH('Program MW '!I$6,'Ex ante LI &amp; Eligibility Stats'!$A$8:$M$8,0))/1000)</f>
        <v>0</v>
      </c>
      <c r="J18" s="211">
        <f>H18*(INDEX('Ex post LI &amp; Eligibility Stats'!$A:$N,MATCH($A18,'Ex post LI &amp; Eligibility Stats'!$A:$A,0),MATCH('Program MW '!I$6,'Ex post LI &amp; Eligibility Stats'!$A$8:$N$8,0))/1000)</f>
        <v>0</v>
      </c>
      <c r="K18" s="621">
        <v>0</v>
      </c>
      <c r="L18" s="210">
        <f>K18*(INDEX('Ex ante LI &amp; Eligibility Stats'!$A:$M,MATCH('Program MW '!$A18,'Ex ante LI &amp; Eligibility Stats'!$A:$A,0),MATCH('Program MW '!L$6,'Ex ante LI &amp; Eligibility Stats'!$A$8:$M$8,0))/1000)</f>
        <v>0</v>
      </c>
      <c r="M18" s="211">
        <f>K18*(INDEX('Ex post LI &amp; Eligibility Stats'!$A:$N,MATCH($A18,'Ex post LI &amp; Eligibility Stats'!$A:$A,0),MATCH('Program MW '!L$6,'Ex post LI &amp; Eligibility Stats'!$A$8:$N$8,0))/1000)</f>
        <v>0</v>
      </c>
      <c r="N18" s="89"/>
      <c r="O18" s="210">
        <f>N18*(INDEX('Ex ante LI &amp; Eligibility Stats'!$A:$M,MATCH('Program MW '!$A18,'Ex ante LI &amp; Eligibility Stats'!$A:$A,0),MATCH('Program MW '!O$6,'Ex ante LI &amp; Eligibility Stats'!$A$8:$M$8,0))/1000)</f>
        <v>0</v>
      </c>
      <c r="P18" s="211">
        <f>N18*(INDEX('Ex post LI &amp; Eligibility Stats'!$A:$N,MATCH($A18,'Ex post LI &amp; Eligibility Stats'!$A:$A,0),MATCH('Program MW '!O$6,'Ex post LI &amp; Eligibility Stats'!$A$8:$N$8,0))/1000)</f>
        <v>0</v>
      </c>
      <c r="Q18" s="89"/>
      <c r="R18" s="210">
        <f>Q18*(INDEX('Ex ante LI &amp; Eligibility Stats'!$A:$M,MATCH('Program MW '!$A18,'Ex ante LI &amp; Eligibility Stats'!$A:$A,0),MATCH('Program MW '!R$6,'Ex ante LI &amp; Eligibility Stats'!$A$8:$M$8,0))/1000)</f>
        <v>0</v>
      </c>
      <c r="S18" s="211">
        <f>Q18*(INDEX('Ex post LI &amp; Eligibility Stats'!$A:$N,MATCH($A18,'Ex post LI &amp; Eligibility Stats'!$A:$A,0),MATCH('Program MW '!R$6,'Ex post LI &amp; Eligibility Stats'!$A$8:$N$8,0))/1000)</f>
        <v>0</v>
      </c>
      <c r="T18" s="4">
        <v>18875</v>
      </c>
      <c r="U18" s="6"/>
      <c r="V18" s="6"/>
      <c r="W18" s="6"/>
      <c r="X18" s="6"/>
      <c r="Y18" s="6"/>
      <c r="Z18" s="6"/>
      <c r="AA18" s="6"/>
      <c r="AB18" s="6"/>
      <c r="AC18" s="6"/>
      <c r="AD18" s="6"/>
      <c r="AE18" s="6"/>
    </row>
    <row r="19" spans="1:31">
      <c r="A19" s="87" t="s">
        <v>25</v>
      </c>
      <c r="B19" s="89"/>
      <c r="C19" s="210">
        <f>B19*(INDEX('Ex ante LI &amp; Eligibility Stats'!$A:$M,MATCH($A19,'Ex ante LI &amp; Eligibility Stats'!$A:$A,0),MATCH('Program MW '!C$6,'Ex ante LI &amp; Eligibility Stats'!$A$8:$M$8,0))/1000)</f>
        <v>0</v>
      </c>
      <c r="D19" s="211">
        <f>B19*(INDEX('Ex post LI &amp; Eligibility Stats'!$A:$N,MATCH($A19,'Ex post LI &amp; Eligibility Stats'!$A:$A,0),MATCH('Program MW '!C$6,'Ex post LI &amp; Eligibility Stats'!$A$8:$N$8,0))/1000)</f>
        <v>0</v>
      </c>
      <c r="E19" s="89"/>
      <c r="F19" s="210">
        <f>E19*(INDEX('Ex ante LI &amp; Eligibility Stats'!$A:$M,MATCH($A19,'Ex ante LI &amp; Eligibility Stats'!$A:$A,0),MATCH('Program MW '!F$6,'Ex ante LI &amp; Eligibility Stats'!$A$8:$M$8,0))/1000)</f>
        <v>0</v>
      </c>
      <c r="G19" s="211">
        <f>E19*(INDEX('Ex post LI &amp; Eligibility Stats'!$A:$N,MATCH($A19,'Ex post LI &amp; Eligibility Stats'!$A:$A,0),MATCH('Program MW '!F$6,'Ex post LI &amp; Eligibility Stats'!$A$8:$N$8,0))/1000)</f>
        <v>0</v>
      </c>
      <c r="H19" s="89"/>
      <c r="I19" s="210">
        <f>H19*(INDEX('Ex ante LI &amp; Eligibility Stats'!$A:$M,MATCH('Program MW '!$A19,'Ex ante LI &amp; Eligibility Stats'!$A:$A,0),MATCH('Program MW '!I$6,'Ex ante LI &amp; Eligibility Stats'!$A$8:$M$8,0))/1000)</f>
        <v>0</v>
      </c>
      <c r="J19" s="211">
        <f>H19*(INDEX('Ex post LI &amp; Eligibility Stats'!$A:$N,MATCH($A19,'Ex post LI &amp; Eligibility Stats'!$A:$A,0),MATCH('Program MW '!I$6,'Ex post LI &amp; Eligibility Stats'!$A$8:$N$8,0))/1000)</f>
        <v>0</v>
      </c>
      <c r="K19" s="89">
        <v>0</v>
      </c>
      <c r="L19" s="210">
        <f>K19*(INDEX('Ex ante LI &amp; Eligibility Stats'!$A:$M,MATCH('Program MW '!$A19,'Ex ante LI &amp; Eligibility Stats'!$A:$A,0),MATCH('Program MW '!L$6,'Ex ante LI &amp; Eligibility Stats'!$A$8:$M$8,0))/1000)</f>
        <v>0</v>
      </c>
      <c r="M19" s="211">
        <f>K19*(INDEX('Ex post LI &amp; Eligibility Stats'!$A:$N,MATCH($A19,'Ex post LI &amp; Eligibility Stats'!$A:$A,0),MATCH('Program MW '!L$6,'Ex post LI &amp; Eligibility Stats'!$A$8:$N$8,0))/1000)</f>
        <v>0</v>
      </c>
      <c r="N19" s="89"/>
      <c r="O19" s="210">
        <f>N19*(INDEX('Ex ante LI &amp; Eligibility Stats'!$A:$M,MATCH('Program MW '!$A19,'Ex ante LI &amp; Eligibility Stats'!$A:$A,0),MATCH('Program MW '!O$6,'Ex ante LI &amp; Eligibility Stats'!$A$8:$M$8,0))/1000)</f>
        <v>0</v>
      </c>
      <c r="P19" s="211">
        <f>N19*(INDEX('Ex post LI &amp; Eligibility Stats'!$A:$N,MATCH($A19,'Ex post LI &amp; Eligibility Stats'!$A:$A,0),MATCH('Program MW '!O$6,'Ex post LI &amp; Eligibility Stats'!$A$8:$N$8,0))/1000)</f>
        <v>0</v>
      </c>
      <c r="Q19" s="89"/>
      <c r="R19" s="210">
        <f>Q19*(INDEX('Ex ante LI &amp; Eligibility Stats'!$A:$M,MATCH('Program MW '!$A19,'Ex ante LI &amp; Eligibility Stats'!$A:$A,0),MATCH('Program MW '!R$6,'Ex ante LI &amp; Eligibility Stats'!$A$8:$M$8,0))/1000)</f>
        <v>0</v>
      </c>
      <c r="S19" s="211">
        <f>Q19*(INDEX('Ex post LI &amp; Eligibility Stats'!$A:$N,MATCH($A19,'Ex post LI &amp; Eligibility Stats'!$A:$A,0),MATCH('Program MW '!R$6,'Ex post LI &amp; Eligibility Stats'!$A$8:$N$8,0))/1000)</f>
        <v>0</v>
      </c>
      <c r="T19" s="4">
        <v>18875</v>
      </c>
      <c r="U19" s="6"/>
      <c r="V19" s="6"/>
      <c r="W19" s="6"/>
      <c r="X19" s="6"/>
      <c r="Y19" s="6"/>
      <c r="Z19" s="6"/>
      <c r="AA19" s="6"/>
      <c r="AB19" s="6"/>
      <c r="AC19" s="6"/>
      <c r="AD19" s="6"/>
      <c r="AE19" s="6"/>
    </row>
    <row r="20" spans="1:31" s="83" customFormat="1">
      <c r="A20" s="171" t="s">
        <v>55</v>
      </c>
      <c r="B20" s="115">
        <v>110</v>
      </c>
      <c r="C20" s="210">
        <v>0</v>
      </c>
      <c r="D20" s="211">
        <v>0</v>
      </c>
      <c r="E20" s="115">
        <v>112</v>
      </c>
      <c r="F20" s="210">
        <f>E20*(INDEX('Ex ante LI &amp; Eligibility Stats'!$A:$M,MATCH($A20,'Ex ante LI &amp; Eligibility Stats'!$A:$A,0),MATCH('Program MW '!F$6,'Ex ante LI &amp; Eligibility Stats'!$A$8:$M$8,0))/1000)</f>
        <v>7.861483544111252E-4</v>
      </c>
      <c r="G20" s="211">
        <f>E20*(INDEX('Ex post LI &amp; Eligibility Stats'!$A:$N,MATCH($A20,'Ex post LI &amp; Eligibility Stats'!$A:$A,0),MATCH('Program MW '!F$6,'Ex post LI &amp; Eligibility Stats'!$A$8:$N$8,0))/1000)</f>
        <v>5.3145108222961424E-2</v>
      </c>
      <c r="H20" s="115">
        <v>110</v>
      </c>
      <c r="I20" s="354">
        <f>H20*(INDEX('Ex ante LI &amp; Eligibility Stats'!$A:$M,MATCH('Program MW '!$A20,'Ex ante LI &amp; Eligibility Stats'!$A:$A,0),MATCH('Program MW '!I$6,'Ex ante LI &amp; Eligibility Stats'!$A$8:$M$8,0))/1000)</f>
        <v>9.4112239778041838E-4</v>
      </c>
      <c r="J20" s="211">
        <f>H20*(INDEX('Ex post LI &amp; Eligibility Stats'!$A:$N,MATCH($A20,'Ex post LI &amp; Eligibility Stats'!$A:$A,0),MATCH('Program MW '!I$6,'Ex post LI &amp; Eligibility Stats'!$A$8:$N$8,0))/1000)</f>
        <v>5.2196088433265689E-2</v>
      </c>
      <c r="K20" s="353">
        <v>102</v>
      </c>
      <c r="L20" s="210">
        <f>K20*(INDEX('Ex ante LI &amp; Eligibility Stats'!$A:$M,MATCH('Program MW '!$A20,'Ex ante LI &amp; Eligibility Stats'!$A:$A,0),MATCH('Program MW '!L$6,'Ex ante LI &amp; Eligibility Stats'!$A$8:$M$8,0))/1000)</f>
        <v>1.374367555975914E-2</v>
      </c>
      <c r="M20" s="623">
        <f>K20*(INDEX('Ex post LI &amp; Eligibility Stats'!$A:$N,MATCH($A20,'Ex post LI &amp; Eligibility Stats'!$A:$A,0),MATCH('Program MW '!L$6,'Ex post LI &amp; Eligibility Stats'!$A$8:$N$8,0))/1000)</f>
        <v>1.7298986703157423E-2</v>
      </c>
      <c r="N20" s="115">
        <v>108</v>
      </c>
      <c r="O20" s="210">
        <f>N20*(INDEX('Ex ante LI &amp; Eligibility Stats'!$A:$M,MATCH('Program MW '!$A20,'Ex ante LI &amp; Eligibility Stats'!$A:$A,0),MATCH('Program MW '!O$6,'Ex ante LI &amp; Eligibility Stats'!$A$8:$M$8,0))/1000)</f>
        <v>1.9586660206317903E-2</v>
      </c>
      <c r="P20" s="211">
        <f>N20*(INDEX('Ex post LI &amp; Eligibility Stats'!$A:$N,MATCH($A20,'Ex post LI &amp; Eligibility Stats'!$A:$A,0),MATCH('Program MW '!O$6,'Ex post LI &amp; Eligibility Stats'!$A$8:$N$8,0))/1000)</f>
        <v>1.8316574156284331E-2</v>
      </c>
      <c r="Q20" s="115">
        <v>108</v>
      </c>
      <c r="R20" s="210">
        <f>Q20*(INDEX('Ex ante LI &amp; Eligibility Stats'!$A:$M,MATCH('Program MW '!$A20,'Ex ante LI &amp; Eligibility Stats'!$A:$A,0),MATCH('Program MW '!R$6,'Ex ante LI &amp; Eligibility Stats'!$A$8:$M$8,0))/1000)</f>
        <v>1.8896005332469941E-2</v>
      </c>
      <c r="S20" s="211">
        <f>Q20*(INDEX('Ex post LI &amp; Eligibility Stats'!$A:$N,MATCH($A20,'Ex post LI &amp; Eligibility Stats'!$A:$A,0),MATCH('Program MW '!R$6,'Ex post LI &amp; Eligibility Stats'!$A$8:$N$8,0))/1000)</f>
        <v>1.8316574156284331E-2</v>
      </c>
      <c r="T20" s="262"/>
      <c r="U20" s="263"/>
      <c r="V20" s="263"/>
      <c r="W20" s="263"/>
      <c r="X20" s="263"/>
      <c r="Y20" s="263"/>
      <c r="Z20" s="263"/>
      <c r="AA20" s="263"/>
      <c r="AB20" s="263"/>
      <c r="AC20" s="263"/>
      <c r="AD20" s="263"/>
      <c r="AE20" s="263"/>
    </row>
    <row r="21" spans="1:31">
      <c r="A21" s="87" t="s">
        <v>26</v>
      </c>
      <c r="B21" s="89">
        <v>50976</v>
      </c>
      <c r="C21" s="210">
        <f>B21*(INDEX('Ex ante LI &amp; Eligibility Stats'!$A:$M,MATCH($A21,'Ex ante LI &amp; Eligibility Stats'!$A:$A,0),MATCH('Program MW '!C$6,'Ex ante LI &amp; Eligibility Stats'!$A$8:$M$8,0))/1000)</f>
        <v>0.50975999999999999</v>
      </c>
      <c r="D21" s="211">
        <f>B21*(INDEX('Ex post LI &amp; Eligibility Stats'!$A:$N,MATCH($A21,'Ex post LI &amp; Eligibility Stats'!$A:$A,0),MATCH('Program MW '!C$6,'Ex post LI &amp; Eligibility Stats'!$A$8:$N$8,0))/1000)</f>
        <v>2.5469749924489515</v>
      </c>
      <c r="E21" s="89">
        <v>50086</v>
      </c>
      <c r="F21" s="325">
        <f>E21*(INDEX('Ex ante LI &amp; Eligibility Stats'!$A:$M,MATCH($A21,'Ex ante LI &amp; Eligibility Stats'!$A:$A,0),MATCH('Program MW '!F$6,'Ex ante LI &amp; Eligibility Stats'!$A$8:$M$8,0))/1000)</f>
        <v>0.50086000000000008</v>
      </c>
      <c r="G21" s="211">
        <f>E21*(INDEX('Ex post LI &amp; Eligibility Stats'!$A:$N,MATCH($A21,'Ex post LI &amp; Eligibility Stats'!$A:$A,0),MATCH('Program MW '!F$6,'Ex post LI &amp; Eligibility Stats'!$A$8:$N$8,0))/1000)</f>
        <v>2.5025068556143713</v>
      </c>
      <c r="H21" s="89">
        <v>49464</v>
      </c>
      <c r="I21" s="622">
        <f>H21*(INDEX('Ex ante LI &amp; Eligibility Stats'!$A:$M,MATCH('Program MW '!$A21,'Ex ante LI &amp; Eligibility Stats'!$A:$A,0),MATCH('Program MW '!I$6,'Ex ante LI &amp; Eligibility Stats'!$A$8:$M$8,0))/1000)</f>
        <v>5.1495372178509162E-3</v>
      </c>
      <c r="J21" s="211">
        <f>H21*(INDEX('Ex post LI &amp; Eligibility Stats'!$A:$N,MATCH($A21,'Ex post LI &amp; Eligibility Stats'!$A:$A,0),MATCH('Program MW '!I$6,'Ex post LI &amp; Eligibility Stats'!$A$8:$N$8,0))/1000)</f>
        <v>2.4714291240288557</v>
      </c>
      <c r="K21" s="353">
        <v>47869</v>
      </c>
      <c r="L21" s="210">
        <f>K21*(INDEX('Ex ante LI &amp; Eligibility Stats'!$A:$M,MATCH('Program MW '!$A21,'Ex ante LI &amp; Eligibility Stats'!$A:$A,0),MATCH('Program MW '!L$6,'Ex ante LI &amp; Eligibility Stats'!$A$8:$M$8,0))/1000)</f>
        <v>2.5417313660126003E-2</v>
      </c>
      <c r="M21" s="211">
        <f>K21*(INDEX('Ex post LI &amp; Eligibility Stats'!$A:$N,MATCH($A21,'Ex post LI &amp; Eligibility Stats'!$A:$A,0),MATCH('Program MW '!L$6,'Ex post LI &amp; Eligibility Stats'!$A$8:$N$8,0))/1000)</f>
        <v>0.2206802573959083</v>
      </c>
      <c r="N21" s="89">
        <v>48945</v>
      </c>
      <c r="O21" s="210">
        <f>N21*(INDEX('Ex ante LI &amp; Eligibility Stats'!$A:$M,MATCH('Program MW '!$A21,'Ex ante LI &amp; Eligibility Stats'!$A:$A,0),MATCH('Program MW '!O$6,'Ex ante LI &amp; Eligibility Stats'!$A$8:$M$8,0))/1000)</f>
        <v>9.2590099199680975E-2</v>
      </c>
      <c r="P21" s="211">
        <f>N21*(INDEX('Ex post LI &amp; Eligibility Stats'!$A:$N,MATCH($A21,'Ex post LI &amp; Eligibility Stats'!$A:$A,0),MATCH('Program MW '!O$6,'Ex post LI &amp; Eligibility Stats'!$A$8:$N$8,0))/1000)</f>
        <v>0.22564071107068734</v>
      </c>
      <c r="Q21" s="89">
        <v>48945</v>
      </c>
      <c r="R21" s="210">
        <f>Q21*(INDEX('Ex ante LI &amp; Eligibility Stats'!$A:$M,MATCH('Program MW '!$A21,'Ex ante LI &amp; Eligibility Stats'!$A:$A,0),MATCH('Program MW '!R$6,'Ex ante LI &amp; Eligibility Stats'!$A$8:$M$8,0))/1000)</f>
        <v>3.9979258320310504E-2</v>
      </c>
      <c r="S21" s="211">
        <f>Q21*(INDEX('Ex post LI &amp; Eligibility Stats'!$A:$N,MATCH($A21,'Ex post LI &amp; Eligibility Stats'!$A:$A,0),MATCH('Program MW '!R$6,'Ex post LI &amp; Eligibility Stats'!$A$8:$N$8,0))/1000)</f>
        <v>0.22564071107068734</v>
      </c>
      <c r="T21" s="4"/>
      <c r="U21" s="6"/>
      <c r="V21" s="6"/>
      <c r="W21" s="6"/>
      <c r="X21" s="6"/>
      <c r="Y21" s="6"/>
      <c r="Z21" s="6"/>
      <c r="AA21" s="6"/>
      <c r="AB21" s="6"/>
      <c r="AC21" s="6"/>
      <c r="AD21" s="6"/>
      <c r="AE21" s="6"/>
    </row>
    <row r="22" spans="1:31">
      <c r="A22" s="132" t="s">
        <v>27</v>
      </c>
      <c r="B22" s="170">
        <v>22881</v>
      </c>
      <c r="C22" s="212">
        <f>B22*(INDEX('Ex ante LI &amp; Eligibility Stats'!$A:$M,MATCH($A22,'Ex ante LI &amp; Eligibility Stats'!$A:$A,0),MATCH('Program MW '!C$6,'Ex ante LI &amp; Eligibility Stats'!$A$8:$M$8,0))/1000)</f>
        <v>0.88547235500067478</v>
      </c>
      <c r="D22" s="213">
        <f>B22*(INDEX('Ex post LI &amp; Eligibility Stats'!$A:$N,MATCH($A22,'Ex post LI &amp; Eligibility Stats'!$A:$A,0),MATCH('Program MW '!C$6,'Ex post LI &amp; Eligibility Stats'!$A$8:$N$8,0))/1000)</f>
        <v>3.8236534905213531</v>
      </c>
      <c r="E22" s="170">
        <v>23402</v>
      </c>
      <c r="F22" s="325">
        <f>E22*(INDEX('Ex ante LI &amp; Eligibility Stats'!$A:$M,MATCH($A22,'Ex ante LI &amp; Eligibility Stats'!$A:$A,0),MATCH('Program MW '!F$6,'Ex ante LI &amp; Eligibility Stats'!$A$8:$M$8,0))/1000)</f>
        <v>0.80414936313033114</v>
      </c>
      <c r="G22" s="211">
        <f>E22*(INDEX('Ex post LI &amp; Eligibility Stats'!$A:$N,MATCH($A22,'Ex post LI &amp; Eligibility Stats'!$A:$A,0),MATCH('Program MW '!F$6,'Ex post LI &amp; Eligibility Stats'!$A$8:$N$8,0))/1000)</f>
        <v>3.9107180186696695</v>
      </c>
      <c r="H22" s="170">
        <v>23233</v>
      </c>
      <c r="I22" s="210">
        <f>H22*(INDEX('Ex ante LI &amp; Eligibility Stats'!$A:$M,MATCH('Program MW '!$A22,'Ex ante LI &amp; Eligibility Stats'!$A:$A,0),MATCH('Program MW '!I$6,'Ex ante LI &amp; Eligibility Stats'!$A$8:$M$8,0))/1000)</f>
        <v>0.9825671277207032</v>
      </c>
      <c r="J22" s="211">
        <f>H22*(INDEX('Ex post LI &amp; Eligibility Stats'!$A:$N,MATCH($A22,'Ex post LI &amp; Eligibility Stats'!$A:$A,0),MATCH('Program MW '!I$6,'Ex post LI &amp; Eligibility Stats'!$A$8:$N$8,0))/1000)</f>
        <v>3.8824763579075476</v>
      </c>
      <c r="K22" s="353">
        <v>22088</v>
      </c>
      <c r="L22" s="210">
        <f>K22*(INDEX('Ex ante LI &amp; Eligibility Stats'!$A:$M,MATCH('Program MW '!$A22,'Ex ante LI &amp; Eligibility Stats'!$A:$A,0),MATCH('Program MW '!L$6,'Ex ante LI &amp; Eligibility Stats'!$A$8:$M$8,0))/1000)</f>
        <v>0.69595816707281388</v>
      </c>
      <c r="M22" s="211">
        <f>K22*(INDEX('Ex post LI &amp; Eligibility Stats'!$A:$N,MATCH($A22,'Ex post LI &amp; Eligibility Stats'!$A:$A,0),MATCH('Program MW '!L$6,'Ex post LI &amp; Eligibility Stats'!$A$8:$N$8,0))/1000)</f>
        <v>1.3208415912067555</v>
      </c>
      <c r="N22" s="170">
        <v>12623</v>
      </c>
      <c r="O22" s="210">
        <f>N22*(INDEX('Ex ante LI &amp; Eligibility Stats'!$A:$M,MATCH('Program MW '!$A22,'Ex ante LI &amp; Eligibility Stats'!$A:$A,0),MATCH('Program MW '!O$6,'Ex ante LI &amp; Eligibility Stats'!$A$8:$M$8,0))/1000)</f>
        <v>0.40837835693995023</v>
      </c>
      <c r="P22" s="211">
        <f>N22*(INDEX('Ex post LI &amp; Eligibility Stats'!$A:$N,MATCH($A22,'Ex post LI &amp; Eligibility Stats'!$A:$A,0),MATCH('Program MW '!O$6,'Ex post LI &amp; Eligibility Stats'!$A$8:$N$8,0))/1000)</f>
        <v>0.75484350804974987</v>
      </c>
      <c r="Q22" s="170">
        <v>13061</v>
      </c>
      <c r="R22" s="210">
        <f>Q22*(INDEX('Ex ante LI &amp; Eligibility Stats'!$A:$M,MATCH('Program MW '!$A22,'Ex ante LI &amp; Eligibility Stats'!$A:$A,0),MATCH('Program MW '!R$6,'Ex ante LI &amp; Eligibility Stats'!$A$8:$M$8,0))/1000)</f>
        <v>1.4023655597744806</v>
      </c>
      <c r="S22" s="211">
        <f>Q22*(INDEX('Ex post LI &amp; Eligibility Stats'!$A:$N,MATCH($A22,'Ex post LI &amp; Eligibility Stats'!$A:$A,0),MATCH('Program MW '!R$6,'Ex post LI &amp; Eligibility Stats'!$A$8:$N$8,0))/1000)</f>
        <v>0.78103549541612793</v>
      </c>
      <c r="T22" s="4"/>
      <c r="U22" s="6"/>
      <c r="V22" s="6"/>
      <c r="W22" s="6"/>
      <c r="X22" s="6"/>
      <c r="Y22" s="6"/>
      <c r="Z22" s="6"/>
      <c r="AA22" s="6"/>
      <c r="AB22" s="6"/>
      <c r="AC22" s="6"/>
      <c r="AD22" s="6"/>
      <c r="AE22" s="6"/>
    </row>
    <row r="23" spans="1:31" ht="13.5" thickBot="1">
      <c r="A23" s="99" t="s">
        <v>56</v>
      </c>
      <c r="B23" s="88">
        <f t="shared" ref="B23:S23" si="3">SUM(B12:B22)</f>
        <v>106871</v>
      </c>
      <c r="C23" s="97">
        <f t="shared" si="3"/>
        <v>2.1475986134405072</v>
      </c>
      <c r="D23" s="96">
        <f t="shared" si="3"/>
        <v>15.168218672869633</v>
      </c>
      <c r="E23" s="1">
        <f t="shared" si="3"/>
        <v>106733</v>
      </c>
      <c r="F23" s="133">
        <f t="shared" si="3"/>
        <v>2.0505226096004208</v>
      </c>
      <c r="G23" s="134">
        <f t="shared" si="3"/>
        <v>15.333457467169842</v>
      </c>
      <c r="H23" s="1">
        <f t="shared" si="3"/>
        <v>106104</v>
      </c>
      <c r="I23" s="133">
        <f t="shared" si="3"/>
        <v>0.98865778733633458</v>
      </c>
      <c r="J23" s="134">
        <f t="shared" si="3"/>
        <v>15.320488449463438</v>
      </c>
      <c r="K23" s="1">
        <f t="shared" si="3"/>
        <v>103745</v>
      </c>
      <c r="L23" s="133">
        <f t="shared" si="3"/>
        <v>3.7508748791737081</v>
      </c>
      <c r="M23" s="134">
        <f t="shared" si="3"/>
        <v>9.5977808346518909</v>
      </c>
      <c r="N23" s="1">
        <f t="shared" si="3"/>
        <v>95324</v>
      </c>
      <c r="O23" s="135">
        <f t="shared" si="3"/>
        <v>4.5629459512272845</v>
      </c>
      <c r="P23" s="138">
        <f t="shared" si="3"/>
        <v>9.097153916171079</v>
      </c>
      <c r="Q23" s="1">
        <f t="shared" si="3"/>
        <v>95729</v>
      </c>
      <c r="R23" s="142">
        <f t="shared" si="3"/>
        <v>4.8225598840909916</v>
      </c>
      <c r="S23" s="143">
        <f t="shared" si="3"/>
        <v>9.1321412676560758</v>
      </c>
      <c r="T23" s="5"/>
      <c r="U23" s="6"/>
      <c r="V23" s="6"/>
      <c r="W23" s="6"/>
      <c r="X23" s="6"/>
      <c r="Y23" s="6"/>
      <c r="Z23" s="6"/>
      <c r="AA23" s="6"/>
      <c r="AB23" s="6"/>
      <c r="AC23" s="6"/>
      <c r="AD23" s="6"/>
      <c r="AE23" s="6"/>
    </row>
    <row r="24" spans="1:31" ht="14.1" thickTop="1" thickBot="1">
      <c r="A24" s="102" t="s">
        <v>57</v>
      </c>
      <c r="B24" s="2">
        <f t="shared" ref="B24:S24" si="4">+B10+B23</f>
        <v>106871</v>
      </c>
      <c r="C24" s="97">
        <f t="shared" si="4"/>
        <v>2.1475986134405072</v>
      </c>
      <c r="D24" s="168">
        <f t="shared" si="4"/>
        <v>15.168218672869633</v>
      </c>
      <c r="E24" s="2">
        <f t="shared" si="4"/>
        <v>106733</v>
      </c>
      <c r="F24" s="97">
        <f t="shared" si="4"/>
        <v>2.0505226096004208</v>
      </c>
      <c r="G24" s="97">
        <f t="shared" si="4"/>
        <v>15.333457467169842</v>
      </c>
      <c r="H24" s="2">
        <f t="shared" si="4"/>
        <v>106104</v>
      </c>
      <c r="I24" s="97">
        <f t="shared" si="4"/>
        <v>0.98865778733633458</v>
      </c>
      <c r="J24" s="96">
        <f t="shared" si="4"/>
        <v>15.320488449463438</v>
      </c>
      <c r="K24" s="2">
        <f t="shared" si="4"/>
        <v>103745</v>
      </c>
      <c r="L24" s="97">
        <f t="shared" si="4"/>
        <v>3.7508748791737081</v>
      </c>
      <c r="M24" s="96">
        <f t="shared" si="4"/>
        <v>9.5977808346518909</v>
      </c>
      <c r="N24" s="2">
        <f t="shared" si="4"/>
        <v>95324</v>
      </c>
      <c r="O24" s="136">
        <f t="shared" si="4"/>
        <v>4.5629459512272845</v>
      </c>
      <c r="P24" s="96">
        <f t="shared" si="4"/>
        <v>9.097153916171079</v>
      </c>
      <c r="Q24" s="2">
        <f t="shared" si="4"/>
        <v>95729</v>
      </c>
      <c r="R24" s="145">
        <f t="shared" si="4"/>
        <v>4.8225598840909916</v>
      </c>
      <c r="S24" s="144">
        <f t="shared" si="4"/>
        <v>9.1321412676560758</v>
      </c>
      <c r="T24" s="7"/>
      <c r="U24" s="6"/>
      <c r="V24" s="6"/>
      <c r="W24" s="6"/>
      <c r="X24" s="6"/>
      <c r="Y24" s="6"/>
      <c r="Z24" s="6"/>
      <c r="AA24" s="6"/>
      <c r="AB24" s="6"/>
      <c r="AC24" s="6"/>
      <c r="AD24" s="6"/>
      <c r="AE24" s="6"/>
    </row>
    <row r="25" spans="1:31" ht="12.95" thickTop="1">
      <c r="A25" s="89"/>
      <c r="B25" s="57"/>
      <c r="C25" s="55"/>
      <c r="D25" s="56"/>
      <c r="E25" s="89"/>
      <c r="F25" s="55"/>
      <c r="G25" s="58"/>
      <c r="H25" s="89"/>
      <c r="I25" s="55"/>
      <c r="J25" s="58"/>
      <c r="K25" s="353"/>
      <c r="L25" s="55"/>
      <c r="M25" s="58"/>
      <c r="N25" s="89"/>
      <c r="O25" s="55"/>
      <c r="P25" s="58"/>
      <c r="Q25" s="89"/>
      <c r="R25" s="55"/>
      <c r="S25" s="58"/>
      <c r="T25" s="8"/>
      <c r="U25" s="6"/>
      <c r="V25" s="6"/>
      <c r="W25" s="6"/>
      <c r="X25" s="6"/>
      <c r="Y25" s="6"/>
      <c r="Z25" s="6"/>
      <c r="AA25" s="6"/>
      <c r="AB25" s="6"/>
      <c r="AC25" s="6"/>
      <c r="AD25" s="6"/>
      <c r="AE25" s="6"/>
    </row>
    <row r="26" spans="1:31">
      <c r="A26" s="170"/>
      <c r="B26" s="35"/>
      <c r="C26" s="35"/>
      <c r="D26" s="35"/>
      <c r="E26" s="170"/>
      <c r="F26" s="35"/>
      <c r="G26" s="35"/>
      <c r="H26" s="170"/>
      <c r="I26" s="35"/>
      <c r="J26" s="35"/>
      <c r="K26" s="353"/>
      <c r="L26" s="35"/>
      <c r="M26" s="35"/>
      <c r="N26" s="170"/>
      <c r="O26" s="35"/>
      <c r="P26" s="35"/>
      <c r="Q26" s="170"/>
      <c r="R26" s="35"/>
      <c r="S26" s="35"/>
    </row>
    <row r="27" spans="1:31" hidden="1">
      <c r="B27" s="35"/>
      <c r="C27" s="35">
        <f>C4+6</f>
        <v>8</v>
      </c>
      <c r="D27" s="35">
        <f>D4+6</f>
        <v>8</v>
      </c>
      <c r="E27" s="35"/>
      <c r="F27" s="35">
        <f>F4+6</f>
        <v>9</v>
      </c>
      <c r="G27" s="35">
        <f>G4+6</f>
        <v>9</v>
      </c>
      <c r="H27" s="35"/>
      <c r="I27" s="35">
        <f>I4+6</f>
        <v>10</v>
      </c>
      <c r="J27" s="35">
        <f>J4+6</f>
        <v>10</v>
      </c>
      <c r="K27" s="35"/>
      <c r="L27" s="35">
        <f>L4+6</f>
        <v>11</v>
      </c>
      <c r="M27" s="35">
        <f>M4+6</f>
        <v>11</v>
      </c>
      <c r="N27" s="35"/>
      <c r="O27" s="35">
        <f>O4+6</f>
        <v>12</v>
      </c>
      <c r="P27" s="35">
        <f>P4+6</f>
        <v>12</v>
      </c>
      <c r="Q27" s="35"/>
      <c r="R27" s="35">
        <f>R4+6</f>
        <v>13</v>
      </c>
      <c r="S27" s="35">
        <f>S4+6</f>
        <v>13</v>
      </c>
    </row>
    <row r="28" spans="1:31" ht="12.95">
      <c r="A28" s="54"/>
      <c r="B28" s="552"/>
      <c r="C28" s="552" t="s">
        <v>58</v>
      </c>
      <c r="D28" s="519">
        <f>DATE(YEAR($H$3),1,1)</f>
        <v>44562</v>
      </c>
      <c r="E28" s="552"/>
      <c r="F28" s="552" t="s">
        <v>59</v>
      </c>
      <c r="G28" s="519">
        <f>DATE(YEAR($H$3),1,1)</f>
        <v>44562</v>
      </c>
      <c r="H28" s="552"/>
      <c r="I28" s="552" t="s">
        <v>60</v>
      </c>
      <c r="J28" s="519">
        <f>DATE(YEAR($H$3),1,1)</f>
        <v>44562</v>
      </c>
      <c r="K28" s="552"/>
      <c r="L28" s="552" t="s">
        <v>61</v>
      </c>
      <c r="M28" s="519">
        <f>DATE(YEAR($H$3),1,1)</f>
        <v>44562</v>
      </c>
      <c r="N28" s="552"/>
      <c r="O28" s="552" t="s">
        <v>62</v>
      </c>
      <c r="P28" s="519">
        <f>DATE(YEAR($H$3),1,1)</f>
        <v>44562</v>
      </c>
      <c r="Q28" s="552"/>
      <c r="R28" s="552" t="s">
        <v>63</v>
      </c>
      <c r="S28" s="519">
        <f>DATE(YEAR($H$3),1,1)</f>
        <v>44562</v>
      </c>
      <c r="T28" s="77"/>
      <c r="U28" s="77"/>
    </row>
    <row r="29" spans="1:31" ht="42.6">
      <c r="A29" s="402" t="s">
        <v>46</v>
      </c>
      <c r="B29" s="405" t="s">
        <v>6</v>
      </c>
      <c r="C29" s="399" t="s">
        <v>48</v>
      </c>
      <c r="D29" s="400" t="s">
        <v>49</v>
      </c>
      <c r="E29" s="405" t="s">
        <v>6</v>
      </c>
      <c r="F29" s="399" t="s">
        <v>48</v>
      </c>
      <c r="G29" s="400" t="s">
        <v>49</v>
      </c>
      <c r="H29" s="405" t="s">
        <v>6</v>
      </c>
      <c r="I29" s="399" t="s">
        <v>48</v>
      </c>
      <c r="J29" s="400" t="s">
        <v>49</v>
      </c>
      <c r="K29" s="405" t="s">
        <v>6</v>
      </c>
      <c r="L29" s="399" t="s">
        <v>48</v>
      </c>
      <c r="M29" s="400" t="s">
        <v>49</v>
      </c>
      <c r="N29" s="405" t="s">
        <v>6</v>
      </c>
      <c r="O29" s="399" t="s">
        <v>48</v>
      </c>
      <c r="P29" s="400" t="s">
        <v>49</v>
      </c>
      <c r="Q29" s="405" t="s">
        <v>6</v>
      </c>
      <c r="R29" s="399" t="s">
        <v>64</v>
      </c>
      <c r="S29" s="400" t="s">
        <v>65</v>
      </c>
      <c r="T29" s="400" t="s">
        <v>50</v>
      </c>
      <c r="V29" s="10"/>
    </row>
    <row r="30" spans="1:31" ht="12.95">
      <c r="A30" s="402" t="s">
        <v>51</v>
      </c>
      <c r="B30" s="405"/>
      <c r="C30" s="403"/>
      <c r="D30" s="406"/>
      <c r="E30" s="405"/>
      <c r="F30" s="403"/>
      <c r="G30" s="406"/>
      <c r="H30" s="405"/>
      <c r="I30" s="403"/>
      <c r="J30" s="403"/>
      <c r="K30" s="405"/>
      <c r="L30" s="403"/>
      <c r="M30" s="406"/>
      <c r="N30" s="405"/>
      <c r="O30" s="403"/>
      <c r="P30" s="406"/>
      <c r="Q30" s="405"/>
      <c r="R30" s="403"/>
      <c r="S30" s="406"/>
      <c r="T30" s="407"/>
    </row>
    <row r="31" spans="1:31">
      <c r="A31" s="51" t="s">
        <v>8</v>
      </c>
      <c r="B31" s="553"/>
      <c r="C31" s="210">
        <f>B31*(INDEX('Ex ante LI &amp; Eligibility Stats'!$A:$M,MATCH('Program MW '!$A31,'Ex ante LI &amp; Eligibility Stats'!$A:$A,0),MATCH('Program MW '!C$28,'Ex ante LI &amp; Eligibility Stats'!$A$8:$M$8,0))/1000)</f>
        <v>0</v>
      </c>
      <c r="D31" s="210">
        <f>B31*(INDEX('Ex post LI &amp; Eligibility Stats'!$A:$N,MATCH($A31,'Ex post LI &amp; Eligibility Stats'!$A:$A,0),MATCH('Program MW '!C$28,'Ex post LI &amp; Eligibility Stats'!$A$8:$N$8,0))/1000)</f>
        <v>0</v>
      </c>
      <c r="E31" s="63"/>
      <c r="F31" s="210">
        <f>E31*(INDEX('Ex ante LI &amp; Eligibility Stats'!$A:$M,MATCH('Program MW '!$A31,'Ex ante LI &amp; Eligibility Stats'!$A:$A,0),MATCH('Program MW '!F$28,'Ex ante LI &amp; Eligibility Stats'!$A$8:$M$8,0))/1000)</f>
        <v>0</v>
      </c>
      <c r="G31" s="210">
        <f>E31*(INDEX('Ex post LI &amp; Eligibility Stats'!$A:$N,MATCH($A31,'Ex post LI &amp; Eligibility Stats'!$A:$A,0),MATCH('Program MW '!F$28,'Ex post LI &amp; Eligibility Stats'!$A$8:$N$8,0))/1000)</f>
        <v>0</v>
      </c>
      <c r="H31" s="353"/>
      <c r="I31" s="210">
        <f>H31*(INDEX('Ex ante LI &amp; Eligibility Stats'!$A:$M,MATCH('Program MW '!$A31,'Ex ante LI &amp; Eligibility Stats'!$A:$A,0),MATCH('Program MW '!I$28,'Ex ante LI &amp; Eligibility Stats'!$A$8:$M$8,0))/1000)</f>
        <v>0</v>
      </c>
      <c r="J31" s="210">
        <f>H31*(INDEX('Ex post LI &amp; Eligibility Stats'!$A:$N,MATCH($A31,'Ex post LI &amp; Eligibility Stats'!$A:$A,0),MATCH('Program MW '!I$28,'Ex post LI &amp; Eligibility Stats'!$A$8:$N$8,0))/1000)</f>
        <v>0</v>
      </c>
      <c r="K31" s="418"/>
      <c r="L31" s="210">
        <f>K31*(INDEX('Ex ante LI &amp; Eligibility Stats'!$A:$M,MATCH('Program MW '!$A31,'Ex ante LI &amp; Eligibility Stats'!$A:$A,0),MATCH('Program MW '!L$28,'Ex ante LI &amp; Eligibility Stats'!$A$8:$M$8,0))/1000)</f>
        <v>0</v>
      </c>
      <c r="M31" s="210">
        <f>K31*(INDEX('Ex post LI &amp; Eligibility Stats'!$A:$N,MATCH($A31,'Ex post LI &amp; Eligibility Stats'!$A:$A,0),MATCH('Program MW '!L$28,'Ex post LI &amp; Eligibility Stats'!$A$8:$N$8,0))/1000)</f>
        <v>0</v>
      </c>
      <c r="N31" s="63"/>
      <c r="O31" s="210">
        <f>N31*(INDEX('Ex ante LI &amp; Eligibility Stats'!$A:$M,MATCH('Program MW '!$A31,'Ex ante LI &amp; Eligibility Stats'!$A:$A,0),MATCH('Program MW '!O$28,'Ex ante LI &amp; Eligibility Stats'!$A$8:$M$8,0))/1000)</f>
        <v>0</v>
      </c>
      <c r="P31" s="210">
        <f>N31*(INDEX('Ex post LI &amp; Eligibility Stats'!$A:$N,MATCH($A31,'Ex post LI &amp; Eligibility Stats'!$A:$A,0),MATCH('Program MW '!O$28,'Ex post LI &amp; Eligibility Stats'!$A$8:$N$8,0))/1000)</f>
        <v>0</v>
      </c>
      <c r="Q31" s="63"/>
      <c r="R31" s="210">
        <f>Q31*(INDEX('Ex ante LI &amp; Eligibility Stats'!$A:$M,MATCH('Program MW '!$A31,'Ex ante LI &amp; Eligibility Stats'!$A:$A,0),MATCH('Program MW '!R$28,'Ex ante LI &amp; Eligibility Stats'!$A$8:$M$8,0))/1000)</f>
        <v>0</v>
      </c>
      <c r="S31" s="210">
        <f>Q31*(INDEX('Ex post LI &amp; Eligibility Stats'!$A:$N,MATCH($A31,'Ex post LI &amp; Eligibility Stats'!$A:$A,0),MATCH('Program MW '!R$28,'Ex post LI &amp; Eligibility Stats'!$A$8:$N$8,0))/1000)</f>
        <v>0</v>
      </c>
      <c r="T31" s="4">
        <v>5276</v>
      </c>
    </row>
    <row r="32" spans="1:31" ht="13.5" thickBot="1">
      <c r="A32" s="99" t="s">
        <v>52</v>
      </c>
      <c r="B32" s="86">
        <f t="shared" ref="B32:K32" si="5">SUM(B31:B31)</f>
        <v>0</v>
      </c>
      <c r="C32" s="160">
        <f t="shared" si="5"/>
        <v>0</v>
      </c>
      <c r="D32" s="161">
        <f t="shared" si="5"/>
        <v>0</v>
      </c>
      <c r="E32" s="64">
        <f t="shared" si="5"/>
        <v>0</v>
      </c>
      <c r="F32" s="160">
        <f t="shared" ref="F32:G32" si="6">SUM(F31:F31)</f>
        <v>0</v>
      </c>
      <c r="G32" s="161">
        <f t="shared" si="6"/>
        <v>0</v>
      </c>
      <c r="H32" s="64">
        <f t="shared" si="5"/>
        <v>0</v>
      </c>
      <c r="I32" s="160">
        <f t="shared" si="5"/>
        <v>0</v>
      </c>
      <c r="J32" s="161">
        <f t="shared" si="5"/>
        <v>0</v>
      </c>
      <c r="K32" s="64">
        <f t="shared" si="5"/>
        <v>0</v>
      </c>
      <c r="L32" s="160">
        <f t="shared" ref="L32:M32" si="7">SUM(L31:L31)</f>
        <v>0</v>
      </c>
      <c r="M32" s="161">
        <f t="shared" si="7"/>
        <v>0</v>
      </c>
      <c r="N32" s="64">
        <f t="shared" ref="N32:Q32" si="8">SUM(N31:N31)</f>
        <v>0</v>
      </c>
      <c r="O32" s="160">
        <f t="shared" ref="O32:P32" si="9">SUM(O31:O31)</f>
        <v>0</v>
      </c>
      <c r="P32" s="161">
        <f t="shared" si="9"/>
        <v>0</v>
      </c>
      <c r="Q32" s="64">
        <f t="shared" si="8"/>
        <v>0</v>
      </c>
      <c r="R32" s="160">
        <f t="shared" ref="R32:S32" si="10">SUM(R31:R31)</f>
        <v>0</v>
      </c>
      <c r="S32" s="161">
        <f t="shared" si="10"/>
        <v>0</v>
      </c>
      <c r="T32" s="5"/>
    </row>
    <row r="33" spans="1:26" ht="13.5" thickTop="1">
      <c r="A33" s="402" t="s">
        <v>53</v>
      </c>
      <c r="B33" s="413"/>
      <c r="C33" s="411"/>
      <c r="D33" s="100"/>
      <c r="E33" s="413"/>
      <c r="F33" s="411"/>
      <c r="G33" s="100"/>
      <c r="H33" s="413"/>
      <c r="I33" s="411"/>
      <c r="J33" s="100"/>
      <c r="K33" s="413"/>
      <c r="L33" s="411"/>
      <c r="M33" s="100"/>
      <c r="N33" s="413"/>
      <c r="O33" s="411"/>
      <c r="P33" s="100"/>
      <c r="Q33" s="413"/>
      <c r="R33" s="411"/>
      <c r="S33" s="100"/>
      <c r="T33" s="407"/>
    </row>
    <row r="34" spans="1:26">
      <c r="A34" s="36" t="s">
        <v>11</v>
      </c>
      <c r="B34" s="414">
        <v>5198</v>
      </c>
      <c r="C34" s="210">
        <f>B34*(INDEX('Ex ante LI &amp; Eligibility Stats'!$A:$M,MATCH('Program MW '!$A34,'Ex ante LI &amp; Eligibility Stats'!$A:$A,0),MATCH('Program MW '!C$28,'Ex ante LI &amp; Eligibility Stats'!$A$8:$M$8,0))/1000)</f>
        <v>2.7025158580675708</v>
      </c>
      <c r="D34" s="415">
        <f>B34*(INDEX('Ex post LI &amp; Eligibility Stats'!$A:$N,MATCH($A34,'Ex post LI &amp; Eligibility Stats'!$A:$A,0),MATCH('Program MW '!C$28,'Ex post LI &amp; Eligibility Stats'!$A$8:$N$8,0))/1000)</f>
        <v>0.16523949123623641</v>
      </c>
      <c r="E34" s="414">
        <v>5227</v>
      </c>
      <c r="F34" s="210">
        <f>E34*(INDEX('Ex ante LI &amp; Eligibility Stats'!$A:$M,MATCH('Program MW '!$A34,'Ex ante LI &amp; Eligibility Stats'!$A:$A,0),MATCH('Program MW '!F$28,'Ex ante LI &amp; Eligibility Stats'!$A$8:$M$8,0))/1000)</f>
        <v>3.0162557216475916</v>
      </c>
      <c r="G34" s="415">
        <f>E34*(INDEX('Ex post LI &amp; Eligibility Stats'!$A:$N,MATCH($A34,'Ex post LI &amp; Eligibility Stats'!$A:$A,0),MATCH('Program MW '!F$28,'Ex post LI &amp; Eligibility Stats'!$A$8:$N$8,0))/1000)</f>
        <v>0.16616137373832393</v>
      </c>
      <c r="H34" s="414">
        <v>5140</v>
      </c>
      <c r="I34" s="210">
        <f>H34*(INDEX('Ex ante LI &amp; Eligibility Stats'!$A:$M,MATCH('Program MW '!$A34,'Ex ante LI &amp; Eligibility Stats'!$A:$A,0),MATCH('Program MW '!I$28,'Ex ante LI &amp; Eligibility Stats'!$A$8:$M$8,0))/1000)</f>
        <v>3.1182746971131263</v>
      </c>
      <c r="J34" s="415">
        <f>H34*(INDEX('Ex post LI &amp; Eligibility Stats'!$A:$N,MATCH($A34,'Ex post LI &amp; Eligibility Stats'!$A:$A,0),MATCH('Program MW '!I$28,'Ex post LI &amp; Eligibility Stats'!$A$8:$N$8,0))/1000)</f>
        <v>0.16339572623206142</v>
      </c>
      <c r="K34" s="414"/>
      <c r="L34" s="210">
        <f>K34*(INDEX('Ex ante LI &amp; Eligibility Stats'!$A:$M,MATCH('Program MW '!$A34,'Ex ante LI &amp; Eligibility Stats'!$A:$A,0),MATCH('Program MW '!L$28,'Ex ante LI &amp; Eligibility Stats'!$A$8:$M$8,0))/1000)</f>
        <v>0</v>
      </c>
      <c r="M34" s="415">
        <f>K34*(INDEX('Ex post LI &amp; Eligibility Stats'!$A:$N,MATCH($A34,'Ex post LI &amp; Eligibility Stats'!$A:$A,0),MATCH('Program MW '!L$28,'Ex post LI &amp; Eligibility Stats'!$A$8:$N$8,0))/1000)</f>
        <v>0</v>
      </c>
      <c r="N34" s="414"/>
      <c r="O34" s="210">
        <f>N34*(INDEX('Ex ante LI &amp; Eligibility Stats'!$A:$M,MATCH('Program MW '!$A34,'Ex ante LI &amp; Eligibility Stats'!$A:$A,0),MATCH('Program MW '!O$28,'Ex ante LI &amp; Eligibility Stats'!$A$8:$M$8,0))/1000)</f>
        <v>0</v>
      </c>
      <c r="P34" s="415">
        <f>N34*(INDEX('Ex post LI &amp; Eligibility Stats'!$A:$N,MATCH($A34,'Ex post LI &amp; Eligibility Stats'!$A:$A,0),MATCH('Program MW '!O$28,'Ex post LI &amp; Eligibility Stats'!$A$8:$N$8,0))/1000)</f>
        <v>0</v>
      </c>
      <c r="Q34" s="414"/>
      <c r="R34" s="210">
        <f>Q34*(INDEX('Ex ante LI &amp; Eligibility Stats'!$A:$M,MATCH('Program MW '!$A34,'Ex ante LI &amp; Eligibility Stats'!$A:$A,0),MATCH('Program MW '!R$28,'Ex ante LI &amp; Eligibility Stats'!$A$8:$M$8,0))/1000)</f>
        <v>0</v>
      </c>
      <c r="S34" s="415">
        <f>Q34*(INDEX('Ex post LI &amp; Eligibility Stats'!$A:$N,MATCH($A34,'Ex post LI &amp; Eligibility Stats'!$A:$A,0),MATCH('Program MW '!R$28,'Ex post LI &amp; Eligibility Stats'!$A$8:$N$8,0))/1000)</f>
        <v>0</v>
      </c>
      <c r="T34" s="417">
        <v>138123</v>
      </c>
    </row>
    <row r="35" spans="1:26" ht="13.5">
      <c r="A35" s="114" t="s">
        <v>54</v>
      </c>
      <c r="B35" s="115">
        <v>0</v>
      </c>
      <c r="C35" s="210">
        <v>0</v>
      </c>
      <c r="D35" s="211">
        <v>0</v>
      </c>
      <c r="E35" s="115">
        <v>0</v>
      </c>
      <c r="F35" s="210">
        <v>0</v>
      </c>
      <c r="G35" s="211">
        <v>0</v>
      </c>
      <c r="H35" s="115">
        <v>0</v>
      </c>
      <c r="I35" s="210">
        <v>0</v>
      </c>
      <c r="J35" s="211">
        <v>0</v>
      </c>
      <c r="K35" s="115"/>
      <c r="L35" s="210">
        <v>0</v>
      </c>
      <c r="M35" s="211">
        <v>0</v>
      </c>
      <c r="N35" s="115"/>
      <c r="O35" s="210">
        <v>0</v>
      </c>
      <c r="P35" s="211">
        <v>0</v>
      </c>
      <c r="Q35" s="115"/>
      <c r="R35" s="210">
        <v>0</v>
      </c>
      <c r="S35" s="211">
        <v>0</v>
      </c>
      <c r="T35" s="4"/>
    </row>
    <row r="36" spans="1:26">
      <c r="A36" s="114" t="s">
        <v>66</v>
      </c>
      <c r="B36" s="115">
        <v>0</v>
      </c>
      <c r="C36" s="325">
        <v>0</v>
      </c>
      <c r="D36" s="301">
        <v>0</v>
      </c>
      <c r="E36" s="115">
        <v>0</v>
      </c>
      <c r="F36" s="325">
        <v>0</v>
      </c>
      <c r="G36" s="623">
        <v>0</v>
      </c>
      <c r="H36" s="115">
        <v>0</v>
      </c>
      <c r="I36" s="325">
        <v>0</v>
      </c>
      <c r="J36" s="623">
        <v>0</v>
      </c>
      <c r="K36" s="115"/>
      <c r="L36" s="325">
        <v>0</v>
      </c>
      <c r="M36" s="623">
        <v>0</v>
      </c>
      <c r="N36" s="115"/>
      <c r="O36" s="325">
        <v>0</v>
      </c>
      <c r="P36" s="623">
        <v>0</v>
      </c>
      <c r="Q36" s="115"/>
      <c r="R36" s="325">
        <v>0</v>
      </c>
      <c r="S36" s="623">
        <v>0</v>
      </c>
      <c r="T36" s="4"/>
    </row>
    <row r="37" spans="1:26">
      <c r="A37" s="172" t="s">
        <v>17</v>
      </c>
      <c r="B37" s="89">
        <v>17808</v>
      </c>
      <c r="C37" s="210">
        <f>B37*(INDEX('Ex ante LI &amp; Eligibility Stats'!$A:$M,MATCH('Program MW '!$A37,'Ex ante LI &amp; Eligibility Stats'!$A:$A,0),MATCH('Program MW '!C$28,'Ex ante LI &amp; Eligibility Stats'!$A$8:$M$8,0))/1000)</f>
        <v>2.5532816061973573</v>
      </c>
      <c r="D37" s="211">
        <f>B37*(INDEX('Ex post LI &amp; Eligibility Stats'!$A:$N,MATCH($A37,'Ex post LI &amp; Eligibility Stats'!$A:$A,0),MATCH('Program MW '!C$28,'Ex post LI &amp; Eligibility Stats'!$A$8:$N$8,0))/1000)</f>
        <v>7.2263576974868782</v>
      </c>
      <c r="E37" s="89">
        <v>18625</v>
      </c>
      <c r="F37" s="210">
        <f>E37*(INDEX('Ex ante LI &amp; Eligibility Stats'!$A:$M,MATCH('Program MW '!$A37,'Ex ante LI &amp; Eligibility Stats'!$A:$A,0),MATCH('Program MW '!F$28,'Ex ante LI &amp; Eligibility Stats'!$A$8:$M$8,0))/1000)</f>
        <v>3.3838093131780624</v>
      </c>
      <c r="G37" s="211">
        <f>E37*(INDEX('Ex post LI &amp; Eligibility Stats'!$A:$N,MATCH($A37,'Ex post LI &amp; Eligibility Stats'!$A:$A,0),MATCH('Program MW '!F$28,'Ex post LI &amp; Eligibility Stats'!$A$8:$N$8,0))/1000)</f>
        <v>7.5578903928399086</v>
      </c>
      <c r="H37" s="89">
        <v>19161</v>
      </c>
      <c r="I37" s="210">
        <f>H37*(INDEX('Ex ante LI &amp; Eligibility Stats'!$A:$M,MATCH('Program MW '!$A37,'Ex ante LI &amp; Eligibility Stats'!$A:$A,0),MATCH('Program MW '!I$28,'Ex ante LI &amp; Eligibility Stats'!$A$8:$M$8,0))/1000)</f>
        <v>4.301789268359542</v>
      </c>
      <c r="J37" s="211">
        <f>H37*(INDEX('Ex post LI &amp; Eligibility Stats'!$A:$N,MATCH($A37,'Ex post LI &amp; Eligibility Stats'!$A:$A,0),MATCH('Program MW '!I$28,'Ex post LI &amp; Eligibility Stats'!$A$8:$N$8,0))/1000)</f>
        <v>7.7753953190445904</v>
      </c>
      <c r="K37" s="89"/>
      <c r="L37" s="210">
        <f>K37*(INDEX('Ex ante LI &amp; Eligibility Stats'!$A:$M,MATCH('Program MW '!$A37,'Ex ante LI &amp; Eligibility Stats'!$A:$A,0),MATCH('Program MW '!L$28,'Ex ante LI &amp; Eligibility Stats'!$A$8:$M$8,0))/1000)</f>
        <v>0</v>
      </c>
      <c r="M37" s="211">
        <f>K37*(INDEX('Ex post LI &amp; Eligibility Stats'!$A:$N,MATCH($A37,'Ex post LI &amp; Eligibility Stats'!$A:$A,0),MATCH('Program MW '!L$28,'Ex post LI &amp; Eligibility Stats'!$A$8:$N$8,0))/1000)</f>
        <v>0</v>
      </c>
      <c r="N37" s="89"/>
      <c r="O37" s="301">
        <f>N37*(INDEX('Ex ante LI &amp; Eligibility Stats'!$A:$M,MATCH('Program MW '!$A37,'Ex ante LI &amp; Eligibility Stats'!$A:$A,0),MATCH('Program MW '!O$28,'Ex ante LI &amp; Eligibility Stats'!$A$8:$M$8,0))/1000)</f>
        <v>0</v>
      </c>
      <c r="P37" s="211">
        <f>N37*(INDEX('Ex post LI &amp; Eligibility Stats'!$A:$N,MATCH($A37,'Ex post LI &amp; Eligibility Stats'!$A:$A,0),MATCH('Program MW '!O$28,'Ex post LI &amp; Eligibility Stats'!$A$8:$N$8,0))/1000)</f>
        <v>0</v>
      </c>
      <c r="Q37" s="89"/>
      <c r="R37" s="210">
        <f>Q37*(INDEX('Ex ante LI &amp; Eligibility Stats'!$A:$M,MATCH('Program MW '!$A37,'Ex ante LI &amp; Eligibility Stats'!$A:$A,0),MATCH('Program MW '!R$28,'Ex ante LI &amp; Eligibility Stats'!$A$8:$M$8,0))/1000)</f>
        <v>0</v>
      </c>
      <c r="S37" s="211">
        <f>Q37*(INDEX('Ex post LI &amp; Eligibility Stats'!$A:$N,MATCH($A37,'Ex post LI &amp; Eligibility Stats'!$A:$A,0),MATCH('Program MW '!R$28,'Ex post LI &amp; Eligibility Stats'!$A$8:$N$8,0))/1000)</f>
        <v>0</v>
      </c>
      <c r="T37" s="4">
        <v>663393.5</v>
      </c>
    </row>
    <row r="38" spans="1:26">
      <c r="A38" s="172" t="s">
        <v>20</v>
      </c>
      <c r="B38" s="89">
        <v>164</v>
      </c>
      <c r="C38" s="210">
        <f>B38*(INDEX('Ex ante LI &amp; Eligibility Stats'!$A:$M,MATCH('Program MW '!$A38,'Ex ante LI &amp; Eligibility Stats'!$A:$A,0),MATCH('Program MW '!C$28,'Ex ante LI &amp; Eligibility Stats'!$A$8:$M$8,0))/1000)</f>
        <v>0.12479035019874574</v>
      </c>
      <c r="D38" s="211">
        <f>B38*(INDEX('Ex post LI &amp; Eligibility Stats'!$A:$N,MATCH($A38,'Ex post LI &amp; Eligibility Stats'!$A:$A,0),MATCH('Program MW '!C$28,'Ex post LI &amp; Eligibility Stats'!$A$8:$N$8,0))/1000)</f>
        <v>0.15294857358932495</v>
      </c>
      <c r="E38" s="89">
        <v>164</v>
      </c>
      <c r="F38" s="210">
        <f>E38*(INDEX('Ex ante LI &amp; Eligibility Stats'!$A:$M,MATCH('Program MW '!$A38,'Ex ante LI &amp; Eligibility Stats'!$A:$A,0),MATCH('Program MW '!F$28,'Ex ante LI &amp; Eligibility Stats'!$A$8:$M$8,0))/1000)</f>
        <v>0.15125869250297547</v>
      </c>
      <c r="G38" s="211">
        <f>E38*(INDEX('Ex post LI &amp; Eligibility Stats'!$A:$N,MATCH($A38,'Ex post LI &amp; Eligibility Stats'!$A:$A,0),MATCH('Program MW '!F$28,'Ex post LI &amp; Eligibility Stats'!$A$8:$N$8,0))/1000)</f>
        <v>0.15294857358932495</v>
      </c>
      <c r="H38" s="89">
        <v>162</v>
      </c>
      <c r="I38" s="210">
        <f>H38*(INDEX('Ex ante LI &amp; Eligibility Stats'!$A:$M,MATCH('Program MW '!$A38,'Ex ante LI &amp; Eligibility Stats'!$A:$A,0),MATCH('Program MW '!I$28,'Ex ante LI &amp; Eligibility Stats'!$A$8:$M$8,0))/1000)</f>
        <v>0.10681404948234557</v>
      </c>
      <c r="J38" s="211">
        <f>H38*(INDEX('Ex post LI &amp; Eligibility Stats'!$A:$N,MATCH($A38,'Ex post LI &amp; Eligibility Stats'!$A:$A,0),MATCH('Program MW '!I$28,'Ex post LI &amp; Eligibility Stats'!$A$8:$N$8,0))/1000)</f>
        <v>0.15108334708213805</v>
      </c>
      <c r="K38" s="89"/>
      <c r="L38" s="210">
        <f>K38*(INDEX('Ex ante LI &amp; Eligibility Stats'!$A:$M,MATCH('Program MW '!$A38,'Ex ante LI &amp; Eligibility Stats'!$A:$A,0),MATCH('Program MW '!L$28,'Ex ante LI &amp; Eligibility Stats'!$A$8:$M$8,0))/1000)</f>
        <v>0</v>
      </c>
      <c r="M38" s="211">
        <f>K38*(INDEX('Ex post LI &amp; Eligibility Stats'!$A:$N,MATCH($A38,'Ex post LI &amp; Eligibility Stats'!$A:$A,0),MATCH('Program MW '!L$28,'Ex post LI &amp; Eligibility Stats'!$A$8:$N$8,0))/1000)</f>
        <v>0</v>
      </c>
      <c r="N38" s="89"/>
      <c r="O38" s="210">
        <f>N38*(INDEX('Ex ante LI &amp; Eligibility Stats'!$A:$M,MATCH('Program MW '!$A38,'Ex ante LI &amp; Eligibility Stats'!$A:$A,0),MATCH('Program MW '!O$28,'Ex ante LI &amp; Eligibility Stats'!$A$8:$M$8,0))/1000)</f>
        <v>0</v>
      </c>
      <c r="P38" s="211">
        <f>N38*(INDEX('Ex post LI &amp; Eligibility Stats'!$A:$N,MATCH($A38,'Ex post LI &amp; Eligibility Stats'!$A:$A,0),MATCH('Program MW '!O$28,'Ex post LI &amp; Eligibility Stats'!$A$8:$N$8,0))/1000)</f>
        <v>0</v>
      </c>
      <c r="Q38" s="89"/>
      <c r="R38" s="210">
        <f>Q38*(INDEX('Ex ante LI &amp; Eligibility Stats'!$A:$M,MATCH('Program MW '!$A38,'Ex ante LI &amp; Eligibility Stats'!$A:$A,0),MATCH('Program MW '!R$28,'Ex ante LI &amp; Eligibility Stats'!$A$8:$M$8,0))/1000)</f>
        <v>0</v>
      </c>
      <c r="S38" s="211">
        <f>Q38*(INDEX('Ex post LI &amp; Eligibility Stats'!$A:$N,MATCH($A38,'Ex post LI &amp; Eligibility Stats'!$A:$A,0),MATCH('Program MW '!R$28,'Ex post LI &amp; Eligibility Stats'!$A$8:$N$8,0))/1000)</f>
        <v>0</v>
      </c>
      <c r="T38" s="4"/>
    </row>
    <row r="39" spans="1:26">
      <c r="A39" s="172" t="s">
        <v>21</v>
      </c>
      <c r="B39" s="63">
        <v>8337</v>
      </c>
      <c r="C39" s="210">
        <f>B39*(INDEX('Ex ante LI &amp; Eligibility Stats'!$A:$M,MATCH('Program MW '!$A39,'Ex ante LI &amp; Eligibility Stats'!$A:$A,0),MATCH('Program MW '!C$28,'Ex ante LI &amp; Eligibility Stats'!$A$8:$M$8,0))/1000)</f>
        <v>1.2175654932</v>
      </c>
      <c r="D39" s="211">
        <f>B39*(INDEX('Ex post LI &amp; Eligibility Stats'!$A:$N,MATCH($A39,'Ex post LI &amp; Eligibility Stats'!$A:$A,0),MATCH('Program MW '!C$28,'Ex post LI &amp; Eligibility Stats'!$A$8:$N$8,0))/1000)</f>
        <v>0.46567147200000003</v>
      </c>
      <c r="E39" s="63">
        <v>8223</v>
      </c>
      <c r="F39" s="210">
        <f>E39*(INDEX('Ex ante LI &amp; Eligibility Stats'!$A:$M,MATCH('Program MW '!$A39,'Ex ante LI &amp; Eligibility Stats'!$A:$A,0),MATCH('Program MW '!F$28,'Ex ante LI &amp; Eligibility Stats'!$A$8:$M$8,0))/1000)</f>
        <v>1.8634049847</v>
      </c>
      <c r="G39" s="211">
        <f>E39*(INDEX('Ex post LI &amp; Eligibility Stats'!$A:$N,MATCH($A39,'Ex post LI &amp; Eligibility Stats'!$A:$A,0),MATCH('Program MW '!F$28,'Ex post LI &amp; Eligibility Stats'!$A$8:$N$8,0))/1000)</f>
        <v>0.45930388799999999</v>
      </c>
      <c r="H39" s="63">
        <v>8103</v>
      </c>
      <c r="I39" s="210">
        <f>H39*(INDEX('Ex ante LI &amp; Eligibility Stats'!$A:$M,MATCH('Program MW '!$A39,'Ex ante LI &amp; Eligibility Stats'!$A:$A,0),MATCH('Program MW '!I$28,'Ex ante LI &amp; Eligibility Stats'!$A$8:$M$8,0))/1000)</f>
        <v>2.2888754778</v>
      </c>
      <c r="J39" s="211">
        <f>H39*(INDEX('Ex post LI &amp; Eligibility Stats'!$A:$N,MATCH($A39,'Ex post LI &amp; Eligibility Stats'!$A:$A,0),MATCH('Program MW '!I$28,'Ex post LI &amp; Eligibility Stats'!$A$8:$N$8,0))/1000)</f>
        <v>0.452601168</v>
      </c>
      <c r="K39" s="63"/>
      <c r="L39" s="210">
        <f>K39*(INDEX('Ex ante LI &amp; Eligibility Stats'!$A:$M,MATCH('Program MW '!$A39,'Ex ante LI &amp; Eligibility Stats'!$A:$A,0),MATCH('Program MW '!L$28,'Ex ante LI &amp; Eligibility Stats'!$A$8:$M$8,0))/1000)</f>
        <v>0</v>
      </c>
      <c r="M39" s="211">
        <f>K39*(INDEX('Ex post LI &amp; Eligibility Stats'!$A:$N,MATCH($A39,'Ex post LI &amp; Eligibility Stats'!$A:$A,0),MATCH('Program MW '!L$28,'Ex post LI &amp; Eligibility Stats'!$A$8:$N$8,0))/1000)</f>
        <v>0</v>
      </c>
      <c r="N39" s="63"/>
      <c r="O39" s="210">
        <f>N39*(INDEX('Ex ante LI &amp; Eligibility Stats'!$A:$M,MATCH('Program MW '!$A39,'Ex ante LI &amp; Eligibility Stats'!$A:$A,0),MATCH('Program MW '!O$28,'Ex ante LI &amp; Eligibility Stats'!$A$8:$M$8,0))/1000)</f>
        <v>0</v>
      </c>
      <c r="P39" s="211">
        <f>N39*(INDEX('Ex post LI &amp; Eligibility Stats'!$A:$N,MATCH($A39,'Ex post LI &amp; Eligibility Stats'!$A:$A,0),MATCH('Program MW '!O$28,'Ex post LI &amp; Eligibility Stats'!$A$8:$N$8,0))/1000)</f>
        <v>0</v>
      </c>
      <c r="Q39" s="63"/>
      <c r="R39" s="210">
        <f>Q39*(INDEX('Ex ante LI &amp; Eligibility Stats'!$A:$M,MATCH('Program MW '!$A39,'Ex ante LI &amp; Eligibility Stats'!$A:$A,0),MATCH('Program MW '!R$28,'Ex ante LI &amp; Eligibility Stats'!$A$8:$M$8,0))/1000)</f>
        <v>0</v>
      </c>
      <c r="S39" s="211">
        <f>Q39*(INDEX('Ex post LI &amp; Eligibility Stats'!$A:$N,MATCH($A39,'Ex post LI &amp; Eligibility Stats'!$A:$A,0),MATCH('Program MW '!R$28,'Ex post LI &amp; Eligibility Stats'!$A$8:$N$8,0))/1000)</f>
        <v>0</v>
      </c>
      <c r="T39" s="4">
        <v>157189</v>
      </c>
    </row>
    <row r="40" spans="1:26">
      <c r="A40" s="172" t="s">
        <v>23</v>
      </c>
      <c r="B40" s="63">
        <v>2413</v>
      </c>
      <c r="C40" s="210">
        <f>B40*(INDEX('Ex ante LI &amp; Eligibility Stats'!$A:$M,MATCH('Program MW '!$A40,'Ex ante LI &amp; Eligibility Stats'!$A:$A,0),MATCH('Program MW '!C$28,'Ex ante LI &amp; Eligibility Stats'!$A$8:$M$8,0))/1000)</f>
        <v>0.30651880530000003</v>
      </c>
      <c r="D40" s="211">
        <f>B40*(INDEX('Ex post LI &amp; Eligibility Stats'!$A:$N,MATCH($A40,'Ex post LI &amp; Eligibility Stats'!$A:$A,0),MATCH('Program MW '!C$28,'Ex post LI &amp; Eligibility Stats'!$A$8:$N$8,0))/1000)</f>
        <v>0.2259178489</v>
      </c>
      <c r="E40" s="63">
        <v>2380</v>
      </c>
      <c r="F40" s="210">
        <f>E40*(INDEX('Ex ante LI &amp; Eligibility Stats'!$A:$M,MATCH('Program MW '!$A40,'Ex ante LI &amp; Eligibility Stats'!$A:$A,0),MATCH('Program MW '!F$28,'Ex ante LI &amp; Eligibility Stats'!$A$8:$M$8,0))/1000)</f>
        <v>0.36989293600000001</v>
      </c>
      <c r="G40" s="211">
        <f>E40*(INDEX('Ex post LI &amp; Eligibility Stats'!$A:$N,MATCH($A40,'Ex post LI &amp; Eligibility Stats'!$A:$A,0),MATCH('Program MW '!F$28,'Ex post LI &amp; Eligibility Stats'!$A$8:$N$8,0))/1000)</f>
        <v>0.222828214</v>
      </c>
      <c r="H40" s="63">
        <v>2361</v>
      </c>
      <c r="I40" s="210">
        <f>H40*(INDEX('Ex ante LI &amp; Eligibility Stats'!$A:$M,MATCH('Program MW '!$A40,'Ex ante LI &amp; Eligibility Stats'!$A:$A,0),MATCH('Program MW '!I$28,'Ex ante LI &amp; Eligibility Stats'!$A$8:$M$8,0))/1000)</f>
        <v>0.4425205773</v>
      </c>
      <c r="J40" s="211">
        <f>H40*(INDEX('Ex post LI &amp; Eligibility Stats'!$A:$N,MATCH($A40,'Ex post LI &amp; Eligibility Stats'!$A:$A,0),MATCH('Program MW '!I$28,'Ex post LI &amp; Eligibility Stats'!$A$8:$N$8,0))/1000)</f>
        <v>0.22104933329999998</v>
      </c>
      <c r="K40" s="63"/>
      <c r="L40" s="210">
        <f>K40*(INDEX('Ex ante LI &amp; Eligibility Stats'!$A:$M,MATCH('Program MW '!$A40,'Ex ante LI &amp; Eligibility Stats'!$A:$A,0),MATCH('Program MW '!L$28,'Ex ante LI &amp; Eligibility Stats'!$A$8:$M$8,0))/1000)</f>
        <v>0</v>
      </c>
      <c r="M40" s="211">
        <f>K40*(INDEX('Ex post LI &amp; Eligibility Stats'!$A:$N,MATCH($A40,'Ex post LI &amp; Eligibility Stats'!$A:$A,0),MATCH('Program MW '!L$28,'Ex post LI &amp; Eligibility Stats'!$A$8:$N$8,0))/1000)</f>
        <v>0</v>
      </c>
      <c r="N40" s="63"/>
      <c r="O40" s="210">
        <f>N40*(INDEX('Ex ante LI &amp; Eligibility Stats'!$A:$M,MATCH('Program MW '!$A40,'Ex ante LI &amp; Eligibility Stats'!$A:$A,0),MATCH('Program MW '!O$28,'Ex ante LI &amp; Eligibility Stats'!$A$8:$M$8,0))/1000)</f>
        <v>0</v>
      </c>
      <c r="P40" s="211">
        <f>N40*(INDEX('Ex post LI &amp; Eligibility Stats'!$A:$N,MATCH($A40,'Ex post LI &amp; Eligibility Stats'!$A:$A,0),MATCH('Program MW '!O$28,'Ex post LI &amp; Eligibility Stats'!$A$8:$N$8,0))/1000)</f>
        <v>0</v>
      </c>
      <c r="Q40" s="63"/>
      <c r="R40" s="210">
        <f>Q40*(INDEX('Ex ante LI &amp; Eligibility Stats'!$A:$M,MATCH('Program MW '!$A40,'Ex ante LI &amp; Eligibility Stats'!$A:$A,0),MATCH('Program MW '!R$28,'Ex ante LI &amp; Eligibility Stats'!$A$8:$M$8,0))/1000)</f>
        <v>0</v>
      </c>
      <c r="S40" s="211">
        <f>Q40*(INDEX('Ex post LI &amp; Eligibility Stats'!$A:$N,MATCH($A40,'Ex post LI &amp; Eligibility Stats'!$A:$A,0),MATCH('Program MW '!R$28,'Ex post LI &amp; Eligibility Stats'!$A$8:$N$8,0))/1000)</f>
        <v>0</v>
      </c>
      <c r="T40" s="4">
        <v>157189</v>
      </c>
    </row>
    <row r="41" spans="1:26">
      <c r="A41" s="51" t="s">
        <v>24</v>
      </c>
      <c r="B41" s="89"/>
      <c r="C41" s="210">
        <f>B41*(INDEX('Ex ante LI &amp; Eligibility Stats'!$A:$M,MATCH('Program MW '!$A41,'Ex ante LI &amp; Eligibility Stats'!$A:$A,0),MATCH('Program MW '!C$28,'Ex ante LI &amp; Eligibility Stats'!$A$8:$M$8,0))/1000)</f>
        <v>0</v>
      </c>
      <c r="D41" s="211">
        <f>B41*(INDEX('Ex post LI &amp; Eligibility Stats'!$A:$N,MATCH($A41,'Ex post LI &amp; Eligibility Stats'!$A:$A,0),MATCH('Program MW '!C$28,'Ex post LI &amp; Eligibility Stats'!$A$8:$N$8,0))/1000)</f>
        <v>0</v>
      </c>
      <c r="E41" s="89"/>
      <c r="F41" s="210">
        <f>E41*(INDEX('Ex ante LI &amp; Eligibility Stats'!$A:$M,MATCH('Program MW '!$A41,'Ex ante LI &amp; Eligibility Stats'!$A:$A,0),MATCH('Program MW '!F$28,'Ex ante LI &amp; Eligibility Stats'!$A$8:$M$8,0))/1000)</f>
        <v>0</v>
      </c>
      <c r="G41" s="211">
        <f>E41*(INDEX('Ex post LI &amp; Eligibility Stats'!$A:$N,MATCH($A41,'Ex post LI &amp; Eligibility Stats'!$A:$A,0),MATCH('Program MW '!F$28,'Ex post LI &amp; Eligibility Stats'!$A$8:$N$8,0))/1000)</f>
        <v>0</v>
      </c>
      <c r="H41" s="115"/>
      <c r="I41" s="210">
        <f>H41*(INDEX('Ex ante LI &amp; Eligibility Stats'!$A:$M,MATCH('Program MW '!$A41,'Ex ante LI &amp; Eligibility Stats'!$A:$A,0),MATCH('Program MW '!I$28,'Ex ante LI &amp; Eligibility Stats'!$A$8:$M$8,0))/1000)</f>
        <v>0</v>
      </c>
      <c r="J41" s="211">
        <f>H41*(INDEX('Ex post LI &amp; Eligibility Stats'!$A:$N,MATCH($A41,'Ex post LI &amp; Eligibility Stats'!$A:$A,0),MATCH('Program MW '!I$28,'Ex post LI &amp; Eligibility Stats'!$A$8:$N$8,0))/1000)</f>
        <v>0</v>
      </c>
      <c r="K41" s="89"/>
      <c r="L41" s="210">
        <f>K41*(INDEX('Ex ante LI &amp; Eligibility Stats'!$A:$M,MATCH('Program MW '!$A41,'Ex ante LI &amp; Eligibility Stats'!$A:$A,0),MATCH('Program MW '!L$28,'Ex ante LI &amp; Eligibility Stats'!$A$8:$M$8,0))/1000)</f>
        <v>0</v>
      </c>
      <c r="M41" s="211">
        <f>K41*(INDEX('Ex post LI &amp; Eligibility Stats'!$A:$N,MATCH($A41,'Ex post LI &amp; Eligibility Stats'!$A:$A,0),MATCH('Program MW '!L$28,'Ex post LI &amp; Eligibility Stats'!$A$8:$N$8,0))/1000)</f>
        <v>0</v>
      </c>
      <c r="N41" s="89"/>
      <c r="O41" s="210">
        <f>N41*(INDEX('Ex ante LI &amp; Eligibility Stats'!$A:$M,MATCH('Program MW '!$A41,'Ex ante LI &amp; Eligibility Stats'!$A:$A,0),MATCH('Program MW '!O$28,'Ex ante LI &amp; Eligibility Stats'!$A$8:$M$8,0))/1000)</f>
        <v>0</v>
      </c>
      <c r="P41" s="211">
        <f>N41*(INDEX('Ex post LI &amp; Eligibility Stats'!$A:$N,MATCH($A41,'Ex post LI &amp; Eligibility Stats'!$A:$A,0),MATCH('Program MW '!O$28,'Ex post LI &amp; Eligibility Stats'!$A$8:$N$8,0))/1000)</f>
        <v>0</v>
      </c>
      <c r="Q41" s="89"/>
      <c r="R41" s="210">
        <f>Q41*(INDEX('Ex ante LI &amp; Eligibility Stats'!$A:$M,MATCH('Program MW '!$A41,'Ex ante LI &amp; Eligibility Stats'!$A:$A,0),MATCH('Program MW '!R$28,'Ex ante LI &amp; Eligibility Stats'!$A$8:$M$8,0))/1000)</f>
        <v>0</v>
      </c>
      <c r="S41" s="211">
        <f>Q41*(INDEX('Ex post LI &amp; Eligibility Stats'!$A:$N,MATCH($A41,'Ex post LI &amp; Eligibility Stats'!$A:$A,0),MATCH('Program MW '!R$28,'Ex post LI &amp; Eligibility Stats'!$A$8:$N$8,0))/1000)</f>
        <v>0</v>
      </c>
      <c r="T41" s="4">
        <v>18875</v>
      </c>
      <c r="V41" s="247" t="s">
        <v>67</v>
      </c>
    </row>
    <row r="42" spans="1:26">
      <c r="A42" s="51" t="s">
        <v>25</v>
      </c>
      <c r="B42" s="89"/>
      <c r="C42" s="210">
        <f>B42*(INDEX('Ex ante LI &amp; Eligibility Stats'!$A:$M,MATCH('Program MW '!$A42,'Ex ante LI &amp; Eligibility Stats'!$A:$A,0),MATCH('Program MW '!C$28,'Ex ante LI &amp; Eligibility Stats'!$A$8:$M$8,0))/1000)</f>
        <v>0</v>
      </c>
      <c r="D42" s="211">
        <f>B42*(INDEX('Ex post LI &amp; Eligibility Stats'!$A:$N,MATCH($A42,'Ex post LI &amp; Eligibility Stats'!$A:$A,0),MATCH('Program MW '!C$28,'Ex post LI &amp; Eligibility Stats'!$A$8:$N$8,0))/1000)</f>
        <v>0</v>
      </c>
      <c r="E42" s="89"/>
      <c r="F42" s="210">
        <f>E42*(INDEX('Ex ante LI &amp; Eligibility Stats'!$A:$M,MATCH('Program MW '!$A42,'Ex ante LI &amp; Eligibility Stats'!$A:$A,0),MATCH('Program MW '!F$28,'Ex ante LI &amp; Eligibility Stats'!$A$8:$M$8,0))/1000)</f>
        <v>0</v>
      </c>
      <c r="G42" s="211">
        <f>E42*(INDEX('Ex post LI &amp; Eligibility Stats'!$A:$N,MATCH($A42,'Ex post LI &amp; Eligibility Stats'!$A:$A,0),MATCH('Program MW '!F$28,'Ex post LI &amp; Eligibility Stats'!$A$8:$N$8,0))/1000)</f>
        <v>0</v>
      </c>
      <c r="H42" s="115"/>
      <c r="I42" s="210">
        <f>H42*(INDEX('Ex ante LI &amp; Eligibility Stats'!$A:$M,MATCH('Program MW '!$A42,'Ex ante LI &amp; Eligibility Stats'!$A:$A,0),MATCH('Program MW '!I$28,'Ex ante LI &amp; Eligibility Stats'!$A$8:$M$8,0))/1000)</f>
        <v>0</v>
      </c>
      <c r="J42" s="211">
        <f>H42*(INDEX('Ex post LI &amp; Eligibility Stats'!$A:$N,MATCH($A42,'Ex post LI &amp; Eligibility Stats'!$A:$A,0),MATCH('Program MW '!I$28,'Ex post LI &amp; Eligibility Stats'!$A$8:$N$8,0))/1000)</f>
        <v>0</v>
      </c>
      <c r="K42" s="89"/>
      <c r="L42" s="210">
        <f>K42*(INDEX('Ex ante LI &amp; Eligibility Stats'!$A:$M,MATCH('Program MW '!$A42,'Ex ante LI &amp; Eligibility Stats'!$A:$A,0),MATCH('Program MW '!L$28,'Ex ante LI &amp; Eligibility Stats'!$A$8:$M$8,0))/1000)</f>
        <v>0</v>
      </c>
      <c r="M42" s="211">
        <f>K42*(INDEX('Ex post LI &amp; Eligibility Stats'!$A:$N,MATCH($A42,'Ex post LI &amp; Eligibility Stats'!$A:$A,0),MATCH('Program MW '!L$28,'Ex post LI &amp; Eligibility Stats'!$A$8:$N$8,0))/1000)</f>
        <v>0</v>
      </c>
      <c r="N42" s="89"/>
      <c r="O42" s="210">
        <f>N42*(INDEX('Ex ante LI &amp; Eligibility Stats'!$A:$M,MATCH('Program MW '!$A42,'Ex ante LI &amp; Eligibility Stats'!$A:$A,0),MATCH('Program MW '!O$28,'Ex ante LI &amp; Eligibility Stats'!$A$8:$M$8,0))/1000)</f>
        <v>0</v>
      </c>
      <c r="P42" s="211">
        <f>N42*(INDEX('Ex post LI &amp; Eligibility Stats'!$A:$N,MATCH($A42,'Ex post LI &amp; Eligibility Stats'!$A:$A,0),MATCH('Program MW '!O$28,'Ex post LI &amp; Eligibility Stats'!$A$8:$N$8,0))/1000)</f>
        <v>0</v>
      </c>
      <c r="Q42" s="89"/>
      <c r="R42" s="210">
        <f>Q42*(INDEX('Ex ante LI &amp; Eligibility Stats'!$A:$M,MATCH('Program MW '!$A42,'Ex ante LI &amp; Eligibility Stats'!$A:$A,0),MATCH('Program MW '!R$28,'Ex ante LI &amp; Eligibility Stats'!$A$8:$M$8,0))/1000)</f>
        <v>0</v>
      </c>
      <c r="S42" s="211">
        <f>Q42*(INDEX('Ex post LI &amp; Eligibility Stats'!$A:$N,MATCH($A42,'Ex post LI &amp; Eligibility Stats'!$A:$A,0),MATCH('Program MW '!R$28,'Ex post LI &amp; Eligibility Stats'!$A$8:$N$8,0))/1000)</f>
        <v>0</v>
      </c>
      <c r="T42" s="4">
        <v>18875</v>
      </c>
    </row>
    <row r="43" spans="1:26" s="83" customFormat="1">
      <c r="A43" s="172" t="s">
        <v>55</v>
      </c>
      <c r="B43" s="115">
        <v>105</v>
      </c>
      <c r="C43" s="210">
        <f>B43*(INDEX('Ex ante LI &amp; Eligibility Stats'!$A:$M,MATCH('Program MW '!$A43,'Ex ante LI &amp; Eligibility Stats'!$A:$A,0),MATCH('Program MW '!C$28,'Ex ante LI &amp; Eligibility Stats'!$A$8:$M$8,0))/1000)</f>
        <v>3.0047052651643754E-2</v>
      </c>
      <c r="D43" s="211">
        <f>B43*(INDEX('Ex post LI &amp; Eligibility Stats'!$A:$N,MATCH($A43,'Ex post LI &amp; Eligibility Stats'!$A:$A,0),MATCH('Program MW '!C$28,'Ex post LI &amp; Eligibility Stats'!$A$8:$N$8,0))/1000)</f>
        <v>1.7807780429720876E-2</v>
      </c>
      <c r="E43" s="115">
        <v>107</v>
      </c>
      <c r="F43" s="210">
        <f>E43*(INDEX('Ex ante LI &amp; Eligibility Stats'!$A:$M,MATCH('Program MW '!$A43,'Ex ante LI &amp; Eligibility Stats'!$A:$A,0),MATCH('Program MW '!F$28,'Ex ante LI &amp; Eligibility Stats'!$A$8:$M$8,0))/1000)</f>
        <v>1.81467976719141E-2</v>
      </c>
      <c r="G43" s="211">
        <f>E43*(INDEX('Ex post LI &amp; Eligibility Stats'!$A:$N,MATCH($A43,'Ex post LI &amp; Eligibility Stats'!$A:$A,0),MATCH('Program MW '!F$28,'Ex post LI &amp; Eligibility Stats'!$A$8:$N$8,0))/1000)</f>
        <v>1.8146976247429846E-2</v>
      </c>
      <c r="H43" s="115">
        <v>106</v>
      </c>
      <c r="I43" s="210">
        <f>H43*(INDEX('Ex ante LI &amp; Eligibility Stats'!$A:$M,MATCH('Program MW '!$A43,'Ex ante LI &amp; Eligibility Stats'!$A:$A,0),MATCH('Program MW '!I$28,'Ex ante LI &amp; Eligibility Stats'!$A$8:$M$8,0))/1000)</f>
        <v>-1.0069712400436401E-2</v>
      </c>
      <c r="J43" s="211">
        <f>H43*(INDEX('Ex post LI &amp; Eligibility Stats'!$A:$N,MATCH($A43,'Ex post LI &amp; Eligibility Stats'!$A:$A,0),MATCH('Program MW '!I$28,'Ex post LI &amp; Eligibility Stats'!$A$8:$N$8,0))/1000)</f>
        <v>1.7977378338575361E-2</v>
      </c>
      <c r="K43" s="115"/>
      <c r="L43" s="210">
        <f>K43*(INDEX('Ex ante LI &amp; Eligibility Stats'!$A:$M,MATCH('Program MW '!$A43,'Ex ante LI &amp; Eligibility Stats'!$A:$A,0),MATCH('Program MW '!L$28,'Ex ante LI &amp; Eligibility Stats'!$A$8:$M$8,0))/1000)</f>
        <v>0</v>
      </c>
      <c r="M43" s="211">
        <f>K43*(INDEX('Ex post LI &amp; Eligibility Stats'!$A:$N,MATCH($A43,'Ex post LI &amp; Eligibility Stats'!$A:$A,0),MATCH('Program MW '!L$28,'Ex post LI &amp; Eligibility Stats'!$A$8:$N$8,0))/1000)</f>
        <v>0</v>
      </c>
      <c r="N43" s="115"/>
      <c r="O43" s="210">
        <f>N43*(INDEX('Ex ante LI &amp; Eligibility Stats'!$A:$M,MATCH('Program MW '!$A43,'Ex ante LI &amp; Eligibility Stats'!$A:$A,0),MATCH('Program MW '!O$28,'Ex ante LI &amp; Eligibility Stats'!$A$8:$M$8,0))/1000)</f>
        <v>0</v>
      </c>
      <c r="P43" s="211">
        <f>N43*(INDEX('Ex post LI &amp; Eligibility Stats'!$A:$N,MATCH($A43,'Ex post LI &amp; Eligibility Stats'!$A:$A,0),MATCH('Program MW '!O$28,'Ex post LI &amp; Eligibility Stats'!$A$8:$N$8,0))/1000)</f>
        <v>0</v>
      </c>
      <c r="Q43" s="115"/>
      <c r="R43" s="210">
        <f>Q43*(INDEX('Ex ante LI &amp; Eligibility Stats'!$A:$M,MATCH('Program MW '!$A43,'Ex ante LI &amp; Eligibility Stats'!$A:$A,0),MATCH('Program MW '!R$28,'Ex ante LI &amp; Eligibility Stats'!$A$8:$M$8,0))/1000)</f>
        <v>0</v>
      </c>
      <c r="S43" s="211">
        <f>Q43*(INDEX('Ex post LI &amp; Eligibility Stats'!$A:$N,MATCH($A43,'Ex post LI &amp; Eligibility Stats'!$A:$A,0),MATCH('Program MW '!R$28,'Ex post LI &amp; Eligibility Stats'!$A$8:$N$8,0))/1000)</f>
        <v>0</v>
      </c>
      <c r="T43" s="262"/>
    </row>
    <row r="44" spans="1:26">
      <c r="A44" s="51" t="s">
        <v>26</v>
      </c>
      <c r="B44" s="89">
        <v>47441</v>
      </c>
      <c r="C44" s="210">
        <f>B44*(INDEX('Ex ante LI &amp; Eligibility Stats'!$A:$M,MATCH('Program MW '!$A44,'Ex ante LI &amp; Eligibility Stats'!$A:$A,0),MATCH('Program MW '!C$28,'Ex ante LI &amp; Eligibility Stats'!$A$8:$M$8,0))/1000)</f>
        <v>0.14042934024990605</v>
      </c>
      <c r="D44" s="211">
        <f>B44*(INDEX('Ex post LI &amp; Eligibility Stats'!$A:$N,MATCH($A44,'Ex post LI &amp; Eligibility Stats'!$A:$A,0),MATCH('Program MW '!C$28,'Ex post LI &amp; Eligibility Stats'!$A$8:$N$8,0))/1000)</f>
        <v>0.21870714013493672</v>
      </c>
      <c r="E44" s="89">
        <v>47083</v>
      </c>
      <c r="F44" s="210">
        <f>E44*(INDEX('Ex ante LI &amp; Eligibility Stats'!$A:$M,MATCH('Program MW '!$A44,'Ex ante LI &amp; Eligibility Stats'!$A:$A,0),MATCH('Program MW '!F$28,'Ex ante LI &amp; Eligibility Stats'!$A$8:$M$8,0))/1000)</f>
        <v>0.22306741659152104</v>
      </c>
      <c r="G44" s="211">
        <f>E44*(INDEX('Ex post LI &amp; Eligibility Stats'!$A:$N,MATCH($A44,'Ex post LI &amp; Eligibility Stats'!$A:$A,0),MATCH('Program MW '!F$28,'Ex post LI &amp; Eligibility Stats'!$A$8:$N$8,0))/1000)</f>
        <v>0.21705672896804928</v>
      </c>
      <c r="H44" s="89">
        <v>47247</v>
      </c>
      <c r="I44" s="210">
        <f>H44*(INDEX('Ex ante LI &amp; Eligibility Stats'!$A:$M,MATCH('Program MW '!$A44,'Ex ante LI &amp; Eligibility Stats'!$A:$A,0),MATCH('Program MW '!I$28,'Ex ante LI &amp; Eligibility Stats'!$A$8:$M$8,0))/1000)</f>
        <v>0.30468440662199836</v>
      </c>
      <c r="J44" s="211">
        <f>H44*(INDEX('Ex post LI &amp; Eligibility Stats'!$A:$N,MATCH($A44,'Ex post LI &amp; Eligibility Stats'!$A:$A,0),MATCH('Program MW '!I$28,'Ex post LI &amp; Eligibility Stats'!$A$8:$N$8,0))/1000)</f>
        <v>0.21781278324561781</v>
      </c>
      <c r="K44" s="89"/>
      <c r="L44" s="210">
        <f>K44*(INDEX('Ex ante LI &amp; Eligibility Stats'!$A:$M,MATCH('Program MW '!$A44,'Ex ante LI &amp; Eligibility Stats'!$A:$A,0),MATCH('Program MW '!L$28,'Ex ante LI &amp; Eligibility Stats'!$A$8:$M$8,0))/1000)</f>
        <v>0</v>
      </c>
      <c r="M44" s="211">
        <f>K44*(INDEX('Ex post LI &amp; Eligibility Stats'!$A:$N,MATCH($A44,'Ex post LI &amp; Eligibility Stats'!$A:$A,0),MATCH('Program MW '!L$28,'Ex post LI &amp; Eligibility Stats'!$A$8:$N$8,0))/1000)</f>
        <v>0</v>
      </c>
      <c r="N44" s="89"/>
      <c r="O44" s="210">
        <f>N44*(INDEX('Ex ante LI &amp; Eligibility Stats'!$A:$M,MATCH('Program MW '!$A44,'Ex ante LI &amp; Eligibility Stats'!$A:$A,0),MATCH('Program MW '!O$28,'Ex ante LI &amp; Eligibility Stats'!$A$8:$M$8,0))/1000)</f>
        <v>0</v>
      </c>
      <c r="P44" s="211">
        <f>N44*(INDEX('Ex post LI &amp; Eligibility Stats'!$A:$N,MATCH($A44,'Ex post LI &amp; Eligibility Stats'!$A:$A,0),MATCH('Program MW '!O$28,'Ex post LI &amp; Eligibility Stats'!$A$8:$N$8,0))/1000)</f>
        <v>0</v>
      </c>
      <c r="Q44" s="89"/>
      <c r="R44" s="210">
        <f>Q44*(INDEX('Ex ante LI &amp; Eligibility Stats'!$A:$M,MATCH('Program MW '!$A44,'Ex ante LI &amp; Eligibility Stats'!$A:$A,0),MATCH('Program MW '!R$28,'Ex ante LI &amp; Eligibility Stats'!$A$8:$M$8,0))/1000)</f>
        <v>0</v>
      </c>
      <c r="S44" s="211">
        <f>Q44*(INDEX('Ex post LI &amp; Eligibility Stats'!$A:$N,MATCH($A44,'Ex post LI &amp; Eligibility Stats'!$A:$A,0),MATCH('Program MW '!R$28,'Ex post LI &amp; Eligibility Stats'!$A$8:$N$8,0))/1000)</f>
        <v>0</v>
      </c>
      <c r="T44" s="4"/>
    </row>
    <row r="45" spans="1:26">
      <c r="A45" s="36" t="s">
        <v>27</v>
      </c>
      <c r="B45" s="170">
        <v>12318</v>
      </c>
      <c r="C45" s="210">
        <f>B45*(INDEX('Ex ante LI &amp; Eligibility Stats'!$A:$M,MATCH('Program MW '!$A45,'Ex ante LI &amp; Eligibility Stats'!$A:$A,0),MATCH('Program MW '!C$28,'Ex ante LI &amp; Eligibility Stats'!$A$8:$M$8,0))/1000)</f>
        <v>1.6515534122775035</v>
      </c>
      <c r="D45" s="211">
        <f>B45*(INDEX('Ex post LI &amp; Eligibility Stats'!$A:$N,MATCH($A45,'Ex post LI &amp; Eligibility Stats'!$A:$A,0),MATCH('Program MW '!C$28,'Ex post LI &amp; Eligibility Stats'!$A$8:$N$8,0))/1000)</f>
        <v>0.73660479538594781</v>
      </c>
      <c r="E45" s="170">
        <v>12353</v>
      </c>
      <c r="F45" s="210">
        <f>E45*(INDEX('Ex ante LI &amp; Eligibility Stats'!$A:$M,MATCH('Program MW '!$A45,'Ex ante LI &amp; Eligibility Stats'!$A:$A,0),MATCH('Program MW '!F$28,'Ex ante LI &amp; Eligibility Stats'!$A$8:$M$8,0))/1000)</f>
        <v>1.8718426782000002</v>
      </c>
      <c r="G45" s="211">
        <f>E45*(INDEX('Ex post LI &amp; Eligibility Stats'!$A:$N,MATCH($A45,'Ex post LI &amp; Eligibility Stats'!$A:$A,0),MATCH('Program MW '!F$28,'Ex post LI &amp; Eligibility Stats'!$A$8:$N$8,0))/1000)</f>
        <v>0.73869776241294149</v>
      </c>
      <c r="H45" s="170">
        <v>12331</v>
      </c>
      <c r="I45" s="210">
        <f>H45*(INDEX('Ex ante LI &amp; Eligibility Stats'!$A:$M,MATCH('Program MW '!$A45,'Ex ante LI &amp; Eligibility Stats'!$A:$A,0),MATCH('Program MW '!I$28,'Ex ante LI &amp; Eligibility Stats'!$A$8:$M$8,0))/1000)</f>
        <v>1.9450722104000002</v>
      </c>
      <c r="J45" s="211">
        <f>H45*(INDEX('Ex post LI &amp; Eligibility Stats'!$A:$N,MATCH($A45,'Ex post LI &amp; Eligibility Stats'!$A:$A,0),MATCH('Program MW '!I$28,'Ex post LI &amp; Eligibility Stats'!$A$8:$N$8,0))/1000)</f>
        <v>0.73738218313883119</v>
      </c>
      <c r="K45" s="170"/>
      <c r="L45" s="210">
        <f>K45*(INDEX('Ex ante LI &amp; Eligibility Stats'!$A:$M,MATCH('Program MW '!$A45,'Ex ante LI &amp; Eligibility Stats'!$A:$A,0),MATCH('Program MW '!L$28,'Ex ante LI &amp; Eligibility Stats'!$A$8:$M$8,0))/1000)</f>
        <v>0</v>
      </c>
      <c r="M45" s="211">
        <f>K45*(INDEX('Ex post LI &amp; Eligibility Stats'!$A:$N,MATCH($A45,'Ex post LI &amp; Eligibility Stats'!$A:$A,0),MATCH('Program MW '!L$28,'Ex post LI &amp; Eligibility Stats'!$A$8:$N$8,0))/1000)</f>
        <v>0</v>
      </c>
      <c r="N45" s="170"/>
      <c r="O45" s="210">
        <f>N45*(INDEX('Ex ante LI &amp; Eligibility Stats'!$A:$M,MATCH('Program MW '!$A45,'Ex ante LI &amp; Eligibility Stats'!$A:$A,0),MATCH('Program MW '!O$28,'Ex ante LI &amp; Eligibility Stats'!$A$8:$M$8,0))/1000)</f>
        <v>0</v>
      </c>
      <c r="P45" s="211">
        <f>N45*(INDEX('Ex post LI &amp; Eligibility Stats'!$A:$N,MATCH($A45,'Ex post LI &amp; Eligibility Stats'!$A:$A,0),MATCH('Program MW '!O$28,'Ex post LI &amp; Eligibility Stats'!$A$8:$N$8,0))/1000)</f>
        <v>0</v>
      </c>
      <c r="Q45" s="170"/>
      <c r="R45" s="210">
        <f>Q45*(INDEX('Ex ante LI &amp; Eligibility Stats'!$A:$M,MATCH('Program MW '!$A45,'Ex ante LI &amp; Eligibility Stats'!$A:$A,0),MATCH('Program MW '!R$28,'Ex ante LI &amp; Eligibility Stats'!$A$8:$M$8,0))/1000)</f>
        <v>0</v>
      </c>
      <c r="S45" s="211">
        <f>Q45*(INDEX('Ex post LI &amp; Eligibility Stats'!$A:$N,MATCH($A45,'Ex post LI &amp; Eligibility Stats'!$A:$A,0),MATCH('Program MW '!R$28,'Ex post LI &amp; Eligibility Stats'!$A$8:$N$8,0))/1000)</f>
        <v>0</v>
      </c>
      <c r="T45" s="4"/>
    </row>
    <row r="46" spans="1:26" ht="13.5" thickBot="1">
      <c r="A46" s="99" t="s">
        <v>56</v>
      </c>
      <c r="B46" s="3">
        <f t="shared" ref="B46:S46" si="11">SUM(B34:B45)</f>
        <v>93784</v>
      </c>
      <c r="C46" s="157">
        <f t="shared" si="11"/>
        <v>8.7267019181427266</v>
      </c>
      <c r="D46" s="138">
        <f t="shared" si="11"/>
        <v>9.2092547991630429</v>
      </c>
      <c r="E46" s="3">
        <f t="shared" si="11"/>
        <v>94162</v>
      </c>
      <c r="F46" s="157">
        <f t="shared" si="11"/>
        <v>10.897678540492064</v>
      </c>
      <c r="G46" s="138">
        <f t="shared" si="11"/>
        <v>9.5330339097959769</v>
      </c>
      <c r="H46" s="3">
        <f t="shared" si="11"/>
        <v>94611</v>
      </c>
      <c r="I46" s="157">
        <f t="shared" si="11"/>
        <v>12.497960974676573</v>
      </c>
      <c r="J46" s="138">
        <f t="shared" si="11"/>
        <v>9.7366972383818133</v>
      </c>
      <c r="K46" s="3">
        <f t="shared" si="11"/>
        <v>0</v>
      </c>
      <c r="L46" s="157">
        <f t="shared" si="11"/>
        <v>0</v>
      </c>
      <c r="M46" s="138">
        <f t="shared" si="11"/>
        <v>0</v>
      </c>
      <c r="N46" s="3">
        <f t="shared" si="11"/>
        <v>0</v>
      </c>
      <c r="O46" s="157">
        <f t="shared" si="11"/>
        <v>0</v>
      </c>
      <c r="P46" s="138">
        <f t="shared" si="11"/>
        <v>0</v>
      </c>
      <c r="Q46" s="3">
        <f t="shared" si="11"/>
        <v>0</v>
      </c>
      <c r="R46" s="157">
        <f t="shared" si="11"/>
        <v>0</v>
      </c>
      <c r="S46" s="138">
        <f t="shared" si="11"/>
        <v>0</v>
      </c>
      <c r="T46" s="8"/>
    </row>
    <row r="47" spans="1:26" ht="14.1" thickTop="1" thickBot="1">
      <c r="A47" s="102" t="s">
        <v>57</v>
      </c>
      <c r="B47" s="2">
        <f t="shared" ref="B47:S47" si="12">+B32+B46</f>
        <v>93784</v>
      </c>
      <c r="C47" s="158">
        <f t="shared" si="12"/>
        <v>8.7267019181427266</v>
      </c>
      <c r="D47" s="137">
        <f t="shared" si="12"/>
        <v>9.2092547991630429</v>
      </c>
      <c r="E47" s="2">
        <f t="shared" si="12"/>
        <v>94162</v>
      </c>
      <c r="F47" s="158">
        <f t="shared" si="12"/>
        <v>10.897678540492064</v>
      </c>
      <c r="G47" s="137">
        <f t="shared" si="12"/>
        <v>9.5330339097959769</v>
      </c>
      <c r="H47" s="2">
        <f t="shared" si="12"/>
        <v>94611</v>
      </c>
      <c r="I47" s="158">
        <f t="shared" si="12"/>
        <v>12.497960974676573</v>
      </c>
      <c r="J47" s="137">
        <f t="shared" si="12"/>
        <v>9.7366972383818133</v>
      </c>
      <c r="K47" s="2">
        <f t="shared" si="12"/>
        <v>0</v>
      </c>
      <c r="L47" s="158">
        <f t="shared" si="12"/>
        <v>0</v>
      </c>
      <c r="M47" s="137">
        <f t="shared" si="12"/>
        <v>0</v>
      </c>
      <c r="N47" s="2">
        <f t="shared" si="12"/>
        <v>0</v>
      </c>
      <c r="O47" s="158">
        <f t="shared" si="12"/>
        <v>0</v>
      </c>
      <c r="P47" s="137">
        <f t="shared" si="12"/>
        <v>0</v>
      </c>
      <c r="Q47" s="2">
        <f t="shared" si="12"/>
        <v>0</v>
      </c>
      <c r="R47" s="158">
        <f t="shared" si="12"/>
        <v>0</v>
      </c>
      <c r="S47" s="137">
        <f t="shared" si="12"/>
        <v>0</v>
      </c>
      <c r="T47" s="11"/>
      <c r="U47" s="6"/>
      <c r="V47" s="11"/>
      <c r="W47" s="11"/>
      <c r="X47" s="6"/>
      <c r="Y47" s="11"/>
      <c r="Z47" s="11"/>
    </row>
    <row r="48" spans="1:26" ht="13.5" thickTop="1">
      <c r="A48" s="77"/>
      <c r="B48" s="11"/>
      <c r="C48" s="11"/>
      <c r="D48" s="6"/>
      <c r="E48" s="11"/>
      <c r="F48" s="11"/>
      <c r="G48" s="11"/>
      <c r="H48" s="6"/>
      <c r="I48" s="11"/>
      <c r="J48" s="11"/>
      <c r="K48" s="11"/>
      <c r="L48" s="11"/>
      <c r="M48" s="6"/>
      <c r="N48" s="11"/>
      <c r="O48" s="11"/>
      <c r="P48" s="11"/>
      <c r="Q48" s="6"/>
      <c r="R48" s="11"/>
      <c r="S48" s="11"/>
      <c r="T48" s="11"/>
      <c r="U48" s="6"/>
      <c r="V48" s="6"/>
      <c r="W48" s="11"/>
      <c r="X48" s="6"/>
      <c r="Y48" s="6"/>
      <c r="Z48" s="11"/>
    </row>
    <row r="49" spans="1:31" ht="14.1">
      <c r="A49" s="148" t="s">
        <v>68</v>
      </c>
      <c r="B49" s="103"/>
      <c r="C49" s="103"/>
      <c r="D49" s="103"/>
      <c r="E49" s="245"/>
      <c r="F49" s="104"/>
      <c r="G49" s="103"/>
      <c r="H49" s="104"/>
      <c r="I49" s="103"/>
      <c r="J49" s="103"/>
      <c r="K49" s="103"/>
      <c r="L49" s="103"/>
      <c r="M49" s="103"/>
      <c r="N49" s="103"/>
      <c r="O49" s="103"/>
      <c r="P49" s="105"/>
      <c r="Q49" s="103"/>
      <c r="R49" s="103"/>
      <c r="S49" s="103"/>
      <c r="T49" s="12"/>
      <c r="U49" s="12"/>
      <c r="V49" s="12"/>
      <c r="W49" s="12"/>
      <c r="X49" s="12"/>
      <c r="Y49" s="12"/>
      <c r="Z49" s="12"/>
    </row>
    <row r="50" spans="1:31" ht="28.5" customHeight="1">
      <c r="A50" s="696" t="s">
        <v>69</v>
      </c>
      <c r="B50" s="696"/>
      <c r="C50" s="696"/>
      <c r="D50" s="696"/>
      <c r="E50" s="696"/>
      <c r="F50" s="696"/>
      <c r="G50" s="696"/>
      <c r="H50" s="696"/>
      <c r="I50" s="696"/>
      <c r="J50" s="696"/>
      <c r="K50" s="696"/>
      <c r="L50" s="696"/>
      <c r="M50" s="696"/>
      <c r="N50" s="696"/>
      <c r="O50" s="696"/>
    </row>
    <row r="51" spans="1:31" ht="16.5" customHeight="1">
      <c r="A51" s="696" t="s">
        <v>70</v>
      </c>
      <c r="B51" s="696"/>
      <c r="C51" s="696"/>
      <c r="D51" s="696"/>
      <c r="E51" s="696"/>
      <c r="F51" s="696"/>
      <c r="G51" s="696"/>
      <c r="H51" s="696"/>
      <c r="I51" s="696"/>
      <c r="J51" s="696"/>
      <c r="K51" s="696"/>
      <c r="L51" s="696"/>
      <c r="M51" s="696"/>
      <c r="N51" s="696"/>
      <c r="O51" s="696"/>
    </row>
    <row r="52" spans="1:31" ht="31.5" customHeight="1">
      <c r="A52" s="696" t="s">
        <v>71</v>
      </c>
      <c r="B52" s="696"/>
      <c r="C52" s="696"/>
      <c r="D52" s="696"/>
      <c r="E52" s="696"/>
      <c r="F52" s="696"/>
      <c r="G52" s="696"/>
      <c r="H52" s="696"/>
      <c r="I52" s="696"/>
      <c r="J52" s="696"/>
      <c r="K52" s="696"/>
      <c r="L52" s="696"/>
      <c r="M52" s="696"/>
      <c r="N52" s="696"/>
      <c r="O52" s="696"/>
      <c r="P52" s="12"/>
      <c r="Q52" s="12"/>
      <c r="R52" s="12"/>
      <c r="S52" s="12"/>
      <c r="T52" s="77"/>
      <c r="U52" s="77"/>
      <c r="V52" s="77"/>
      <c r="W52" s="77"/>
      <c r="X52" s="77"/>
      <c r="Y52" s="77"/>
      <c r="Z52" s="77"/>
    </row>
    <row r="53" spans="1:31" ht="30.75" customHeight="1">
      <c r="A53" s="697" t="s">
        <v>72</v>
      </c>
      <c r="B53" s="697"/>
      <c r="C53" s="697"/>
      <c r="D53" s="697"/>
      <c r="E53" s="697"/>
      <c r="F53" s="697"/>
      <c r="G53" s="697"/>
      <c r="H53" s="697"/>
      <c r="I53" s="697"/>
      <c r="J53" s="697"/>
      <c r="K53" s="697"/>
      <c r="L53" s="697"/>
      <c r="M53" s="356"/>
      <c r="N53" s="356"/>
      <c r="O53" s="356"/>
      <c r="P53" s="12"/>
      <c r="Q53" s="12"/>
      <c r="R53" s="12"/>
      <c r="S53" s="12"/>
      <c r="T53" s="77"/>
      <c r="U53" s="77"/>
      <c r="V53" s="77"/>
      <c r="W53" s="77"/>
      <c r="X53" s="77"/>
      <c r="Y53" s="77"/>
      <c r="Z53" s="77"/>
    </row>
    <row r="54" spans="1:31" ht="14.1">
      <c r="A54" s="618" t="s">
        <v>73</v>
      </c>
      <c r="B54" s="619"/>
      <c r="C54" s="619"/>
      <c r="D54" s="619"/>
      <c r="E54" s="619"/>
      <c r="F54" s="619"/>
      <c r="G54" s="619"/>
      <c r="H54" s="619"/>
      <c r="I54" s="619"/>
      <c r="J54" s="619"/>
      <c r="K54" s="619"/>
      <c r="L54" s="619"/>
      <c r="M54" s="356"/>
      <c r="N54" s="356"/>
      <c r="O54" s="356"/>
      <c r="P54" s="12"/>
      <c r="Q54" s="12"/>
      <c r="R54" s="12"/>
      <c r="S54" s="12"/>
      <c r="T54" s="77"/>
      <c r="U54" s="77"/>
      <c r="V54" s="77"/>
      <c r="W54" s="77"/>
      <c r="X54" s="77"/>
      <c r="Y54" s="77"/>
      <c r="Z54" s="77"/>
    </row>
    <row r="55" spans="1:31" s="83" customFormat="1" ht="18" customHeight="1">
      <c r="A55" s="696" t="s">
        <v>74</v>
      </c>
      <c r="B55" s="696"/>
      <c r="C55" s="696"/>
      <c r="D55" s="696"/>
      <c r="E55" s="696"/>
      <c r="F55" s="696"/>
      <c r="G55" s="696"/>
      <c r="H55" s="696"/>
      <c r="I55" s="696"/>
      <c r="J55" s="696"/>
      <c r="K55" s="696"/>
      <c r="L55" s="696"/>
      <c r="M55" s="696"/>
      <c r="N55" s="696"/>
      <c r="O55" s="696"/>
      <c r="P55" s="244"/>
      <c r="Q55" s="244"/>
      <c r="R55" s="244"/>
      <c r="S55" s="244"/>
      <c r="T55" s="112"/>
      <c r="U55" s="112"/>
      <c r="V55" s="112"/>
      <c r="W55" s="112"/>
      <c r="X55" s="112"/>
      <c r="Y55" s="112"/>
      <c r="Z55" s="112"/>
    </row>
    <row r="56" spans="1:31" s="83" customFormat="1" ht="18" customHeight="1">
      <c r="A56" s="696" t="s">
        <v>75</v>
      </c>
      <c r="B56" s="696"/>
      <c r="C56" s="696"/>
      <c r="D56" s="696"/>
      <c r="E56" s="696"/>
      <c r="F56" s="696"/>
      <c r="G56" s="696"/>
      <c r="H56" s="696"/>
      <c r="I56" s="696"/>
      <c r="J56" s="696"/>
      <c r="K56" s="696"/>
      <c r="L56" s="696"/>
      <c r="M56" s="696"/>
      <c r="N56" s="696"/>
      <c r="O56" s="696"/>
      <c r="P56" s="244"/>
      <c r="Q56" s="244"/>
      <c r="R56" s="244"/>
      <c r="S56" s="244"/>
      <c r="T56" s="112"/>
      <c r="U56" s="112"/>
      <c r="V56" s="112"/>
      <c r="W56" s="112"/>
      <c r="X56" s="112"/>
      <c r="Y56" s="112"/>
      <c r="Z56" s="112"/>
    </row>
    <row r="57" spans="1:31" s="83" customFormat="1" ht="14.25" customHeight="1">
      <c r="A57" s="696" t="s">
        <v>76</v>
      </c>
      <c r="B57" s="696"/>
      <c r="C57" s="696"/>
      <c r="D57" s="696"/>
      <c r="E57" s="696"/>
      <c r="F57" s="696"/>
      <c r="G57" s="696"/>
      <c r="H57" s="696"/>
      <c r="I57" s="696"/>
      <c r="J57" s="696"/>
      <c r="K57" s="696"/>
      <c r="L57" s="696"/>
      <c r="M57" s="696"/>
      <c r="N57" s="696"/>
      <c r="O57" s="356"/>
      <c r="P57" s="244"/>
      <c r="Q57" s="244"/>
      <c r="R57" s="244"/>
      <c r="S57" s="244"/>
      <c r="T57" s="112"/>
      <c r="U57" s="112"/>
      <c r="V57" s="112"/>
      <c r="W57" s="112"/>
      <c r="X57" s="112"/>
      <c r="Y57" s="112"/>
      <c r="Z57" s="112"/>
    </row>
    <row r="58" spans="1:31" ht="15.75" customHeight="1">
      <c r="A58" s="303" t="s">
        <v>77</v>
      </c>
      <c r="B58" s="358"/>
      <c r="C58" s="358"/>
      <c r="D58" s="358"/>
      <c r="E58" s="358"/>
      <c r="F58" s="358"/>
      <c r="G58" s="358"/>
      <c r="H58" s="358"/>
      <c r="I58" s="358"/>
      <c r="J58" s="358"/>
      <c r="K58" s="358"/>
      <c r="L58" s="358"/>
      <c r="M58" s="358"/>
      <c r="N58" s="358"/>
      <c r="O58" s="359"/>
    </row>
    <row r="59" spans="1:31" ht="14.1">
      <c r="A59" s="303" t="s">
        <v>78</v>
      </c>
      <c r="B59" s="358"/>
      <c r="C59" s="358"/>
      <c r="D59" s="358"/>
      <c r="E59" s="358"/>
      <c r="F59" s="358"/>
      <c r="G59" s="358"/>
      <c r="H59" s="358"/>
      <c r="I59" s="358"/>
      <c r="J59" s="358"/>
      <c r="K59" s="358"/>
      <c r="L59" s="358"/>
      <c r="M59" s="358"/>
      <c r="N59" s="358"/>
      <c r="O59" s="359"/>
    </row>
    <row r="60" spans="1:31" ht="14.1">
      <c r="A60" s="357" t="s">
        <v>79</v>
      </c>
      <c r="B60" s="358"/>
      <c r="C60" s="358"/>
      <c r="D60" s="358"/>
      <c r="E60" s="358"/>
      <c r="F60" s="358"/>
      <c r="G60" s="358"/>
      <c r="H60" s="358"/>
      <c r="I60" s="358"/>
      <c r="J60" s="358"/>
      <c r="K60" s="358"/>
      <c r="L60" s="358"/>
      <c r="M60" s="358"/>
      <c r="N60" s="358"/>
      <c r="O60" s="359"/>
    </row>
    <row r="61" spans="1:31" s="620" customFormat="1" ht="14.1">
      <c r="A61" s="388" t="s">
        <v>80</v>
      </c>
    </row>
    <row r="62" spans="1:31" s="83" customFormat="1" ht="14.1">
      <c r="A62" s="388" t="s">
        <v>81</v>
      </c>
    </row>
    <row r="63" spans="1:31" ht="14.1">
      <c r="A63" s="647" t="s">
        <v>82</v>
      </c>
      <c r="B63" s="358"/>
      <c r="C63" s="358"/>
      <c r="D63" s="358"/>
      <c r="E63" s="358"/>
      <c r="F63" s="358"/>
      <c r="G63" s="358"/>
      <c r="H63" s="358"/>
      <c r="I63" s="358"/>
      <c r="J63" s="358"/>
      <c r="K63" s="358"/>
      <c r="L63" s="358"/>
      <c r="M63" s="358"/>
      <c r="N63" s="358"/>
      <c r="O63" s="359"/>
      <c r="P63" s="387"/>
      <c r="Q63" s="387"/>
      <c r="R63" s="387"/>
      <c r="S63" s="387"/>
      <c r="T63" s="387"/>
      <c r="U63" s="387"/>
      <c r="V63" s="387"/>
      <c r="W63" s="387"/>
      <c r="X63" s="387"/>
      <c r="Y63" s="387"/>
      <c r="Z63" s="387"/>
      <c r="AA63" s="387"/>
      <c r="AB63" s="387"/>
      <c r="AC63" s="387"/>
      <c r="AD63" s="387"/>
      <c r="AE63" s="387"/>
    </row>
    <row r="64" spans="1:31" ht="14.1">
      <c r="A64" s="646" t="s">
        <v>83</v>
      </c>
      <c r="B64" s="358"/>
      <c r="C64" s="358"/>
      <c r="D64" s="358"/>
      <c r="E64" s="358"/>
      <c r="F64" s="358"/>
      <c r="G64" s="358"/>
      <c r="H64" s="358"/>
      <c r="I64" s="358"/>
      <c r="J64" s="358"/>
      <c r="K64" s="358"/>
      <c r="L64" s="358"/>
      <c r="M64" s="358"/>
      <c r="N64" s="358"/>
      <c r="O64" s="359"/>
      <c r="P64" s="387"/>
      <c r="Q64" s="387"/>
      <c r="R64" s="387"/>
      <c r="S64" s="387"/>
      <c r="T64" s="387"/>
      <c r="U64" s="387"/>
      <c r="V64" s="387"/>
      <c r="W64" s="387"/>
      <c r="X64" s="387"/>
      <c r="Y64" s="387"/>
      <c r="Z64" s="387"/>
      <c r="AA64" s="387"/>
      <c r="AB64" s="387"/>
      <c r="AC64" s="387"/>
      <c r="AD64" s="387"/>
      <c r="AE64" s="387"/>
    </row>
    <row r="65" spans="1:1" ht="14.1">
      <c r="A65" s="139" t="s">
        <v>84</v>
      </c>
    </row>
  </sheetData>
  <mergeCells count="7">
    <mergeCell ref="A50:O50"/>
    <mergeCell ref="A52:O52"/>
    <mergeCell ref="A55:O55"/>
    <mergeCell ref="A56:O56"/>
    <mergeCell ref="A57:N57"/>
    <mergeCell ref="A53:L53"/>
    <mergeCell ref="A51:O51"/>
  </mergeCells>
  <phoneticPr fontId="0" type="noConversion"/>
  <printOptions horizontalCentered="1"/>
  <pageMargins left="0" right="0" top="0.3" bottom="0.17" header="0.3" footer="0.15"/>
  <pageSetup paperSize="5" scale="68"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P34"/>
  <sheetViews>
    <sheetView zoomScaleNormal="100" zoomScaleSheetLayoutView="100" workbookViewId="0"/>
  </sheetViews>
  <sheetFormatPr defaultColWidth="9.28515625" defaultRowHeight="12.6"/>
  <cols>
    <col min="1" max="1" width="33.5703125" customWidth="1"/>
    <col min="2" max="2" width="9" customWidth="1"/>
    <col min="3" max="3" width="10.28515625" customWidth="1"/>
    <col min="4" max="4" width="9" customWidth="1"/>
    <col min="5" max="9" width="10.5703125" customWidth="1"/>
    <col min="10" max="10" width="11.5703125" customWidth="1"/>
    <col min="11" max="11" width="10.5703125" customWidth="1"/>
    <col min="12" max="12" width="10.7109375" customWidth="1"/>
    <col min="13" max="13" width="10.28515625" customWidth="1"/>
    <col min="14" max="14" width="18.7109375" style="84" customWidth="1"/>
    <col min="15" max="15" width="149.5703125" customWidth="1"/>
  </cols>
  <sheetData>
    <row r="2" spans="1:16" ht="12.95">
      <c r="A2" s="33"/>
      <c r="H2" s="79" t="s">
        <v>39</v>
      </c>
      <c r="N2" s="223"/>
    </row>
    <row r="3" spans="1:16" ht="12.95">
      <c r="E3" s="224"/>
      <c r="H3" s="82">
        <f>'Program MW '!H3</f>
        <v>44805</v>
      </c>
      <c r="N3" s="223"/>
    </row>
    <row r="4" spans="1:16" ht="12.75" customHeight="1">
      <c r="E4" s="81"/>
      <c r="F4" s="81"/>
      <c r="G4" s="81"/>
      <c r="I4" s="81"/>
      <c r="N4" s="223"/>
    </row>
    <row r="5" spans="1:16" ht="12.95">
      <c r="B5" s="81"/>
      <c r="C5" s="81"/>
      <c r="D5" s="81"/>
      <c r="F5" s="80"/>
      <c r="N5" s="223"/>
      <c r="O5" s="35"/>
    </row>
    <row r="6" spans="1:16" ht="12.95">
      <c r="F6" s="80"/>
      <c r="N6" s="223"/>
    </row>
    <row r="7" spans="1:16" ht="13.5" customHeight="1">
      <c r="A7" s="698" t="s">
        <v>85</v>
      </c>
      <c r="B7" s="699"/>
      <c r="C7" s="699"/>
      <c r="D7" s="699"/>
      <c r="E7" s="699"/>
      <c r="F7" s="699"/>
      <c r="G7" s="699"/>
      <c r="H7" s="699"/>
      <c r="I7" s="699"/>
      <c r="J7" s="699"/>
      <c r="K7" s="699"/>
      <c r="L7" s="699"/>
      <c r="M7" s="699"/>
      <c r="N7" s="700"/>
      <c r="O7" s="419"/>
    </row>
    <row r="8" spans="1:16" ht="38.25" customHeight="1">
      <c r="A8" s="34" t="s">
        <v>1</v>
      </c>
      <c r="B8" s="396" t="s">
        <v>41</v>
      </c>
      <c r="C8" s="396" t="s">
        <v>42</v>
      </c>
      <c r="D8" s="396" t="s">
        <v>43</v>
      </c>
      <c r="E8" s="396" t="s">
        <v>44</v>
      </c>
      <c r="F8" s="396" t="s">
        <v>31</v>
      </c>
      <c r="G8" s="396" t="s">
        <v>45</v>
      </c>
      <c r="H8" s="396" t="s">
        <v>58</v>
      </c>
      <c r="I8" s="396" t="s">
        <v>59</v>
      </c>
      <c r="J8" s="396" t="s">
        <v>60</v>
      </c>
      <c r="K8" s="396" t="s">
        <v>61</v>
      </c>
      <c r="L8" s="396" t="s">
        <v>62</v>
      </c>
      <c r="M8" s="396" t="s">
        <v>63</v>
      </c>
      <c r="N8" s="266" t="s">
        <v>86</v>
      </c>
      <c r="O8" s="173" t="s">
        <v>87</v>
      </c>
      <c r="P8" s="511"/>
    </row>
    <row r="9" spans="1:16" ht="75.75" customHeight="1">
      <c r="A9" s="554" t="s">
        <v>8</v>
      </c>
      <c r="B9" s="420">
        <v>147.93927001953125</v>
      </c>
      <c r="C9" s="420">
        <v>123.35836029052734</v>
      </c>
      <c r="D9" s="420">
        <v>154.17617797851563</v>
      </c>
      <c r="E9" s="420">
        <v>55.070720672607422</v>
      </c>
      <c r="F9" s="420">
        <v>44.945674896240234</v>
      </c>
      <c r="G9" s="420">
        <v>86.176727294921875</v>
      </c>
      <c r="H9" s="420">
        <v>66.918624877929688</v>
      </c>
      <c r="I9" s="420">
        <v>73.110435485839844</v>
      </c>
      <c r="J9" s="420">
        <v>137.6864013671875</v>
      </c>
      <c r="K9" s="420">
        <v>56.518604278564453</v>
      </c>
      <c r="L9" s="420">
        <v>52.194610595703125</v>
      </c>
      <c r="M9" s="420">
        <v>30.662746429443359</v>
      </c>
      <c r="N9" s="421">
        <v>5326</v>
      </c>
      <c r="O9" s="514" t="s">
        <v>88</v>
      </c>
      <c r="P9" s="513"/>
    </row>
    <row r="10" spans="1:16" ht="75.75" customHeight="1">
      <c r="A10" s="267" t="s">
        <v>11</v>
      </c>
      <c r="B10" s="268">
        <v>0.14000000000000001</v>
      </c>
      <c r="C10" s="268">
        <v>0.14000000000000001</v>
      </c>
      <c r="D10" s="420">
        <v>0</v>
      </c>
      <c r="E10" s="420">
        <v>0.38991538564497402</v>
      </c>
      <c r="F10" s="420">
        <v>0.41811050355438617</v>
      </c>
      <c r="G10" s="420">
        <v>0.42521212892151972</v>
      </c>
      <c r="H10" s="420">
        <v>0.51991455522654306</v>
      </c>
      <c r="I10" s="420">
        <v>0.57705294081645142</v>
      </c>
      <c r="J10" s="420">
        <v>0.6066682290103359</v>
      </c>
      <c r="K10" s="420">
        <v>0.48431345310244256</v>
      </c>
      <c r="L10" s="420">
        <v>0.36222570466223036</v>
      </c>
      <c r="M10" s="420">
        <v>0.30601781535332351</v>
      </c>
      <c r="N10" s="269">
        <v>24298</v>
      </c>
      <c r="O10" s="514" t="s">
        <v>89</v>
      </c>
    </row>
    <row r="11" spans="1:16" ht="75.75" customHeight="1">
      <c r="A11" s="267" t="s">
        <v>17</v>
      </c>
      <c r="B11" s="268">
        <v>1.1249953786318656E-5</v>
      </c>
      <c r="C11" s="268">
        <v>2.6053535293613095E-6</v>
      </c>
      <c r="D11" s="420">
        <v>0</v>
      </c>
      <c r="E11" s="420">
        <v>4.1989516466856003E-2</v>
      </c>
      <c r="F11" s="420">
        <v>7.6999343931674957E-2</v>
      </c>
      <c r="G11" s="420">
        <v>5.1543582230806351E-2</v>
      </c>
      <c r="H11" s="420">
        <v>0.14337834715843201</v>
      </c>
      <c r="I11" s="420">
        <v>0.18168103694915771</v>
      </c>
      <c r="J11" s="420">
        <v>0.22450755536556244</v>
      </c>
      <c r="K11" s="420">
        <v>0.13855895400047302</v>
      </c>
      <c r="L11" s="420">
        <v>1.2566117569804192E-2</v>
      </c>
      <c r="M11" s="420">
        <v>0</v>
      </c>
      <c r="N11" s="270">
        <v>590220</v>
      </c>
      <c r="O11" s="514" t="s">
        <v>90</v>
      </c>
    </row>
    <row r="12" spans="1:16" ht="75.75" customHeight="1">
      <c r="A12" s="267" t="s">
        <v>20</v>
      </c>
      <c r="B12" s="268">
        <v>3.6358251236379147E-4</v>
      </c>
      <c r="C12" s="268">
        <v>8.4200954006519169E-5</v>
      </c>
      <c r="D12" s="420">
        <v>0</v>
      </c>
      <c r="E12" s="420">
        <v>0.30362069606781006</v>
      </c>
      <c r="F12" s="420">
        <v>0.4371458888053894</v>
      </c>
      <c r="G12" s="420">
        <v>0.31115424633026123</v>
      </c>
      <c r="H12" s="420">
        <v>0.76091676950454712</v>
      </c>
      <c r="I12" s="420">
        <v>0.92230910062789917</v>
      </c>
      <c r="J12" s="420">
        <v>0.65934598445892334</v>
      </c>
      <c r="K12" s="420">
        <v>0.64265495538711548</v>
      </c>
      <c r="L12" s="420">
        <v>8.2334868609905243E-2</v>
      </c>
      <c r="M12" s="420">
        <v>0</v>
      </c>
      <c r="N12" s="270">
        <v>133226</v>
      </c>
      <c r="O12" s="514" t="s">
        <v>91</v>
      </c>
    </row>
    <row r="13" spans="1:16" ht="75.75" customHeight="1">
      <c r="A13" s="267" t="s">
        <v>21</v>
      </c>
      <c r="B13" s="271">
        <v>0</v>
      </c>
      <c r="C13" s="271">
        <v>0</v>
      </c>
      <c r="D13" s="420">
        <v>0</v>
      </c>
      <c r="E13" s="420">
        <v>0</v>
      </c>
      <c r="F13" s="420">
        <v>2.3571700000000001E-2</v>
      </c>
      <c r="G13" s="420">
        <v>0</v>
      </c>
      <c r="H13" s="420">
        <v>0.1460436</v>
      </c>
      <c r="I13" s="420">
        <v>0.2266089</v>
      </c>
      <c r="J13" s="420">
        <v>0.28247260000000002</v>
      </c>
      <c r="K13" s="420">
        <v>0.14559130000000001</v>
      </c>
      <c r="L13" s="420">
        <v>0</v>
      </c>
      <c r="M13" s="420">
        <v>0</v>
      </c>
      <c r="N13" s="270">
        <v>590220</v>
      </c>
      <c r="O13" s="514" t="s">
        <v>92</v>
      </c>
    </row>
    <row r="14" spans="1:16" ht="75.75" customHeight="1">
      <c r="A14" s="267" t="s">
        <v>23</v>
      </c>
      <c r="B14" s="271">
        <v>0</v>
      </c>
      <c r="C14" s="271">
        <v>0</v>
      </c>
      <c r="D14" s="420">
        <v>0</v>
      </c>
      <c r="E14" s="420">
        <v>5.5709099999999998E-2</v>
      </c>
      <c r="F14" s="420">
        <v>8.0027299999999996E-2</v>
      </c>
      <c r="G14" s="420">
        <v>6.1221400000000002E-2</v>
      </c>
      <c r="H14" s="420">
        <v>0.1270281</v>
      </c>
      <c r="I14" s="420">
        <v>0.15541720000000001</v>
      </c>
      <c r="J14" s="420">
        <v>0.18742929999999999</v>
      </c>
      <c r="K14" s="420">
        <v>0.12562780000000001</v>
      </c>
      <c r="L14" s="420">
        <v>0</v>
      </c>
      <c r="M14" s="420">
        <v>0</v>
      </c>
      <c r="N14" s="270">
        <v>133226</v>
      </c>
      <c r="O14" s="514" t="s">
        <v>93</v>
      </c>
    </row>
    <row r="15" spans="1:16" ht="75.75" customHeight="1">
      <c r="A15" s="267" t="s">
        <v>24</v>
      </c>
      <c r="B15" s="271">
        <v>0</v>
      </c>
      <c r="C15" s="271">
        <v>0</v>
      </c>
      <c r="D15" s="420">
        <v>0</v>
      </c>
      <c r="E15" s="420">
        <v>0</v>
      </c>
      <c r="F15" s="420">
        <v>22.032409999999999</v>
      </c>
      <c r="G15" s="420">
        <v>22.032409999999999</v>
      </c>
      <c r="H15" s="420">
        <v>22.032409999999999</v>
      </c>
      <c r="I15" s="420">
        <v>22.032409999999999</v>
      </c>
      <c r="J15" s="420">
        <v>22.032409999999999</v>
      </c>
      <c r="K15" s="420">
        <v>22.032409999999999</v>
      </c>
      <c r="L15" s="420">
        <v>0</v>
      </c>
      <c r="M15" s="420">
        <v>0</v>
      </c>
      <c r="N15" s="269">
        <v>78368</v>
      </c>
      <c r="O15" s="514" t="s">
        <v>94</v>
      </c>
    </row>
    <row r="16" spans="1:16" ht="75.75" customHeight="1">
      <c r="A16" s="267" t="s">
        <v>25</v>
      </c>
      <c r="B16" s="271">
        <v>0</v>
      </c>
      <c r="C16" s="271">
        <v>0</v>
      </c>
      <c r="D16" s="420">
        <v>0</v>
      </c>
      <c r="E16" s="420">
        <v>0</v>
      </c>
      <c r="F16" s="420">
        <v>16.929390000000001</v>
      </c>
      <c r="G16" s="420">
        <v>16.929390000000001</v>
      </c>
      <c r="H16" s="420">
        <v>16.929390000000001</v>
      </c>
      <c r="I16" s="420">
        <v>16.929390000000001</v>
      </c>
      <c r="J16" s="420">
        <v>16.929390000000001</v>
      </c>
      <c r="K16" s="420">
        <v>16.929390000000001</v>
      </c>
      <c r="L16" s="420">
        <v>0</v>
      </c>
      <c r="M16" s="420">
        <v>0</v>
      </c>
      <c r="N16" s="269">
        <v>78368</v>
      </c>
      <c r="O16" s="514" t="s">
        <v>94</v>
      </c>
    </row>
    <row r="17" spans="1:15" ht="75.75" customHeight="1">
      <c r="A17" s="267" t="s">
        <v>27</v>
      </c>
      <c r="B17" s="268">
        <v>3.8699023425579071E-2</v>
      </c>
      <c r="C17" s="268">
        <v>3.4362420439720154E-2</v>
      </c>
      <c r="D17" s="420">
        <v>4.2291874821189825E-2</v>
      </c>
      <c r="E17" s="420">
        <v>3.150842842596948E-2</v>
      </c>
      <c r="F17" s="420">
        <v>3.2351925607220965E-2</v>
      </c>
      <c r="G17" s="420">
        <v>0.10737045859999086</v>
      </c>
      <c r="H17" s="420">
        <v>0.13407642574098907</v>
      </c>
      <c r="I17" s="420">
        <v>0.15152940000000001</v>
      </c>
      <c r="J17" s="420">
        <v>0.1577384</v>
      </c>
      <c r="K17" s="420">
        <v>0.13984160000000001</v>
      </c>
      <c r="L17" s="420">
        <v>0.11659990000000001</v>
      </c>
      <c r="M17" s="420">
        <v>0.1315364</v>
      </c>
      <c r="N17" s="269">
        <v>1292629</v>
      </c>
      <c r="O17" s="514" t="s">
        <v>95</v>
      </c>
    </row>
    <row r="18" spans="1:15" ht="160.5" customHeight="1">
      <c r="A18" s="305" t="s">
        <v>26</v>
      </c>
      <c r="B18" s="272">
        <v>0.01</v>
      </c>
      <c r="C18" s="272">
        <v>0.01</v>
      </c>
      <c r="D18" s="422">
        <v>1.04106768919839E-4</v>
      </c>
      <c r="E18" s="422">
        <v>5.309764912600222E-4</v>
      </c>
      <c r="F18" s="422">
        <v>1.8917172172781892E-3</v>
      </c>
      <c r="G18" s="422">
        <v>8.1682006988069271E-4</v>
      </c>
      <c r="H18" s="422">
        <v>2.9600838989461867E-3</v>
      </c>
      <c r="I18" s="422">
        <v>4.7377485842346719E-3</v>
      </c>
      <c r="J18" s="422">
        <v>6.4487566749634549E-3</v>
      </c>
      <c r="K18" s="422">
        <v>3.9143315760951838E-3</v>
      </c>
      <c r="L18" s="422">
        <v>-7.2096236091815952E-4</v>
      </c>
      <c r="M18" s="422">
        <v>-1.1249800507029963E-3</v>
      </c>
      <c r="N18" s="306">
        <v>120672</v>
      </c>
      <c r="O18" s="514" t="s">
        <v>96</v>
      </c>
    </row>
    <row r="19" spans="1:15" ht="51" customHeight="1">
      <c r="A19" s="554" t="s">
        <v>55</v>
      </c>
      <c r="B19" s="555">
        <v>7.0191817358136177E-3</v>
      </c>
      <c r="C19" s="555">
        <v>7.0191817358136177E-3</v>
      </c>
      <c r="D19" s="555">
        <v>8.5556581616401672E-3</v>
      </c>
      <c r="E19" s="555">
        <v>0.13474191725254059</v>
      </c>
      <c r="F19" s="555">
        <v>0.1813579648733139</v>
      </c>
      <c r="G19" s="555">
        <v>0.17496301233768463</v>
      </c>
      <c r="H19" s="555">
        <v>0.28616240620613098</v>
      </c>
      <c r="I19" s="555">
        <v>0.16959623992443085</v>
      </c>
      <c r="J19" s="555">
        <v>-9.4997286796569824E-2</v>
      </c>
      <c r="K19" s="555">
        <v>0.14987236261367798</v>
      </c>
      <c r="L19" s="555">
        <v>6.3536904752254486E-2</v>
      </c>
      <c r="M19" s="555">
        <v>4.3593320995569229E-2</v>
      </c>
      <c r="N19" s="556">
        <v>2822</v>
      </c>
      <c r="O19" s="514" t="s">
        <v>97</v>
      </c>
    </row>
    <row r="20" spans="1:15" ht="51" customHeight="1">
      <c r="A20" s="278"/>
      <c r="B20" s="279"/>
      <c r="C20" s="279"/>
      <c r="D20" s="279"/>
      <c r="E20" s="279"/>
      <c r="F20" s="279"/>
      <c r="G20" s="279"/>
      <c r="H20" s="279"/>
      <c r="I20" s="279"/>
      <c r="J20" s="279"/>
      <c r="K20" s="279"/>
      <c r="L20" s="279"/>
      <c r="M20" s="279"/>
      <c r="N20" s="280"/>
      <c r="O20" s="265"/>
    </row>
    <row r="21" spans="1:15" ht="12.75" customHeight="1">
      <c r="A21" s="278"/>
      <c r="B21" s="279"/>
      <c r="C21" s="279"/>
      <c r="D21" s="279"/>
      <c r="E21" s="279"/>
      <c r="F21" s="279"/>
      <c r="G21" s="279"/>
      <c r="H21" s="279"/>
      <c r="I21" s="279"/>
      <c r="J21" s="279"/>
      <c r="K21" s="279"/>
      <c r="L21" s="279"/>
      <c r="M21" s="279"/>
      <c r="N21" s="281"/>
      <c r="O21" s="265"/>
    </row>
    <row r="22" spans="1:15" ht="14.1">
      <c r="A22" s="149" t="s">
        <v>68</v>
      </c>
      <c r="B22" s="225"/>
      <c r="C22" s="225"/>
      <c r="D22" s="225"/>
      <c r="E22" s="225"/>
      <c r="F22" s="226"/>
      <c r="G22" s="225"/>
      <c r="H22" s="226"/>
      <c r="I22" s="225"/>
      <c r="J22" s="225"/>
      <c r="K22" s="225"/>
      <c r="L22" s="225"/>
      <c r="M22" s="225"/>
      <c r="N22" s="223"/>
      <c r="O22" s="225"/>
    </row>
    <row r="23" spans="1:15" ht="30.75" customHeight="1">
      <c r="A23" s="697" t="s">
        <v>98</v>
      </c>
      <c r="B23" s="697"/>
      <c r="C23" s="697"/>
      <c r="D23" s="697"/>
      <c r="E23" s="697"/>
      <c r="F23" s="697"/>
      <c r="G23" s="697"/>
      <c r="H23" s="697"/>
      <c r="I23" s="697"/>
      <c r="J23" s="697"/>
      <c r="K23" s="697"/>
      <c r="L23" s="697"/>
      <c r="M23" s="697"/>
      <c r="N23" s="617"/>
      <c r="O23" s="326"/>
    </row>
    <row r="24" spans="1:15" ht="13.5" customHeight="1">
      <c r="A24" s="718" t="s">
        <v>99</v>
      </c>
      <c r="B24" s="719"/>
      <c r="C24" s="719"/>
      <c r="D24" s="719"/>
      <c r="E24" s="719"/>
      <c r="F24" s="719"/>
      <c r="G24" s="719"/>
      <c r="H24" s="719"/>
      <c r="I24" s="719"/>
      <c r="J24" s="719"/>
      <c r="K24" s="719"/>
      <c r="L24" s="719"/>
      <c r="M24" s="719"/>
      <c r="N24" s="719"/>
      <c r="O24" s="35"/>
    </row>
    <row r="25" spans="1:15" ht="13.5" customHeight="1">
      <c r="A25" s="618" t="s">
        <v>100</v>
      </c>
      <c r="B25" s="619"/>
      <c r="C25" s="619"/>
      <c r="D25" s="619"/>
      <c r="E25" s="619"/>
      <c r="F25" s="619"/>
      <c r="G25" s="619"/>
      <c r="H25" s="619"/>
      <c r="I25" s="619"/>
      <c r="J25" s="619"/>
      <c r="K25" s="619"/>
      <c r="L25" s="619"/>
      <c r="M25" s="619"/>
      <c r="N25" s="619"/>
      <c r="O25" s="35"/>
    </row>
    <row r="26" spans="1:15" s="81" customFormat="1" ht="13.5" customHeight="1">
      <c r="A26" s="720" t="s">
        <v>101</v>
      </c>
      <c r="B26" s="721"/>
      <c r="C26" s="721"/>
      <c r="D26" s="721"/>
      <c r="E26" s="721"/>
      <c r="F26" s="721"/>
      <c r="G26" s="721"/>
      <c r="H26" s="721"/>
      <c r="I26" s="721"/>
      <c r="J26" s="721"/>
      <c r="K26" s="721"/>
      <c r="L26" s="721"/>
      <c r="M26" s="721"/>
      <c r="N26" s="721"/>
      <c r="O26" s="35"/>
    </row>
    <row r="27" spans="1:15" ht="14.1">
      <c r="A27" s="615" t="s">
        <v>102</v>
      </c>
      <c r="B27" s="35"/>
      <c r="C27" s="35"/>
      <c r="D27" s="35"/>
      <c r="E27" s="35"/>
      <c r="F27" s="35"/>
      <c r="G27" s="35"/>
      <c r="H27" s="35"/>
      <c r="I27" s="35"/>
      <c r="J27" s="35"/>
      <c r="K27" s="35"/>
      <c r="L27" s="35"/>
      <c r="M27" s="35"/>
      <c r="N27" s="35"/>
      <c r="O27" s="304" t="s">
        <v>103</v>
      </c>
    </row>
    <row r="28" spans="1:15" ht="13.5" customHeight="1">
      <c r="A28" s="139" t="s">
        <v>84</v>
      </c>
      <c r="N28" s="223"/>
      <c r="O28" s="35"/>
    </row>
    <row r="29" spans="1:15" ht="12.75" customHeight="1">
      <c r="N29" s="223"/>
    </row>
    <row r="30" spans="1:15" ht="12.75" customHeight="1">
      <c r="N30" s="223"/>
    </row>
    <row r="34" spans="8:8" ht="12.75" customHeight="1">
      <c r="H34">
        <v>0</v>
      </c>
    </row>
  </sheetData>
  <mergeCells count="4">
    <mergeCell ref="A7:N7"/>
    <mergeCell ref="A24:N24"/>
    <mergeCell ref="A23:M23"/>
    <mergeCell ref="A26:N26"/>
  </mergeCells>
  <phoneticPr fontId="45"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Z53"/>
  <sheetViews>
    <sheetView showGridLines="0" showRuler="0" zoomScaleNormal="100" zoomScaleSheetLayoutView="100" workbookViewId="0"/>
  </sheetViews>
  <sheetFormatPr defaultColWidth="9.28515625" defaultRowHeight="40.5" customHeight="1"/>
  <cols>
    <col min="1" max="1" width="35" customWidth="1"/>
    <col min="2" max="9" width="10.7109375" customWidth="1"/>
    <col min="10" max="10" width="11.28515625" customWidth="1"/>
    <col min="11" max="13" width="10.7109375" customWidth="1"/>
    <col min="14" max="14" width="14.28515625" style="110" bestFit="1" customWidth="1"/>
    <col min="15" max="15" width="149.5703125" customWidth="1"/>
  </cols>
  <sheetData>
    <row r="1" spans="1:16" ht="12.6">
      <c r="N1" s="227"/>
    </row>
    <row r="2" spans="1:16" ht="12.95">
      <c r="H2" s="79" t="s">
        <v>39</v>
      </c>
      <c r="N2" s="227"/>
    </row>
    <row r="3" spans="1:16" ht="12.95">
      <c r="H3" s="107">
        <f>'Program MW '!H3</f>
        <v>44805</v>
      </c>
      <c r="N3" s="227"/>
    </row>
    <row r="4" spans="1:16" ht="12.6">
      <c r="F4" s="81"/>
      <c r="G4" s="81"/>
      <c r="I4" s="81"/>
      <c r="N4" s="227"/>
      <c r="O4" s="35"/>
    </row>
    <row r="5" spans="1:16" ht="12.95">
      <c r="B5" s="81"/>
      <c r="C5" s="81"/>
      <c r="D5" s="81"/>
      <c r="F5" s="79"/>
      <c r="N5" s="227"/>
    </row>
    <row r="6" spans="1:16" ht="12.95">
      <c r="F6" s="79"/>
      <c r="N6" s="227"/>
    </row>
    <row r="7" spans="1:16" ht="22.5" customHeight="1">
      <c r="A7" s="701" t="s">
        <v>104</v>
      </c>
      <c r="B7" s="702"/>
      <c r="C7" s="702"/>
      <c r="D7" s="702"/>
      <c r="E7" s="702"/>
      <c r="F7" s="702"/>
      <c r="G7" s="702"/>
      <c r="H7" s="702"/>
      <c r="I7" s="702"/>
      <c r="J7" s="702"/>
      <c r="K7" s="702"/>
      <c r="L7" s="702"/>
      <c r="M7" s="702"/>
      <c r="N7" s="703"/>
      <c r="O7" s="423"/>
    </row>
    <row r="8" spans="1:16" ht="40.5" customHeight="1">
      <c r="A8" s="34" t="s">
        <v>1</v>
      </c>
      <c r="B8" s="396" t="s">
        <v>41</v>
      </c>
      <c r="C8" s="396" t="s">
        <v>42</v>
      </c>
      <c r="D8" s="396" t="s">
        <v>43</v>
      </c>
      <c r="E8" s="396" t="s">
        <v>44</v>
      </c>
      <c r="F8" s="396" t="s">
        <v>31</v>
      </c>
      <c r="G8" s="396" t="s">
        <v>45</v>
      </c>
      <c r="H8" s="396" t="s">
        <v>58</v>
      </c>
      <c r="I8" s="396" t="s">
        <v>59</v>
      </c>
      <c r="J8" s="396" t="s">
        <v>60</v>
      </c>
      <c r="K8" s="396" t="s">
        <v>61</v>
      </c>
      <c r="L8" s="396" t="s">
        <v>62</v>
      </c>
      <c r="M8" s="396" t="s">
        <v>63</v>
      </c>
      <c r="N8" s="424" t="str">
        <f>'Ex ante LI &amp; Eligibility Stats'!N8:N8</f>
        <v>Eligible Accounts as of January</v>
      </c>
      <c r="O8" s="173" t="s">
        <v>87</v>
      </c>
    </row>
    <row r="9" spans="1:16" ht="75.75" customHeight="1">
      <c r="A9" s="554" t="s">
        <v>8</v>
      </c>
      <c r="B9" s="420">
        <v>106</v>
      </c>
      <c r="C9" s="420">
        <v>106</v>
      </c>
      <c r="D9" s="420">
        <v>106</v>
      </c>
      <c r="E9" s="420">
        <v>65.940704345703125</v>
      </c>
      <c r="F9" s="420">
        <v>65.940704345703125</v>
      </c>
      <c r="G9" s="420">
        <v>65.940704345703125</v>
      </c>
      <c r="H9" s="420">
        <v>65.940704345703125</v>
      </c>
      <c r="I9" s="420">
        <v>65.940704345703125</v>
      </c>
      <c r="J9" s="420">
        <v>65.940704345703125</v>
      </c>
      <c r="K9" s="420">
        <v>65.940704345703125</v>
      </c>
      <c r="L9" s="420">
        <v>65.940704345703125</v>
      </c>
      <c r="M9" s="420">
        <v>65.940704345703125</v>
      </c>
      <c r="N9" s="425">
        <f>'Ex ante LI &amp; Eligibility Stats'!N9</f>
        <v>5326</v>
      </c>
      <c r="O9" s="557" t="str">
        <f>'Ex ante LI &amp; Eligibility Stats'!O9</f>
        <v>Direct Participation Customers: Any non-residential customer who can commit to reducing at least 15% of their Monthly Average Peak Demand, may participate in Schedule BIP directly with the Utility. Aggregator Customers: Any non-residential customer may participate in Schedule BIP through an aggregator. This tariff is available to bundled, Direct Access (DA), and Community Choice Aggregation (CCA) customers.</v>
      </c>
      <c r="P9" s="420"/>
    </row>
    <row r="10" spans="1:16" ht="75.75" customHeight="1">
      <c r="A10" s="308" t="s">
        <v>11</v>
      </c>
      <c r="B10" s="309">
        <v>0.48120716908709499</v>
      </c>
      <c r="C10" s="309">
        <v>0.48120716908709499</v>
      </c>
      <c r="D10" s="420">
        <v>0.48120716908709499</v>
      </c>
      <c r="E10" s="420">
        <v>3.1789051796120897E-2</v>
      </c>
      <c r="F10" s="420">
        <v>3.1789051796120897E-2</v>
      </c>
      <c r="G10" s="420">
        <v>3.1789051796120897E-2</v>
      </c>
      <c r="H10" s="420">
        <v>3.1789051796120897E-2</v>
      </c>
      <c r="I10" s="420">
        <v>3.1789051796120897E-2</v>
      </c>
      <c r="J10" s="420">
        <v>3.1789051796120897E-2</v>
      </c>
      <c r="K10" s="420">
        <v>3.1789051796120897E-2</v>
      </c>
      <c r="L10" s="420">
        <v>3.1789051796120897E-2</v>
      </c>
      <c r="M10" s="420">
        <v>3.1789051796120897E-2</v>
      </c>
      <c r="N10" s="270">
        <f>'Ex ante LI &amp; Eligibility Stats'!N10</f>
        <v>24298</v>
      </c>
      <c r="O10" s="557"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6" ht="75.75" customHeight="1">
      <c r="A11" s="267" t="s">
        <v>17</v>
      </c>
      <c r="B11" s="268">
        <v>0.30028513073921204</v>
      </c>
      <c r="C11" s="268">
        <v>0.30028513073921204</v>
      </c>
      <c r="D11" s="420">
        <v>0.30028513073921204</v>
      </c>
      <c r="E11" s="420">
        <v>0.40579277276992798</v>
      </c>
      <c r="F11" s="420">
        <v>0.40579277276992798</v>
      </c>
      <c r="G11" s="420">
        <v>0.40579277276992798</v>
      </c>
      <c r="H11" s="420">
        <v>0.40579277276992798</v>
      </c>
      <c r="I11" s="420">
        <v>0.40579277276992798</v>
      </c>
      <c r="J11" s="420">
        <v>0.40579277276992798</v>
      </c>
      <c r="K11" s="420">
        <v>0.40579277276992798</v>
      </c>
      <c r="L11" s="420">
        <v>0.40579277276992798</v>
      </c>
      <c r="M11" s="420">
        <v>0.40579277276992798</v>
      </c>
      <c r="N11" s="270">
        <f>'Ex ante LI &amp; Eligibility Stats'!N11</f>
        <v>590220</v>
      </c>
      <c r="O11" s="557"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v>
      </c>
    </row>
    <row r="12" spans="1:16" ht="75.75" customHeight="1">
      <c r="A12" s="267" t="s">
        <v>20</v>
      </c>
      <c r="B12" s="268">
        <v>0.4638446569442749</v>
      </c>
      <c r="C12" s="268">
        <v>0.4638446569442749</v>
      </c>
      <c r="D12" s="420">
        <v>0.4638446569442749</v>
      </c>
      <c r="E12" s="420">
        <v>0.93261325359344482</v>
      </c>
      <c r="F12" s="420">
        <v>0.93261325359344482</v>
      </c>
      <c r="G12" s="420">
        <v>0.93261325359344482</v>
      </c>
      <c r="H12" s="420">
        <v>0.93261325359344482</v>
      </c>
      <c r="I12" s="420">
        <v>0.93261325359344482</v>
      </c>
      <c r="J12" s="420">
        <v>0.93261325359344482</v>
      </c>
      <c r="K12" s="420">
        <v>0.93261325359344482</v>
      </c>
      <c r="L12" s="420">
        <v>0.93261325359344482</v>
      </c>
      <c r="M12" s="420">
        <v>0.93261325359344482</v>
      </c>
      <c r="N12" s="270">
        <f>'Ex ante LI &amp; Eligibility Stats'!N12</f>
        <v>133226</v>
      </c>
      <c r="O12" s="557"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6" ht="75.75" customHeight="1">
      <c r="A13" s="267" t="s">
        <v>21</v>
      </c>
      <c r="B13" s="268">
        <v>0.13413890000000001</v>
      </c>
      <c r="C13" s="268">
        <v>0.13413890000000001</v>
      </c>
      <c r="D13" s="420">
        <v>0.13413890000000001</v>
      </c>
      <c r="E13" s="420">
        <v>5.5856000000000003E-2</v>
      </c>
      <c r="F13" s="420">
        <v>5.5856000000000003E-2</v>
      </c>
      <c r="G13" s="420">
        <v>5.5856000000000003E-2</v>
      </c>
      <c r="H13" s="420">
        <v>5.5856000000000003E-2</v>
      </c>
      <c r="I13" s="420">
        <v>5.5856000000000003E-2</v>
      </c>
      <c r="J13" s="420">
        <v>5.5856000000000003E-2</v>
      </c>
      <c r="K13" s="420">
        <v>5.5856000000000003E-2</v>
      </c>
      <c r="L13" s="420">
        <v>5.5856000000000003E-2</v>
      </c>
      <c r="M13" s="420">
        <v>5.5856000000000003E-2</v>
      </c>
      <c r="N13" s="270">
        <f>'Ex ante LI &amp; Eligibility Stats'!N13</f>
        <v>590220</v>
      </c>
      <c r="O13" s="557"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v>
      </c>
    </row>
    <row r="14" spans="1:16" ht="75.75" customHeight="1">
      <c r="A14" s="267" t="s">
        <v>23</v>
      </c>
      <c r="B14" s="268">
        <v>4.9344300000000001E-2</v>
      </c>
      <c r="C14" s="268">
        <v>4.9344300000000001E-2</v>
      </c>
      <c r="D14" s="420">
        <v>4.9344300000000001E-2</v>
      </c>
      <c r="E14" s="420">
        <v>9.3625299999999995E-2</v>
      </c>
      <c r="F14" s="420">
        <v>9.3625299999999995E-2</v>
      </c>
      <c r="G14" s="420">
        <v>9.3625299999999995E-2</v>
      </c>
      <c r="H14" s="420">
        <v>9.3625299999999995E-2</v>
      </c>
      <c r="I14" s="420">
        <v>9.3625299999999995E-2</v>
      </c>
      <c r="J14" s="420">
        <v>9.3625299999999995E-2</v>
      </c>
      <c r="K14" s="420">
        <v>9.3625299999999995E-2</v>
      </c>
      <c r="L14" s="420">
        <v>9.3625299999999995E-2</v>
      </c>
      <c r="M14" s="420">
        <v>9.3625299999999995E-2</v>
      </c>
      <c r="N14" s="270">
        <f>'Ex ante LI &amp; Eligibility Stats'!N14</f>
        <v>133226</v>
      </c>
      <c r="O14" s="557"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v>
      </c>
    </row>
    <row r="15" spans="1:16" ht="75.75" customHeight="1">
      <c r="A15" s="308" t="s">
        <v>24</v>
      </c>
      <c r="B15" s="426">
        <v>17.953320000000001</v>
      </c>
      <c r="C15" s="426">
        <v>17.953320000000001</v>
      </c>
      <c r="D15" s="420">
        <v>17.953320000000001</v>
      </c>
      <c r="E15" s="420">
        <v>18.096133800527408</v>
      </c>
      <c r="F15" s="420">
        <v>18.096133800527408</v>
      </c>
      <c r="G15" s="420">
        <v>18.096133800527408</v>
      </c>
      <c r="H15" s="420">
        <v>18.096133800527408</v>
      </c>
      <c r="I15" s="420">
        <v>18.096133800527408</v>
      </c>
      <c r="J15" s="420">
        <v>18.096133800527408</v>
      </c>
      <c r="K15" s="420">
        <v>18.096133800527408</v>
      </c>
      <c r="L15" s="420">
        <v>18.096133800527408</v>
      </c>
      <c r="M15" s="420">
        <v>18.096133800527408</v>
      </c>
      <c r="N15" s="270">
        <f>'Ex ante LI &amp; Eligibility Stats'!N15</f>
        <v>78368</v>
      </c>
      <c r="O15" s="557"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6" ht="75.75" customHeight="1">
      <c r="A16" s="308" t="s">
        <v>25</v>
      </c>
      <c r="B16" s="426">
        <v>13.800850000000001</v>
      </c>
      <c r="C16" s="426">
        <v>13.800850000000001</v>
      </c>
      <c r="D16" s="420">
        <v>13.800850000000001</v>
      </c>
      <c r="E16" s="420">
        <v>13.671124386287577</v>
      </c>
      <c r="F16" s="420">
        <v>13.671124386287577</v>
      </c>
      <c r="G16" s="420">
        <v>13.671124386287577</v>
      </c>
      <c r="H16" s="420">
        <v>13.671124386287577</v>
      </c>
      <c r="I16" s="420">
        <v>13.671124386287577</v>
      </c>
      <c r="J16" s="420">
        <v>13.671124386287577</v>
      </c>
      <c r="K16" s="420">
        <v>13.671124386287577</v>
      </c>
      <c r="L16" s="420">
        <v>13.671124386287577</v>
      </c>
      <c r="M16" s="420">
        <v>13.671124386287577</v>
      </c>
      <c r="N16" s="270">
        <f>'Ex ante LI &amp; Eligibility Stats'!N16</f>
        <v>78368</v>
      </c>
      <c r="O16" s="557"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267" t="s">
        <v>27</v>
      </c>
      <c r="B17" s="420">
        <v>0.16711041871077983</v>
      </c>
      <c r="C17" s="420">
        <v>0.16711041871077983</v>
      </c>
      <c r="D17" s="420">
        <v>0.16711041871077983</v>
      </c>
      <c r="E17" s="420">
        <v>5.9799057914105197E-2</v>
      </c>
      <c r="F17" s="420">
        <v>5.9799057914105197E-2</v>
      </c>
      <c r="G17" s="420">
        <v>5.9799057914105197E-2</v>
      </c>
      <c r="H17" s="420">
        <v>5.9799057914105197E-2</v>
      </c>
      <c r="I17" s="420">
        <v>5.9799057914105197E-2</v>
      </c>
      <c r="J17" s="420">
        <v>5.9799057914105197E-2</v>
      </c>
      <c r="K17" s="420">
        <v>5.9799057914105197E-2</v>
      </c>
      <c r="L17" s="420">
        <v>5.9799057914105197E-2</v>
      </c>
      <c r="M17" s="420">
        <v>5.9799057914105197E-2</v>
      </c>
      <c r="N17" s="270">
        <f>'Ex ante LI &amp; Eligibility Stats'!N17</f>
        <v>1292629</v>
      </c>
      <c r="O17" s="557"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305" t="s">
        <v>26</v>
      </c>
      <c r="B18" s="272">
        <v>4.9964198690539703E-2</v>
      </c>
      <c r="C18" s="272">
        <v>4.9964198690539703E-2</v>
      </c>
      <c r="D18" s="422">
        <v>4.9964198690539703E-2</v>
      </c>
      <c r="E18" s="422">
        <v>4.6100870583448226E-3</v>
      </c>
      <c r="F18" s="422">
        <v>4.6100870583448226E-3</v>
      </c>
      <c r="G18" s="422">
        <v>4.6100870583448226E-3</v>
      </c>
      <c r="H18" s="422">
        <v>4.6100870583448226E-3</v>
      </c>
      <c r="I18" s="422">
        <v>4.6100870583448226E-3</v>
      </c>
      <c r="J18" s="422">
        <v>4.6100870583448226E-3</v>
      </c>
      <c r="K18" s="422">
        <v>4.6100870583448226E-3</v>
      </c>
      <c r="L18" s="422">
        <v>4.6100870583448226E-3</v>
      </c>
      <c r="M18" s="422">
        <v>4.6100870583448226E-3</v>
      </c>
      <c r="N18" s="307">
        <f>'Ex ante LI &amp; Eligibility Stats'!N18</f>
        <v>120672</v>
      </c>
      <c r="O18" s="427" t="str">
        <f>'Ex ante LI &amp; Eligibility Stats'!O18</f>
        <v>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TOU-A-2, and/or TOU-A-3.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v>
      </c>
    </row>
    <row r="19" spans="1:26" ht="66.75" customHeight="1">
      <c r="A19" s="554" t="s">
        <v>55</v>
      </c>
      <c r="B19" s="555">
        <v>0.47450989484786987</v>
      </c>
      <c r="C19" s="555">
        <v>0.47450989484786987</v>
      </c>
      <c r="D19" s="555">
        <v>0.47450989484786987</v>
      </c>
      <c r="E19" s="555">
        <v>0.16959790885448456</v>
      </c>
      <c r="F19" s="555">
        <v>0.16959790885448456</v>
      </c>
      <c r="G19" s="555">
        <v>0.16959790885448456</v>
      </c>
      <c r="H19" s="555">
        <v>0.16959790885448456</v>
      </c>
      <c r="I19" s="555">
        <v>0.16959790885448456</v>
      </c>
      <c r="J19" s="555">
        <v>0.16959790885448456</v>
      </c>
      <c r="K19" s="555">
        <v>0.16959790885448456</v>
      </c>
      <c r="L19" s="555">
        <v>0.16959790885448456</v>
      </c>
      <c r="M19" s="555">
        <v>0.16959790885448456</v>
      </c>
      <c r="N19" s="558">
        <f>'Ex ante LI &amp; Eligibility Stats'!N19</f>
        <v>2822</v>
      </c>
      <c r="O19" s="557"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23.25" customHeight="1">
      <c r="A20" s="278"/>
      <c r="B20" s="279"/>
      <c r="C20" s="279"/>
      <c r="D20" s="279"/>
      <c r="E20" s="279"/>
      <c r="F20" s="279"/>
      <c r="G20" s="279"/>
      <c r="H20" s="279"/>
      <c r="I20" s="279"/>
      <c r="J20" s="279"/>
      <c r="K20" s="279"/>
      <c r="L20" s="279"/>
      <c r="M20" s="279"/>
      <c r="N20" s="280"/>
      <c r="O20" s="265"/>
    </row>
    <row r="21" spans="1:26" ht="14.1">
      <c r="A21" s="704" t="s">
        <v>105</v>
      </c>
      <c r="B21" s="704"/>
      <c r="C21" s="704"/>
      <c r="D21" s="704"/>
      <c r="E21" s="704"/>
      <c r="F21" s="704"/>
      <c r="G21" s="704"/>
      <c r="H21" s="704"/>
      <c r="I21" s="704"/>
      <c r="J21" s="704"/>
      <c r="K21" s="704"/>
      <c r="L21" s="704"/>
      <c r="M21" s="704"/>
      <c r="N21" s="704"/>
      <c r="O21" s="704"/>
    </row>
    <row r="22" spans="1:26" s="9" customFormat="1" ht="43.5" customHeight="1">
      <c r="A22" s="697" t="s">
        <v>106</v>
      </c>
      <c r="B22" s="697"/>
      <c r="C22" s="697"/>
      <c r="D22" s="697"/>
      <c r="E22" s="697"/>
      <c r="F22" s="697"/>
      <c r="G22" s="697"/>
      <c r="H22" s="697"/>
      <c r="I22" s="697"/>
      <c r="J22" s="697"/>
      <c r="K22" s="697"/>
      <c r="L22" s="697"/>
      <c r="M22" s="616"/>
      <c r="N22" s="616"/>
      <c r="O22" s="616"/>
      <c r="P22" s="12"/>
      <c r="Q22" s="12"/>
      <c r="R22" s="12"/>
      <c r="S22" s="12"/>
      <c r="T22" s="77"/>
      <c r="U22" s="77"/>
      <c r="V22" s="77"/>
      <c r="W22" s="77"/>
      <c r="X22" s="77"/>
      <c r="Y22" s="77"/>
      <c r="Z22" s="77"/>
    </row>
    <row r="23" spans="1:26" ht="12.75" customHeight="1">
      <c r="A23" s="697" t="s">
        <v>107</v>
      </c>
      <c r="B23" s="697"/>
      <c r="C23" s="697"/>
      <c r="D23" s="697"/>
      <c r="E23" s="697"/>
      <c r="F23" s="697"/>
      <c r="G23" s="697"/>
      <c r="H23" s="697"/>
      <c r="I23" s="697"/>
      <c r="J23" s="697"/>
      <c r="K23" s="697"/>
      <c r="L23" s="697"/>
      <c r="N23" s="227"/>
    </row>
    <row r="24" spans="1:26" ht="12.75" customHeight="1">
      <c r="A24" s="618" t="s">
        <v>108</v>
      </c>
      <c r="B24" s="619"/>
      <c r="C24" s="619"/>
      <c r="D24" s="619"/>
      <c r="E24" s="619"/>
      <c r="F24" s="619"/>
      <c r="G24" s="619"/>
      <c r="H24" s="619"/>
      <c r="I24" s="619"/>
      <c r="J24" s="619"/>
      <c r="K24" s="619"/>
      <c r="L24" s="619"/>
      <c r="M24" s="619"/>
      <c r="N24" s="619"/>
      <c r="O24" s="35"/>
    </row>
    <row r="25" spans="1:26" s="9" customFormat="1" ht="14.1">
      <c r="A25" s="618" t="s">
        <v>109</v>
      </c>
      <c r="B25" s="619"/>
      <c r="C25" s="619"/>
      <c r="D25" s="619"/>
      <c r="E25" s="619"/>
      <c r="F25" s="619"/>
      <c r="G25" s="619"/>
      <c r="H25" s="619"/>
      <c r="I25" s="619"/>
      <c r="J25" s="619"/>
      <c r="K25" s="619"/>
      <c r="L25" s="619"/>
      <c r="M25" s="619"/>
      <c r="N25" s="619"/>
      <c r="O25" s="35"/>
      <c r="P25" s="12"/>
      <c r="Q25" s="12"/>
      <c r="R25" s="12"/>
      <c r="S25" s="12"/>
      <c r="T25" s="77"/>
      <c r="U25" s="77"/>
      <c r="V25" s="77"/>
      <c r="W25" s="77"/>
      <c r="X25" s="77"/>
      <c r="Y25" s="77"/>
      <c r="Z25" s="77"/>
    </row>
    <row r="26" spans="1:26" ht="18" customHeight="1">
      <c r="A26" s="720" t="s">
        <v>110</v>
      </c>
      <c r="B26" s="721"/>
      <c r="C26" s="721"/>
      <c r="D26" s="721"/>
      <c r="E26" s="721"/>
      <c r="F26" s="721"/>
      <c r="G26" s="721"/>
      <c r="H26" s="721"/>
      <c r="I26" s="721"/>
      <c r="J26" s="721"/>
      <c r="K26" s="721"/>
      <c r="L26" s="721"/>
      <c r="M26" s="721"/>
      <c r="N26" s="721"/>
      <c r="O26" s="721"/>
    </row>
    <row r="27" spans="1:26" ht="40.5" customHeight="1">
      <c r="A27" s="150" t="s">
        <v>84</v>
      </c>
      <c r="N27" s="227"/>
    </row>
    <row r="29" spans="1:26" ht="40.5" customHeight="1">
      <c r="H29" t="s">
        <v>67</v>
      </c>
      <c r="N29" s="227"/>
    </row>
    <row r="53" spans="1:1" ht="40.5" customHeight="1">
      <c r="A53" s="113"/>
    </row>
  </sheetData>
  <mergeCells count="5">
    <mergeCell ref="A26:O26"/>
    <mergeCell ref="A7:N7"/>
    <mergeCell ref="A21:O21"/>
    <mergeCell ref="A22:L22"/>
    <mergeCell ref="A23:L23"/>
  </mergeCells>
  <phoneticPr fontId="0" type="noConversion"/>
  <printOptions horizontalCentered="1"/>
  <pageMargins left="0" right="0" top="0" bottom="0" header="0.3" footer="0.15"/>
  <pageSetup paperSize="5" scale="50"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28515625" defaultRowHeight="12.6"/>
  <cols>
    <col min="1" max="1" width="45.7109375" style="38" customWidth="1"/>
    <col min="2" max="4" width="10.7109375" style="38" customWidth="1"/>
    <col min="5" max="5" width="12.7109375" style="38" customWidth="1"/>
    <col min="6" max="8" width="10.5703125" style="38" customWidth="1"/>
    <col min="9" max="9" width="12.7109375" style="38" customWidth="1"/>
    <col min="10" max="12" width="10.7109375" style="38" customWidth="1"/>
    <col min="13" max="13" width="12.7109375" style="38" customWidth="1"/>
    <col min="14" max="16" width="10.7109375" style="38" customWidth="1"/>
    <col min="17" max="17" width="12.7109375" style="38" customWidth="1"/>
    <col min="18" max="20" width="10.7109375" style="38" customWidth="1"/>
    <col min="21" max="21" width="12.7109375" style="38" customWidth="1"/>
    <col min="22" max="24" width="10.7109375" style="38" customWidth="1"/>
    <col min="25" max="25" width="12.7109375" style="38" customWidth="1"/>
    <col min="26" max="16384" width="9.28515625" style="38"/>
  </cols>
  <sheetData>
    <row r="1" spans="1:25" ht="12.95">
      <c r="A1" s="37" t="s">
        <v>111</v>
      </c>
    </row>
    <row r="3" spans="1:25" ht="21.75" customHeight="1">
      <c r="A3" s="59">
        <v>2016</v>
      </c>
      <c r="B3" s="705" t="s">
        <v>41</v>
      </c>
      <c r="C3" s="705"/>
      <c r="D3" s="705"/>
      <c r="E3" s="705"/>
      <c r="F3" s="706" t="s">
        <v>42</v>
      </c>
      <c r="G3" s="706"/>
      <c r="H3" s="706"/>
      <c r="I3" s="706"/>
      <c r="J3" s="706" t="s">
        <v>43</v>
      </c>
      <c r="K3" s="706"/>
      <c r="L3" s="706"/>
      <c r="M3" s="706"/>
      <c r="N3" s="706" t="s">
        <v>44</v>
      </c>
      <c r="O3" s="706"/>
      <c r="P3" s="706"/>
      <c r="Q3" s="706"/>
      <c r="R3" s="706" t="s">
        <v>31</v>
      </c>
      <c r="S3" s="706"/>
      <c r="T3" s="706"/>
      <c r="U3" s="706"/>
      <c r="V3" s="706" t="s">
        <v>45</v>
      </c>
      <c r="W3" s="706"/>
      <c r="X3" s="706"/>
      <c r="Y3" s="706"/>
    </row>
    <row r="4" spans="1:25" ht="79.5" customHeight="1">
      <c r="A4" s="559" t="s">
        <v>112</v>
      </c>
      <c r="B4" s="560" t="s">
        <v>113</v>
      </c>
      <c r="C4" s="560" t="s">
        <v>114</v>
      </c>
      <c r="D4" s="560" t="s">
        <v>115</v>
      </c>
      <c r="E4" s="560" t="s">
        <v>116</v>
      </c>
      <c r="F4" s="560" t="s">
        <v>113</v>
      </c>
      <c r="G4" s="560" t="s">
        <v>114</v>
      </c>
      <c r="H4" s="560" t="s">
        <v>115</v>
      </c>
      <c r="I4" s="560" t="s">
        <v>116</v>
      </c>
      <c r="J4" s="560" t="s">
        <v>113</v>
      </c>
      <c r="K4" s="560" t="s">
        <v>114</v>
      </c>
      <c r="L4" s="560" t="s">
        <v>115</v>
      </c>
      <c r="M4" s="560" t="s">
        <v>116</v>
      </c>
      <c r="N4" s="560" t="s">
        <v>113</v>
      </c>
      <c r="O4" s="560" t="s">
        <v>114</v>
      </c>
      <c r="P4" s="560" t="s">
        <v>115</v>
      </c>
      <c r="Q4" s="560" t="s">
        <v>116</v>
      </c>
      <c r="R4" s="560" t="s">
        <v>113</v>
      </c>
      <c r="S4" s="560" t="s">
        <v>114</v>
      </c>
      <c r="T4" s="560" t="s">
        <v>115</v>
      </c>
      <c r="U4" s="560" t="s">
        <v>116</v>
      </c>
      <c r="V4" s="560" t="s">
        <v>113</v>
      </c>
      <c r="W4" s="560" t="s">
        <v>114</v>
      </c>
      <c r="X4" s="560" t="s">
        <v>115</v>
      </c>
      <c r="Y4" s="560" t="s">
        <v>116</v>
      </c>
    </row>
    <row r="5" spans="1:25" ht="12.95">
      <c r="A5" s="561" t="s">
        <v>117</v>
      </c>
      <c r="B5" s="562"/>
      <c r="C5" s="563">
        <v>5.8977000000000004</v>
      </c>
      <c r="D5" s="564">
        <v>2.3029999999999999</v>
      </c>
      <c r="E5" s="565">
        <f>SUM(B5:D5)</f>
        <v>8.2007000000000012</v>
      </c>
      <c r="F5" s="566"/>
      <c r="G5" s="564">
        <v>5.8977000000000004</v>
      </c>
      <c r="H5" s="564">
        <v>2.3029999999999999</v>
      </c>
      <c r="I5" s="567">
        <f>SUM(G5:H5)</f>
        <v>8.2007000000000012</v>
      </c>
      <c r="J5" s="566"/>
      <c r="K5" s="564"/>
      <c r="L5" s="564"/>
      <c r="M5" s="567">
        <f>SUM(K5:L5)</f>
        <v>0</v>
      </c>
      <c r="N5" s="566"/>
      <c r="O5" s="564"/>
      <c r="P5" s="564"/>
      <c r="Q5" s="567">
        <f>SUM(O5:P5)</f>
        <v>0</v>
      </c>
      <c r="R5" s="566"/>
      <c r="S5" s="564"/>
      <c r="T5" s="564"/>
      <c r="U5" s="567">
        <f>SUM(S5:T5)</f>
        <v>0</v>
      </c>
      <c r="V5" s="566"/>
      <c r="W5" s="564"/>
      <c r="X5" s="564"/>
      <c r="Y5" s="567">
        <f>SUM(W5:X5)</f>
        <v>0</v>
      </c>
    </row>
    <row r="6" spans="1:25" ht="12.95">
      <c r="A6" s="561" t="s">
        <v>118</v>
      </c>
      <c r="B6" s="568"/>
      <c r="C6" s="569">
        <v>12.8962</v>
      </c>
      <c r="D6" s="563">
        <v>1.4750000000000001</v>
      </c>
      <c r="E6" s="565">
        <f>SUM(B6:D6)</f>
        <v>14.3712</v>
      </c>
      <c r="F6" s="566"/>
      <c r="G6" s="564">
        <v>12.911899999999999</v>
      </c>
      <c r="H6" s="570">
        <v>1.4750000000000001</v>
      </c>
      <c r="I6" s="567">
        <f>SUM(G6:H6)</f>
        <v>14.386899999999999</v>
      </c>
      <c r="J6" s="571"/>
      <c r="K6" s="564"/>
      <c r="L6" s="570"/>
      <c r="M6" s="567">
        <f>SUM(K6:L6)</f>
        <v>0</v>
      </c>
      <c r="N6" s="571"/>
      <c r="O6" s="564"/>
      <c r="P6" s="570"/>
      <c r="Q6" s="567">
        <f>SUM(O6:P6)</f>
        <v>0</v>
      </c>
      <c r="R6" s="571"/>
      <c r="S6" s="564"/>
      <c r="T6" s="570"/>
      <c r="U6" s="567">
        <f>SUM(S6:T6)</f>
        <v>0</v>
      </c>
      <c r="V6" s="571"/>
      <c r="W6" s="564"/>
      <c r="X6" s="570"/>
      <c r="Y6" s="567">
        <f>SUM(W6:X6)</f>
        <v>0</v>
      </c>
    </row>
    <row r="7" spans="1:25" s="37" customFormat="1" ht="12.95">
      <c r="A7" s="428" t="s">
        <v>119</v>
      </c>
      <c r="B7" s="429"/>
      <c r="C7" s="430">
        <f>SUM(C5:C6)</f>
        <v>18.793900000000001</v>
      </c>
      <c r="D7" s="430">
        <f>SUM(D5:D6)</f>
        <v>3.778</v>
      </c>
      <c r="E7" s="430">
        <f>SUM(E5:E6)</f>
        <v>22.571899999999999</v>
      </c>
      <c r="F7" s="431"/>
      <c r="G7" s="567">
        <f t="shared" ref="G7:Y7" si="0">SUM(G5:G6)</f>
        <v>18.8096</v>
      </c>
      <c r="H7" s="567">
        <f t="shared" si="0"/>
        <v>3.778</v>
      </c>
      <c r="I7" s="567">
        <f t="shared" si="0"/>
        <v>22.587600000000002</v>
      </c>
      <c r="J7" s="567"/>
      <c r="K7" s="567">
        <f t="shared" si="0"/>
        <v>0</v>
      </c>
      <c r="L7" s="567">
        <f t="shared" si="0"/>
        <v>0</v>
      </c>
      <c r="M7" s="567">
        <f t="shared" si="0"/>
        <v>0</v>
      </c>
      <c r="N7" s="567"/>
      <c r="O7" s="567">
        <f t="shared" si="0"/>
        <v>0</v>
      </c>
      <c r="P7" s="567">
        <f t="shared" si="0"/>
        <v>0</v>
      </c>
      <c r="Q7" s="567">
        <f t="shared" si="0"/>
        <v>0</v>
      </c>
      <c r="R7" s="567"/>
      <c r="S7" s="567">
        <f t="shared" si="0"/>
        <v>0</v>
      </c>
      <c r="T7" s="567">
        <f t="shared" si="0"/>
        <v>0</v>
      </c>
      <c r="U7" s="567">
        <f t="shared" si="0"/>
        <v>0</v>
      </c>
      <c r="V7" s="567"/>
      <c r="W7" s="567">
        <f t="shared" si="0"/>
        <v>0</v>
      </c>
      <c r="X7" s="567">
        <f t="shared" si="0"/>
        <v>0</v>
      </c>
      <c r="Y7" s="567">
        <f t="shared" si="0"/>
        <v>0</v>
      </c>
    </row>
    <row r="8" spans="1:25" ht="4.5" customHeight="1">
      <c r="A8" s="428"/>
      <c r="B8" s="431"/>
      <c r="C8" s="572"/>
      <c r="D8" s="572"/>
      <c r="E8" s="573"/>
      <c r="F8" s="431"/>
      <c r="G8" s="571"/>
      <c r="H8" s="571"/>
      <c r="I8" s="567"/>
      <c r="J8" s="432"/>
      <c r="K8" s="571"/>
      <c r="L8" s="571"/>
      <c r="M8" s="567"/>
      <c r="N8" s="432"/>
      <c r="O8" s="571"/>
      <c r="P8" s="571"/>
      <c r="Q8" s="567"/>
      <c r="R8" s="432"/>
      <c r="S8" s="571"/>
      <c r="T8" s="571"/>
      <c r="U8" s="567"/>
      <c r="V8" s="432"/>
      <c r="W8" s="571"/>
      <c r="X8" s="571"/>
      <c r="Y8" s="567"/>
    </row>
    <row r="9" spans="1:25" ht="12.95">
      <c r="A9" s="433" t="s">
        <v>51</v>
      </c>
      <c r="B9" s="434"/>
      <c r="C9" s="560"/>
      <c r="D9" s="560"/>
      <c r="E9" s="574"/>
      <c r="F9" s="434"/>
      <c r="G9" s="575"/>
      <c r="H9" s="576"/>
      <c r="I9" s="576"/>
      <c r="J9" s="435"/>
      <c r="K9" s="575"/>
      <c r="L9" s="576"/>
      <c r="M9" s="567"/>
      <c r="N9" s="435"/>
      <c r="O9" s="575"/>
      <c r="P9" s="576"/>
      <c r="Q9" s="567"/>
      <c r="R9" s="435"/>
      <c r="S9" s="575"/>
      <c r="T9" s="576"/>
      <c r="U9" s="567"/>
      <c r="V9" s="435"/>
      <c r="W9" s="575"/>
      <c r="X9" s="576"/>
      <c r="Y9" s="567">
        <f>SUM(W9:X9)</f>
        <v>0</v>
      </c>
    </row>
    <row r="10" spans="1:25" ht="12.95">
      <c r="A10" s="561" t="s">
        <v>120</v>
      </c>
      <c r="B10" s="568"/>
      <c r="C10" s="568"/>
      <c r="D10" s="563"/>
      <c r="E10" s="565"/>
      <c r="F10" s="566"/>
      <c r="G10" s="564"/>
      <c r="H10" s="563"/>
      <c r="I10" s="565"/>
      <c r="J10" s="571"/>
      <c r="K10" s="563" t="s">
        <v>67</v>
      </c>
      <c r="L10" s="563"/>
      <c r="M10" s="567"/>
      <c r="N10" s="571"/>
      <c r="O10" s="563" t="s">
        <v>67</v>
      </c>
      <c r="P10" s="563"/>
      <c r="Q10" s="567"/>
      <c r="R10" s="571"/>
      <c r="S10" s="563" t="s">
        <v>67</v>
      </c>
      <c r="T10" s="563"/>
      <c r="U10" s="567"/>
      <c r="V10" s="571"/>
      <c r="W10" s="563" t="s">
        <v>67</v>
      </c>
      <c r="X10" s="563"/>
      <c r="Y10" s="567">
        <f>SUM(W10:X10)</f>
        <v>0</v>
      </c>
    </row>
    <row r="11" spans="1:25" ht="12.95">
      <c r="A11" s="561" t="s">
        <v>121</v>
      </c>
      <c r="B11" s="568"/>
      <c r="C11" s="568"/>
      <c r="D11" s="563"/>
      <c r="E11" s="565"/>
      <c r="F11" s="566"/>
      <c r="G11" s="564"/>
      <c r="H11" s="564"/>
      <c r="I11" s="571"/>
      <c r="J11" s="571"/>
      <c r="K11" s="564"/>
      <c r="L11" s="564"/>
      <c r="M11" s="567"/>
      <c r="N11" s="571"/>
      <c r="O11" s="564"/>
      <c r="P11" s="564"/>
      <c r="Q11" s="567"/>
      <c r="R11" s="571"/>
      <c r="S11" s="564"/>
      <c r="T11" s="564"/>
      <c r="U11" s="567"/>
      <c r="V11" s="571"/>
      <c r="W11" s="564"/>
      <c r="X11" s="564"/>
      <c r="Y11" s="567">
        <f>SUM(W11:X11)</f>
        <v>0</v>
      </c>
    </row>
    <row r="12" spans="1:25" ht="12.95">
      <c r="A12" s="561"/>
      <c r="B12" s="562"/>
      <c r="C12" s="563"/>
      <c r="D12" s="563"/>
      <c r="E12" s="577"/>
      <c r="F12" s="566"/>
      <c r="G12" s="564"/>
      <c r="H12" s="564"/>
      <c r="I12" s="571"/>
      <c r="J12" s="571"/>
      <c r="K12" s="564"/>
      <c r="L12" s="564"/>
      <c r="M12" s="567" t="s">
        <v>67</v>
      </c>
      <c r="N12" s="571"/>
      <c r="O12" s="564"/>
      <c r="P12" s="564"/>
      <c r="Q12" s="567" t="s">
        <v>67</v>
      </c>
      <c r="R12" s="571"/>
      <c r="S12" s="564"/>
      <c r="T12" s="564"/>
      <c r="U12" s="567" t="s">
        <v>67</v>
      </c>
      <c r="V12" s="571"/>
      <c r="W12" s="564"/>
      <c r="X12" s="564"/>
      <c r="Y12" s="567" t="s">
        <v>67</v>
      </c>
    </row>
    <row r="13" spans="1:25" s="37" customFormat="1" ht="12.95">
      <c r="A13" s="428" t="s">
        <v>119</v>
      </c>
      <c r="B13" s="429"/>
      <c r="C13" s="430">
        <v>0</v>
      </c>
      <c r="D13" s="430">
        <f>SUM(D10:D12)</f>
        <v>0</v>
      </c>
      <c r="E13" s="430">
        <f>SUM(E10:E12)</f>
        <v>0</v>
      </c>
      <c r="F13" s="431"/>
      <c r="G13" s="567">
        <f>SUM(G9:G12)</f>
        <v>0</v>
      </c>
      <c r="H13" s="567">
        <f>SUM(H9:H12)</f>
        <v>0</v>
      </c>
      <c r="I13" s="567">
        <f>SUM(I9:I12)</f>
        <v>0</v>
      </c>
      <c r="J13" s="432"/>
      <c r="K13" s="567">
        <f>SUM(K9:K12)</f>
        <v>0</v>
      </c>
      <c r="L13" s="567">
        <f>SUM(L9:L12)</f>
        <v>0</v>
      </c>
      <c r="M13" s="567">
        <f>SUM(M9:M12)</f>
        <v>0</v>
      </c>
      <c r="N13" s="432"/>
      <c r="O13" s="567">
        <f>SUM(O9:O12)</f>
        <v>0</v>
      </c>
      <c r="P13" s="567">
        <f>SUM(P9:P12)</f>
        <v>0</v>
      </c>
      <c r="Q13" s="567">
        <f>SUM(Q9:Q12)</f>
        <v>0</v>
      </c>
      <c r="R13" s="432"/>
      <c r="S13" s="567">
        <f>SUM(S9:S12)</f>
        <v>0</v>
      </c>
      <c r="T13" s="567">
        <f>SUM(T9:T12)</f>
        <v>0</v>
      </c>
      <c r="U13" s="567">
        <f>SUM(U9:U12)</f>
        <v>0</v>
      </c>
      <c r="V13" s="432"/>
      <c r="W13" s="567">
        <f>SUM(W9:W12)</f>
        <v>0</v>
      </c>
      <c r="X13" s="567">
        <f>SUM(X9:X12)</f>
        <v>0</v>
      </c>
      <c r="Y13" s="567">
        <f>SUM(Y9:Y12)</f>
        <v>0</v>
      </c>
    </row>
    <row r="14" spans="1:25" ht="4.5" customHeight="1">
      <c r="A14" s="428"/>
      <c r="B14" s="431"/>
      <c r="C14" s="572"/>
      <c r="D14" s="572"/>
      <c r="E14" s="573"/>
      <c r="F14" s="431"/>
      <c r="G14" s="571"/>
      <c r="H14" s="571"/>
      <c r="I14" s="567"/>
      <c r="J14" s="432"/>
      <c r="K14" s="571"/>
      <c r="L14" s="571"/>
      <c r="M14" s="567">
        <f>SUM(M9:M12)</f>
        <v>0</v>
      </c>
      <c r="N14" s="432"/>
      <c r="O14" s="571"/>
      <c r="P14" s="571"/>
      <c r="Q14" s="567">
        <f>SUM(Q9:Q12)</f>
        <v>0</v>
      </c>
      <c r="R14" s="432"/>
      <c r="S14" s="571"/>
      <c r="T14" s="571"/>
      <c r="U14" s="567">
        <f>SUM(U9:U12)</f>
        <v>0</v>
      </c>
      <c r="V14" s="432"/>
      <c r="W14" s="571"/>
      <c r="X14" s="571"/>
      <c r="Y14" s="567"/>
    </row>
    <row r="15" spans="1:25" s="37" customFormat="1" ht="17.25" customHeight="1">
      <c r="A15" s="428" t="s">
        <v>116</v>
      </c>
      <c r="B15" s="431"/>
      <c r="C15" s="430">
        <f>C7+C13</f>
        <v>18.793900000000001</v>
      </c>
      <c r="D15" s="430">
        <f>D7+D13</f>
        <v>3.778</v>
      </c>
      <c r="E15" s="430">
        <f>E7+E13</f>
        <v>22.571899999999999</v>
      </c>
      <c r="F15" s="431"/>
      <c r="G15" s="567">
        <f>G7+G13</f>
        <v>18.8096</v>
      </c>
      <c r="H15" s="567">
        <f>H7+H13</f>
        <v>3.778</v>
      </c>
      <c r="I15" s="567">
        <f>I7+I13</f>
        <v>22.587600000000002</v>
      </c>
      <c r="J15" s="432"/>
      <c r="K15" s="567">
        <f>K7+K13</f>
        <v>0</v>
      </c>
      <c r="L15" s="567">
        <f>L7+L13</f>
        <v>0</v>
      </c>
      <c r="M15" s="567">
        <f>M7+M13</f>
        <v>0</v>
      </c>
      <c r="N15" s="432"/>
      <c r="O15" s="567">
        <f>O7+O13</f>
        <v>0</v>
      </c>
      <c r="P15" s="567">
        <f>P7+P13</f>
        <v>0</v>
      </c>
      <c r="Q15" s="567">
        <f>Q7+Q13</f>
        <v>0</v>
      </c>
      <c r="R15" s="432"/>
      <c r="S15" s="567">
        <f>S7+S13</f>
        <v>0</v>
      </c>
      <c r="T15" s="567">
        <f>T7+T13</f>
        <v>0</v>
      </c>
      <c r="U15" s="567">
        <f>U7+U13</f>
        <v>0</v>
      </c>
      <c r="V15" s="432"/>
      <c r="W15" s="567">
        <f>W7+W13</f>
        <v>0</v>
      </c>
      <c r="X15" s="567">
        <f>X7+X13</f>
        <v>0</v>
      </c>
      <c r="Y15" s="567">
        <f>Y7+Y13</f>
        <v>0</v>
      </c>
    </row>
    <row r="16" spans="1:25" ht="17.25" customHeight="1">
      <c r="A16" s="436"/>
      <c r="B16" s="437"/>
      <c r="C16" s="438"/>
      <c r="D16" s="438"/>
      <c r="E16" s="439"/>
      <c r="F16" s="437"/>
      <c r="G16" s="440"/>
      <c r="H16" s="440"/>
      <c r="I16" s="441"/>
      <c r="J16" s="441"/>
      <c r="K16" s="440"/>
      <c r="L16" s="440"/>
      <c r="M16" s="441"/>
      <c r="N16" s="441"/>
      <c r="O16" s="440"/>
      <c r="P16" s="440"/>
      <c r="Q16" s="441"/>
      <c r="R16" s="441"/>
      <c r="S16" s="440"/>
      <c r="T16" s="440"/>
      <c r="U16" s="441"/>
      <c r="V16" s="441"/>
      <c r="W16" s="440"/>
      <c r="X16" s="440"/>
      <c r="Y16" s="441"/>
    </row>
    <row r="17" spans="1:25" ht="12.95">
      <c r="A17" s="559" t="s">
        <v>122</v>
      </c>
      <c r="B17" s="442"/>
      <c r="C17" s="443"/>
      <c r="D17" s="443"/>
      <c r="E17" s="444"/>
      <c r="F17" s="445"/>
      <c r="G17" s="446"/>
      <c r="H17" s="446"/>
      <c r="I17" s="447"/>
      <c r="J17" s="447"/>
      <c r="K17" s="446"/>
      <c r="L17" s="446"/>
      <c r="M17" s="447"/>
      <c r="N17" s="447"/>
      <c r="O17" s="446"/>
      <c r="P17" s="446"/>
      <c r="Q17" s="447"/>
      <c r="R17" s="447"/>
      <c r="S17" s="446"/>
      <c r="T17" s="446"/>
      <c r="U17" s="447"/>
      <c r="V17" s="447"/>
      <c r="W17" s="446"/>
      <c r="X17" s="446"/>
      <c r="Y17" s="448"/>
    </row>
    <row r="18" spans="1:25" ht="12.95">
      <c r="A18" s="578" t="s">
        <v>123</v>
      </c>
      <c r="B18" s="562"/>
      <c r="C18" s="568"/>
      <c r="D18" s="568"/>
      <c r="E18" s="577"/>
      <c r="F18" s="562"/>
      <c r="G18" s="564"/>
      <c r="H18" s="564"/>
      <c r="I18" s="571"/>
      <c r="J18" s="562"/>
      <c r="K18" s="564"/>
      <c r="L18" s="564"/>
      <c r="M18" s="571"/>
      <c r="N18" s="562"/>
      <c r="O18" s="564"/>
      <c r="P18" s="564"/>
      <c r="Q18" s="571"/>
      <c r="R18" s="562"/>
      <c r="S18" s="564"/>
      <c r="T18" s="564"/>
      <c r="U18" s="571"/>
      <c r="V18" s="562"/>
      <c r="W18" s="564"/>
      <c r="X18" s="564"/>
      <c r="Y18" s="571"/>
    </row>
    <row r="19" spans="1:25" ht="12.95">
      <c r="A19" s="561"/>
      <c r="B19" s="566"/>
      <c r="C19" s="579"/>
      <c r="D19" s="579"/>
      <c r="E19" s="580">
        <v>59.3</v>
      </c>
      <c r="F19" s="566"/>
      <c r="G19" s="564"/>
      <c r="H19" s="564"/>
      <c r="I19" s="580">
        <v>59.3</v>
      </c>
      <c r="J19" s="571"/>
      <c r="K19" s="564"/>
      <c r="L19" s="564"/>
      <c r="M19" s="571"/>
      <c r="N19" s="571"/>
      <c r="O19" s="564"/>
      <c r="P19" s="564"/>
      <c r="Q19" s="571"/>
      <c r="R19" s="571"/>
      <c r="S19" s="564"/>
      <c r="T19" s="564"/>
      <c r="U19" s="571"/>
      <c r="V19" s="571"/>
      <c r="W19" s="564"/>
      <c r="X19" s="564"/>
      <c r="Y19" s="571"/>
    </row>
    <row r="20" spans="1:25" s="37" customFormat="1" ht="12.95">
      <c r="A20" s="581" t="s">
        <v>119</v>
      </c>
      <c r="B20" s="430">
        <f>SUM(B18:B19)</f>
        <v>0</v>
      </c>
      <c r="C20" s="430"/>
      <c r="D20" s="430"/>
      <c r="E20" s="430">
        <v>59.3</v>
      </c>
      <c r="F20" s="582">
        <f>SUM(F18:F19)</f>
        <v>0</v>
      </c>
      <c r="G20" s="583"/>
      <c r="H20" s="583"/>
      <c r="I20" s="430">
        <v>59.3</v>
      </c>
      <c r="J20" s="567">
        <f>SUM(J18:J19)</f>
        <v>0</v>
      </c>
      <c r="K20" s="583"/>
      <c r="L20" s="583"/>
      <c r="M20" s="567"/>
      <c r="N20" s="567">
        <f>SUM(N18:N19)</f>
        <v>0</v>
      </c>
      <c r="O20" s="583"/>
      <c r="P20" s="583"/>
      <c r="Q20" s="567"/>
      <c r="R20" s="567">
        <f>SUM(R18:R19)</f>
        <v>0</v>
      </c>
      <c r="S20" s="583"/>
      <c r="T20" s="583"/>
      <c r="U20" s="567"/>
      <c r="V20" s="567">
        <f>SUM(V18:V19)</f>
        <v>0</v>
      </c>
      <c r="W20" s="583"/>
      <c r="X20" s="583"/>
      <c r="Y20" s="567"/>
    </row>
    <row r="21" spans="1:25" ht="4.5" customHeight="1">
      <c r="A21" s="428"/>
      <c r="B21" s="572"/>
      <c r="C21" s="572"/>
      <c r="D21" s="572"/>
      <c r="E21" s="573"/>
      <c r="F21" s="431"/>
      <c r="G21" s="571"/>
      <c r="H21" s="571"/>
      <c r="I21" s="573"/>
      <c r="J21" s="432"/>
      <c r="K21" s="571"/>
      <c r="L21" s="571"/>
      <c r="M21" s="567"/>
      <c r="N21" s="432"/>
      <c r="O21" s="571"/>
      <c r="P21" s="571"/>
      <c r="Q21" s="567"/>
      <c r="R21" s="432"/>
      <c r="S21" s="571"/>
      <c r="T21" s="571"/>
      <c r="U21" s="567"/>
      <c r="V21" s="432"/>
      <c r="W21" s="571"/>
      <c r="X21" s="571"/>
      <c r="Y21" s="567"/>
    </row>
    <row r="22" spans="1:25" s="37" customFormat="1" ht="12.95">
      <c r="A22" s="428" t="s">
        <v>124</v>
      </c>
      <c r="B22" s="449">
        <f>B20</f>
        <v>0</v>
      </c>
      <c r="C22" s="449"/>
      <c r="D22" s="449"/>
      <c r="E22" s="450">
        <v>59.3</v>
      </c>
      <c r="F22" s="582">
        <f>F20</f>
        <v>0</v>
      </c>
      <c r="G22" s="449"/>
      <c r="H22" s="449"/>
      <c r="I22" s="450">
        <v>59.3</v>
      </c>
      <c r="J22" s="432">
        <f>J20</f>
        <v>0</v>
      </c>
      <c r="K22" s="449"/>
      <c r="L22" s="449"/>
      <c r="M22" s="450"/>
      <c r="N22" s="432">
        <f>N20</f>
        <v>0</v>
      </c>
      <c r="O22" s="449"/>
      <c r="P22" s="449"/>
      <c r="Q22" s="450"/>
      <c r="R22" s="432">
        <f>R20</f>
        <v>0</v>
      </c>
      <c r="S22" s="449"/>
      <c r="T22" s="449"/>
      <c r="U22" s="450"/>
      <c r="V22" s="432">
        <f>V20</f>
        <v>0</v>
      </c>
      <c r="W22" s="449"/>
      <c r="X22" s="449"/>
      <c r="Y22" s="450"/>
    </row>
    <row r="23" spans="1:25" ht="12.95">
      <c r="A23" s="37"/>
      <c r="B23" s="48"/>
      <c r="C23" s="49"/>
      <c r="D23" s="49"/>
      <c r="E23" s="50"/>
      <c r="F23" s="48"/>
      <c r="G23" s="49"/>
      <c r="H23" s="50"/>
      <c r="I23" s="48"/>
      <c r="J23" s="48"/>
      <c r="K23" s="49"/>
      <c r="L23" s="50"/>
      <c r="M23" s="48"/>
      <c r="N23" s="48"/>
      <c r="O23" s="49"/>
      <c r="P23" s="50"/>
      <c r="Q23" s="48"/>
      <c r="R23" s="48"/>
      <c r="S23" s="49"/>
      <c r="T23" s="50"/>
      <c r="U23" s="48"/>
      <c r="V23" s="48"/>
      <c r="W23" s="49"/>
      <c r="X23" s="50"/>
      <c r="Y23" s="48"/>
    </row>
    <row r="24" spans="1:25">
      <c r="B24" s="47"/>
      <c r="C24" s="47"/>
      <c r="D24" s="47"/>
      <c r="E24" s="47"/>
      <c r="F24" s="47"/>
      <c r="G24" s="47"/>
      <c r="H24" s="47"/>
      <c r="I24" s="47"/>
      <c r="J24" s="47"/>
      <c r="K24" s="47"/>
      <c r="L24" s="47"/>
      <c r="M24" s="47"/>
      <c r="N24" s="47"/>
      <c r="O24" s="47"/>
      <c r="P24" s="47"/>
      <c r="Q24" s="47"/>
      <c r="R24" s="47"/>
      <c r="S24" s="47"/>
      <c r="T24" s="47"/>
      <c r="U24" s="47"/>
      <c r="V24" s="47"/>
      <c r="W24" s="47"/>
      <c r="X24" s="47"/>
      <c r="Y24" s="47"/>
    </row>
    <row r="25" spans="1:25" ht="12.95">
      <c r="A25" s="60"/>
      <c r="B25" s="706" t="s">
        <v>58</v>
      </c>
      <c r="C25" s="706"/>
      <c r="D25" s="706"/>
      <c r="E25" s="706"/>
      <c r="F25" s="706" t="s">
        <v>59</v>
      </c>
      <c r="G25" s="706"/>
      <c r="H25" s="706"/>
      <c r="I25" s="706" t="s">
        <v>58</v>
      </c>
      <c r="J25" s="706" t="s">
        <v>60</v>
      </c>
      <c r="K25" s="706"/>
      <c r="L25" s="706"/>
      <c r="M25" s="706" t="s">
        <v>58</v>
      </c>
      <c r="N25" s="706" t="s">
        <v>61</v>
      </c>
      <c r="O25" s="706"/>
      <c r="P25" s="706"/>
      <c r="Q25" s="706" t="s">
        <v>58</v>
      </c>
      <c r="R25" s="706" t="s">
        <v>62</v>
      </c>
      <c r="S25" s="706"/>
      <c r="T25" s="706"/>
      <c r="U25" s="706" t="s">
        <v>58</v>
      </c>
      <c r="V25" s="706" t="s">
        <v>63</v>
      </c>
      <c r="W25" s="706"/>
      <c r="X25" s="706"/>
      <c r="Y25" s="706" t="s">
        <v>58</v>
      </c>
    </row>
    <row r="26" spans="1:25" ht="39">
      <c r="A26" s="559" t="s">
        <v>112</v>
      </c>
      <c r="B26" s="560" t="s">
        <v>113</v>
      </c>
      <c r="C26" s="560" t="s">
        <v>114</v>
      </c>
      <c r="D26" s="560" t="s">
        <v>115</v>
      </c>
      <c r="E26" s="560" t="s">
        <v>116</v>
      </c>
      <c r="F26" s="560" t="s">
        <v>113</v>
      </c>
      <c r="G26" s="560" t="s">
        <v>114</v>
      </c>
      <c r="H26" s="560" t="s">
        <v>115</v>
      </c>
      <c r="I26" s="560" t="s">
        <v>116</v>
      </c>
      <c r="J26" s="560" t="s">
        <v>113</v>
      </c>
      <c r="K26" s="560" t="s">
        <v>114</v>
      </c>
      <c r="L26" s="560" t="s">
        <v>115</v>
      </c>
      <c r="M26" s="560" t="s">
        <v>116</v>
      </c>
      <c r="N26" s="560" t="s">
        <v>113</v>
      </c>
      <c r="O26" s="560" t="s">
        <v>114</v>
      </c>
      <c r="P26" s="560" t="s">
        <v>115</v>
      </c>
      <c r="Q26" s="560" t="s">
        <v>116</v>
      </c>
      <c r="R26" s="560" t="s">
        <v>113</v>
      </c>
      <c r="S26" s="560" t="s">
        <v>114</v>
      </c>
      <c r="T26" s="560" t="s">
        <v>115</v>
      </c>
      <c r="U26" s="560" t="s">
        <v>116</v>
      </c>
      <c r="V26" s="560" t="s">
        <v>113</v>
      </c>
      <c r="W26" s="560" t="s">
        <v>114</v>
      </c>
      <c r="X26" s="560" t="s">
        <v>115</v>
      </c>
      <c r="Y26" s="560" t="s">
        <v>116</v>
      </c>
    </row>
    <row r="27" spans="1:25" ht="12.95">
      <c r="A27" s="561" t="s">
        <v>125</v>
      </c>
      <c r="B27" s="584"/>
      <c r="C27" s="584"/>
      <c r="D27" s="564"/>
      <c r="E27" s="585"/>
      <c r="F27" s="571"/>
      <c r="G27" s="564"/>
      <c r="H27" s="570"/>
      <c r="I27" s="567"/>
      <c r="J27" s="571"/>
      <c r="K27" s="564"/>
      <c r="L27" s="570"/>
      <c r="M27" s="567"/>
      <c r="N27" s="571"/>
      <c r="O27" s="564"/>
      <c r="P27" s="570"/>
      <c r="Q27" s="567"/>
      <c r="R27" s="571"/>
      <c r="S27" s="564"/>
      <c r="T27" s="570"/>
      <c r="U27" s="567"/>
      <c r="V27" s="571"/>
      <c r="W27" s="564"/>
      <c r="X27" s="570"/>
      <c r="Y27" s="567"/>
    </row>
    <row r="28" spans="1:25" ht="12.95">
      <c r="A28" s="561" t="s">
        <v>118</v>
      </c>
      <c r="B28" s="584"/>
      <c r="C28" s="586"/>
      <c r="D28" s="564"/>
      <c r="E28" s="585">
        <f>SUM(B28:D28)</f>
        <v>0</v>
      </c>
      <c r="F28" s="571"/>
      <c r="G28" s="564"/>
      <c r="H28" s="570"/>
      <c r="I28" s="567">
        <f>SUM(G28:H28)</f>
        <v>0</v>
      </c>
      <c r="J28" s="571"/>
      <c r="K28" s="564"/>
      <c r="L28" s="570"/>
      <c r="M28" s="567">
        <f>SUM(K28:L28)</f>
        <v>0</v>
      </c>
      <c r="N28" s="571"/>
      <c r="O28" s="564"/>
      <c r="P28" s="570"/>
      <c r="Q28" s="567">
        <f t="shared" ref="Q28:Q33" si="1">SUM(O28:P28)</f>
        <v>0</v>
      </c>
      <c r="R28" s="571"/>
      <c r="S28" s="564"/>
      <c r="T28" s="570"/>
      <c r="U28" s="567">
        <f>SUM(S28:T28)</f>
        <v>0</v>
      </c>
      <c r="V28" s="571"/>
      <c r="W28" s="564"/>
      <c r="X28" s="570"/>
      <c r="Y28" s="567">
        <f>SUM(W28:X28)</f>
        <v>0</v>
      </c>
    </row>
    <row r="29" spans="1:25" ht="12.95">
      <c r="A29" s="561" t="s">
        <v>126</v>
      </c>
      <c r="B29" s="584"/>
      <c r="C29" s="564"/>
      <c r="D29" s="564"/>
      <c r="E29" s="585"/>
      <c r="F29" s="571"/>
      <c r="G29" s="564"/>
      <c r="H29" s="570"/>
      <c r="I29" s="567">
        <f>SUM(G29:H29)</f>
        <v>0</v>
      </c>
      <c r="J29" s="571"/>
      <c r="K29" s="564"/>
      <c r="L29" s="570"/>
      <c r="M29" s="567">
        <f t="shared" ref="M29:M40" si="2">SUM(K29:L29)</f>
        <v>0</v>
      </c>
      <c r="N29" s="571"/>
      <c r="O29" s="564"/>
      <c r="P29" s="570"/>
      <c r="Q29" s="567">
        <f t="shared" si="1"/>
        <v>0</v>
      </c>
      <c r="R29" s="571"/>
      <c r="S29" s="564"/>
      <c r="T29" s="570"/>
      <c r="U29" s="567"/>
      <c r="V29" s="571"/>
      <c r="W29" s="564"/>
      <c r="X29" s="570"/>
      <c r="Y29" s="567"/>
    </row>
    <row r="30" spans="1:25" ht="12.95">
      <c r="A30" s="561" t="s">
        <v>127</v>
      </c>
      <c r="B30" s="584"/>
      <c r="C30" s="564"/>
      <c r="D30" s="564"/>
      <c r="E30" s="585"/>
      <c r="F30" s="571"/>
      <c r="G30" s="587"/>
      <c r="H30" s="587"/>
      <c r="I30" s="567">
        <f>SUM(G30:H30)</f>
        <v>0</v>
      </c>
      <c r="J30" s="571"/>
      <c r="K30" s="587"/>
      <c r="L30" s="587"/>
      <c r="M30" s="567">
        <f t="shared" si="2"/>
        <v>0</v>
      </c>
      <c r="N30" s="571"/>
      <c r="O30" s="587"/>
      <c r="P30" s="587"/>
      <c r="Q30" s="567">
        <f t="shared" si="1"/>
        <v>0</v>
      </c>
      <c r="R30" s="571"/>
      <c r="S30" s="587"/>
      <c r="T30" s="587"/>
      <c r="U30" s="567"/>
      <c r="V30" s="571"/>
      <c r="W30" s="587"/>
      <c r="X30" s="587"/>
      <c r="Y30" s="567"/>
    </row>
    <row r="31" spans="1:25" ht="12.95">
      <c r="A31" s="561" t="s">
        <v>128</v>
      </c>
      <c r="B31" s="584"/>
      <c r="C31" s="564"/>
      <c r="D31" s="564"/>
      <c r="E31" s="585"/>
      <c r="F31" s="571"/>
      <c r="G31" s="587"/>
      <c r="H31" s="587"/>
      <c r="I31" s="567">
        <f>SUM(G31:H31)</f>
        <v>0</v>
      </c>
      <c r="J31" s="571"/>
      <c r="K31" s="587"/>
      <c r="L31" s="587"/>
      <c r="M31" s="567">
        <f t="shared" si="2"/>
        <v>0</v>
      </c>
      <c r="N31" s="571"/>
      <c r="O31" s="587"/>
      <c r="P31" s="587"/>
      <c r="Q31" s="567">
        <f t="shared" si="1"/>
        <v>0</v>
      </c>
      <c r="R31" s="571"/>
      <c r="S31" s="587"/>
      <c r="T31" s="587"/>
      <c r="U31" s="567"/>
      <c r="V31" s="571"/>
      <c r="W31" s="587"/>
      <c r="X31" s="587"/>
      <c r="Y31" s="567"/>
    </row>
    <row r="32" spans="1:25" ht="12.95">
      <c r="A32" s="561" t="s">
        <v>129</v>
      </c>
      <c r="B32" s="571"/>
      <c r="C32" s="564"/>
      <c r="D32" s="564"/>
      <c r="E32" s="585">
        <f>SUM(B32:D32)</f>
        <v>0</v>
      </c>
      <c r="F32" s="571"/>
      <c r="G32" s="564"/>
      <c r="H32" s="564"/>
      <c r="I32" s="567">
        <f>SUM(G32:H32)</f>
        <v>0</v>
      </c>
      <c r="J32" s="571"/>
      <c r="K32" s="564"/>
      <c r="L32" s="564"/>
      <c r="M32" s="567">
        <f t="shared" si="2"/>
        <v>0</v>
      </c>
      <c r="N32" s="571"/>
      <c r="O32" s="564"/>
      <c r="P32" s="564"/>
      <c r="Q32" s="567">
        <f t="shared" si="1"/>
        <v>0</v>
      </c>
      <c r="R32" s="571"/>
      <c r="S32" s="564"/>
      <c r="T32" s="564"/>
      <c r="U32" s="567">
        <f>SUM(S32:T32)</f>
        <v>0</v>
      </c>
      <c r="V32" s="571"/>
      <c r="W32" s="564"/>
      <c r="X32" s="564"/>
      <c r="Y32" s="567">
        <f>SUM(W32:X32)</f>
        <v>0</v>
      </c>
    </row>
    <row r="33" spans="1:25" s="37" customFormat="1" ht="12.95">
      <c r="A33" s="428" t="s">
        <v>119</v>
      </c>
      <c r="B33" s="451"/>
      <c r="C33" s="432">
        <f>SUM(C27:C32)</f>
        <v>0</v>
      </c>
      <c r="D33" s="432">
        <f>SUM(D27:D32)</f>
        <v>0</v>
      </c>
      <c r="E33" s="432">
        <f>SUM(E27:E32)</f>
        <v>0</v>
      </c>
      <c r="F33" s="432"/>
      <c r="G33" s="567">
        <f>SUM(G27:G32)</f>
        <v>0</v>
      </c>
      <c r="H33" s="567">
        <f>SUM(H27:H32)</f>
        <v>0</v>
      </c>
      <c r="I33" s="567">
        <f>SUM(I27:I32)</f>
        <v>0</v>
      </c>
      <c r="J33" s="432"/>
      <c r="K33" s="567">
        <f>SUM(K28:K32)</f>
        <v>0</v>
      </c>
      <c r="L33" s="567">
        <f>SUM(L28:L32)</f>
        <v>0</v>
      </c>
      <c r="M33" s="567">
        <f t="shared" si="2"/>
        <v>0</v>
      </c>
      <c r="N33" s="432"/>
      <c r="O33" s="567">
        <f>SUM(O28:O32)</f>
        <v>0</v>
      </c>
      <c r="P33" s="567">
        <f>SUM(P28:P32)</f>
        <v>0</v>
      </c>
      <c r="Q33" s="567">
        <f t="shared" si="1"/>
        <v>0</v>
      </c>
      <c r="R33" s="432"/>
      <c r="S33" s="567">
        <f>SUM(S28:S32)</f>
        <v>0</v>
      </c>
      <c r="T33" s="567">
        <f>SUM(T28:T32)</f>
        <v>0</v>
      </c>
      <c r="U33" s="567">
        <f>SUM(S33:T33)</f>
        <v>0</v>
      </c>
      <c r="V33" s="432"/>
      <c r="W33" s="567">
        <f>SUM(W28:W32)</f>
        <v>0</v>
      </c>
      <c r="X33" s="567">
        <f>SUM(X28:X32)</f>
        <v>0</v>
      </c>
      <c r="Y33" s="567">
        <f>SUM(W33:X33)</f>
        <v>0</v>
      </c>
    </row>
    <row r="34" spans="1:25" ht="4.5" customHeight="1">
      <c r="A34" s="428"/>
      <c r="B34" s="432"/>
      <c r="C34" s="571"/>
      <c r="D34" s="571"/>
      <c r="E34" s="567"/>
      <c r="F34" s="432"/>
      <c r="G34" s="571"/>
      <c r="H34" s="571"/>
      <c r="I34" s="567"/>
      <c r="J34" s="432"/>
      <c r="K34" s="571"/>
      <c r="L34" s="571"/>
      <c r="M34" s="567"/>
      <c r="N34" s="432"/>
      <c r="O34" s="571"/>
      <c r="P34" s="571"/>
      <c r="Q34" s="567"/>
      <c r="R34" s="432"/>
      <c r="S34" s="571"/>
      <c r="T34" s="571"/>
      <c r="U34" s="567"/>
      <c r="V34" s="432"/>
      <c r="W34" s="571"/>
      <c r="X34" s="571"/>
      <c r="Y34" s="567"/>
    </row>
    <row r="35" spans="1:25" ht="12.95">
      <c r="A35" s="433" t="s">
        <v>51</v>
      </c>
      <c r="B35" s="435"/>
      <c r="C35" s="575"/>
      <c r="D35" s="575"/>
      <c r="E35" s="576"/>
      <c r="F35" s="435"/>
      <c r="G35" s="575"/>
      <c r="H35" s="576"/>
      <c r="I35" s="567">
        <f>SUM(G35:H35)</f>
        <v>0</v>
      </c>
      <c r="J35" s="435"/>
      <c r="K35" s="575"/>
      <c r="L35" s="576"/>
      <c r="M35" s="567">
        <f t="shared" si="2"/>
        <v>0</v>
      </c>
      <c r="N35" s="435"/>
      <c r="O35" s="567"/>
      <c r="P35" s="576"/>
      <c r="Q35" s="567">
        <f t="shared" ref="Q35:Q40" si="3">SUM(O35:P35)</f>
        <v>0</v>
      </c>
      <c r="R35" s="435"/>
      <c r="S35" s="575"/>
      <c r="T35" s="576"/>
      <c r="U35" s="567">
        <f t="shared" ref="U35:U40" si="4">SUM(S35:T35)</f>
        <v>0</v>
      </c>
      <c r="V35" s="435"/>
      <c r="W35" s="575"/>
      <c r="X35" s="576"/>
      <c r="Y35" s="567">
        <f t="shared" ref="Y35:Y40" si="5">SUM(W35:X35)</f>
        <v>0</v>
      </c>
    </row>
    <row r="36" spans="1:25" ht="12.95">
      <c r="A36" s="561" t="s">
        <v>120</v>
      </c>
      <c r="B36" s="584"/>
      <c r="C36" s="584"/>
      <c r="D36" s="564"/>
      <c r="E36" s="585"/>
      <c r="F36" s="571"/>
      <c r="G36" s="564"/>
      <c r="H36" s="564"/>
      <c r="I36" s="567">
        <f>SUM(G36:H36)</f>
        <v>0</v>
      </c>
      <c r="J36" s="571"/>
      <c r="K36" s="564"/>
      <c r="L36" s="564"/>
      <c r="M36" s="567">
        <f t="shared" si="2"/>
        <v>0</v>
      </c>
      <c r="N36" s="571"/>
      <c r="O36" s="567"/>
      <c r="P36" s="564"/>
      <c r="Q36" s="567">
        <f t="shared" si="3"/>
        <v>0</v>
      </c>
      <c r="R36" s="571"/>
      <c r="S36" s="564"/>
      <c r="T36" s="564"/>
      <c r="U36" s="567">
        <f t="shared" si="4"/>
        <v>0</v>
      </c>
      <c r="V36" s="571"/>
      <c r="W36" s="564"/>
      <c r="X36" s="564"/>
      <c r="Y36" s="567">
        <f t="shared" si="5"/>
        <v>0</v>
      </c>
    </row>
    <row r="37" spans="1:25" ht="12.95">
      <c r="A37" s="561" t="s">
        <v>130</v>
      </c>
      <c r="B37" s="584"/>
      <c r="C37" s="584"/>
      <c r="D37" s="564"/>
      <c r="E37" s="585"/>
      <c r="F37" s="571"/>
      <c r="G37" s="564"/>
      <c r="H37" s="564"/>
      <c r="I37" s="567">
        <f>SUM(G37:H37)</f>
        <v>0</v>
      </c>
      <c r="J37" s="571"/>
      <c r="K37" s="564"/>
      <c r="L37" s="564"/>
      <c r="M37" s="567">
        <f t="shared" si="2"/>
        <v>0</v>
      </c>
      <c r="N37" s="571"/>
      <c r="O37" s="567"/>
      <c r="P37" s="564"/>
      <c r="Q37" s="567">
        <f t="shared" si="3"/>
        <v>0</v>
      </c>
      <c r="R37" s="571"/>
      <c r="S37" s="564"/>
      <c r="T37" s="564"/>
      <c r="U37" s="567">
        <f t="shared" si="4"/>
        <v>0</v>
      </c>
      <c r="V37" s="571"/>
      <c r="W37" s="564"/>
      <c r="X37" s="564"/>
      <c r="Y37" s="567">
        <f t="shared" si="5"/>
        <v>0</v>
      </c>
    </row>
    <row r="38" spans="1:25" ht="12.95">
      <c r="A38" s="561" t="s">
        <v>121</v>
      </c>
      <c r="B38" s="584"/>
      <c r="C38" s="584"/>
      <c r="D38" s="564"/>
      <c r="E38" s="585"/>
      <c r="F38" s="571"/>
      <c r="G38" s="564"/>
      <c r="H38" s="564"/>
      <c r="I38" s="567">
        <f>SUM(G38:H38)</f>
        <v>0</v>
      </c>
      <c r="J38" s="571"/>
      <c r="K38" s="564"/>
      <c r="L38" s="564"/>
      <c r="M38" s="567">
        <f t="shared" si="2"/>
        <v>0</v>
      </c>
      <c r="N38" s="571"/>
      <c r="O38" s="567"/>
      <c r="P38" s="564"/>
      <c r="Q38" s="567">
        <f t="shared" si="3"/>
        <v>0</v>
      </c>
      <c r="R38" s="571"/>
      <c r="S38" s="564"/>
      <c r="T38" s="564"/>
      <c r="U38" s="567">
        <f t="shared" si="4"/>
        <v>0</v>
      </c>
      <c r="V38" s="571"/>
      <c r="W38" s="564"/>
      <c r="X38" s="564"/>
      <c r="Y38" s="567">
        <f t="shared" si="5"/>
        <v>0</v>
      </c>
    </row>
    <row r="39" spans="1:25" ht="12.95">
      <c r="A39" s="561"/>
      <c r="B39" s="571"/>
      <c r="C39" s="564"/>
      <c r="D39" s="564"/>
      <c r="E39" s="583"/>
      <c r="F39" s="571"/>
      <c r="G39" s="564"/>
      <c r="H39" s="564"/>
      <c r="I39" s="567">
        <f>SUM(G39:H39)</f>
        <v>0</v>
      </c>
      <c r="J39" s="571"/>
      <c r="K39" s="564"/>
      <c r="L39" s="564"/>
      <c r="M39" s="567">
        <f t="shared" si="2"/>
        <v>0</v>
      </c>
      <c r="N39" s="571"/>
      <c r="O39" s="567"/>
      <c r="P39" s="564"/>
      <c r="Q39" s="567">
        <f t="shared" si="3"/>
        <v>0</v>
      </c>
      <c r="R39" s="571"/>
      <c r="S39" s="564"/>
      <c r="T39" s="564"/>
      <c r="U39" s="567">
        <f t="shared" si="4"/>
        <v>0</v>
      </c>
      <c r="V39" s="571"/>
      <c r="W39" s="564"/>
      <c r="X39" s="564"/>
      <c r="Y39" s="567">
        <f t="shared" si="5"/>
        <v>0</v>
      </c>
    </row>
    <row r="40" spans="1:25" s="37" customFormat="1" ht="12.95">
      <c r="A40" s="428" t="s">
        <v>119</v>
      </c>
      <c r="B40" s="451"/>
      <c r="C40" s="432">
        <f>SUM(C35:C39)</f>
        <v>0</v>
      </c>
      <c r="D40" s="432">
        <f>SUM(D36:D39)</f>
        <v>0</v>
      </c>
      <c r="E40" s="432">
        <f>SUM(E36:E39)</f>
        <v>0</v>
      </c>
      <c r="F40" s="432"/>
      <c r="G40" s="567">
        <f>SUM(G35:G39)</f>
        <v>0</v>
      </c>
      <c r="H40" s="567">
        <f>SUM(H35:H39)</f>
        <v>0</v>
      </c>
      <c r="I40" s="567">
        <f>SUM(I35:I39)</f>
        <v>0</v>
      </c>
      <c r="J40" s="432"/>
      <c r="K40" s="567">
        <f>(K35+K39)</f>
        <v>0</v>
      </c>
      <c r="L40" s="567">
        <f>(L35+L39)</f>
        <v>0</v>
      </c>
      <c r="M40" s="567">
        <f t="shared" si="2"/>
        <v>0</v>
      </c>
      <c r="N40" s="432"/>
      <c r="O40" s="567"/>
      <c r="P40" s="567"/>
      <c r="Q40" s="567">
        <f t="shared" si="3"/>
        <v>0</v>
      </c>
      <c r="R40" s="432"/>
      <c r="S40" s="567"/>
      <c r="T40" s="567"/>
      <c r="U40" s="567">
        <f t="shared" si="4"/>
        <v>0</v>
      </c>
      <c r="V40" s="432"/>
      <c r="W40" s="567"/>
      <c r="X40" s="567"/>
      <c r="Y40" s="567">
        <f t="shared" si="5"/>
        <v>0</v>
      </c>
    </row>
    <row r="41" spans="1:25" ht="4.5" customHeight="1">
      <c r="A41" s="428"/>
      <c r="B41" s="432"/>
      <c r="C41" s="571"/>
      <c r="D41" s="571"/>
      <c r="E41" s="567"/>
      <c r="F41" s="432"/>
      <c r="G41" s="571"/>
      <c r="H41" s="571"/>
      <c r="I41" s="567"/>
      <c r="J41" s="432"/>
      <c r="K41" s="571"/>
      <c r="L41" s="571"/>
      <c r="M41" s="567"/>
      <c r="N41" s="432"/>
      <c r="O41" s="571"/>
      <c r="P41" s="571"/>
      <c r="Q41" s="567"/>
      <c r="R41" s="432"/>
      <c r="S41" s="571"/>
      <c r="T41" s="571"/>
      <c r="U41" s="567"/>
      <c r="V41" s="432"/>
      <c r="W41" s="571"/>
      <c r="X41" s="571"/>
      <c r="Y41" s="567"/>
    </row>
    <row r="42" spans="1:25" ht="17.25" customHeight="1">
      <c r="A42" s="428" t="s">
        <v>116</v>
      </c>
      <c r="B42" s="432"/>
      <c r="C42" s="432">
        <f>C33+C40</f>
        <v>0</v>
      </c>
      <c r="D42" s="432">
        <f>D33+D40</f>
        <v>0</v>
      </c>
      <c r="E42" s="432">
        <f>E33+E40</f>
        <v>0</v>
      </c>
      <c r="F42" s="432"/>
      <c r="G42" s="567">
        <f>G33+G40</f>
        <v>0</v>
      </c>
      <c r="H42" s="567">
        <f>H33+H40</f>
        <v>0</v>
      </c>
      <c r="I42" s="567">
        <f>I33+I40</f>
        <v>0</v>
      </c>
      <c r="J42" s="432"/>
      <c r="K42" s="567">
        <f>(K33+K40)</f>
        <v>0</v>
      </c>
      <c r="L42" s="567">
        <f>(L33+L40)</f>
        <v>0</v>
      </c>
      <c r="M42" s="567">
        <f>(M33+M40)</f>
        <v>0</v>
      </c>
      <c r="N42" s="567">
        <f>N33+N40</f>
        <v>0</v>
      </c>
      <c r="O42" s="567">
        <f>O33+O40</f>
        <v>0</v>
      </c>
      <c r="P42" s="567">
        <f>(P33+P40)</f>
        <v>0</v>
      </c>
      <c r="Q42" s="567">
        <f>(Q33+Q40)</f>
        <v>0</v>
      </c>
      <c r="R42" s="567">
        <f t="shared" ref="R42:Y42" si="6">SUM(R33:R40)</f>
        <v>0</v>
      </c>
      <c r="S42" s="567">
        <f t="shared" si="6"/>
        <v>0</v>
      </c>
      <c r="T42" s="567">
        <f t="shared" si="6"/>
        <v>0</v>
      </c>
      <c r="U42" s="567">
        <f t="shared" si="6"/>
        <v>0</v>
      </c>
      <c r="V42" s="567">
        <f t="shared" si="6"/>
        <v>0</v>
      </c>
      <c r="W42" s="567">
        <f t="shared" si="6"/>
        <v>0</v>
      </c>
      <c r="X42" s="567">
        <f t="shared" si="6"/>
        <v>0</v>
      </c>
      <c r="Y42" s="567">
        <f t="shared" si="6"/>
        <v>0</v>
      </c>
    </row>
    <row r="43" spans="1:25" ht="17.25" customHeight="1">
      <c r="A43" s="436"/>
      <c r="B43" s="441"/>
      <c r="C43" s="440"/>
      <c r="D43" s="440"/>
      <c r="E43" s="441"/>
      <c r="F43" s="441"/>
      <c r="G43" s="440"/>
      <c r="H43" s="440"/>
      <c r="I43" s="441"/>
      <c r="J43" s="441"/>
      <c r="K43" s="440"/>
      <c r="L43" s="440"/>
      <c r="M43" s="441"/>
      <c r="N43" s="441"/>
      <c r="O43" s="440"/>
      <c r="P43" s="440"/>
      <c r="Q43" s="441"/>
      <c r="R43" s="441"/>
      <c r="S43" s="440"/>
      <c r="T43" s="440"/>
      <c r="U43" s="441"/>
      <c r="V43" s="441"/>
      <c r="W43" s="440"/>
      <c r="X43" s="440"/>
      <c r="Y43" s="441"/>
    </row>
    <row r="44" spans="1:25" ht="12.95">
      <c r="A44" s="559" t="s">
        <v>122</v>
      </c>
      <c r="B44" s="452"/>
      <c r="C44" s="446"/>
      <c r="D44" s="446"/>
      <c r="E44" s="453"/>
      <c r="F44" s="447"/>
      <c r="G44" s="446"/>
      <c r="H44" s="446"/>
      <c r="I44" s="447"/>
      <c r="J44" s="447"/>
      <c r="K44" s="446"/>
      <c r="L44" s="446"/>
      <c r="M44" s="447"/>
      <c r="N44" s="447"/>
      <c r="O44" s="446"/>
      <c r="P44" s="446"/>
      <c r="Q44" s="447"/>
      <c r="R44" s="447"/>
      <c r="S44" s="446"/>
      <c r="T44" s="446"/>
      <c r="U44" s="447"/>
      <c r="V44" s="447"/>
      <c r="W44" s="446"/>
      <c r="X44" s="446"/>
      <c r="Y44" s="448"/>
    </row>
    <row r="45" spans="1:25" ht="12.95">
      <c r="A45" s="578" t="s">
        <v>123</v>
      </c>
      <c r="B45" s="571"/>
      <c r="C45" s="584"/>
      <c r="D45" s="584"/>
      <c r="E45" s="583"/>
      <c r="F45" s="562"/>
      <c r="G45" s="584"/>
      <c r="H45" s="584"/>
      <c r="I45" s="583"/>
      <c r="J45" s="562"/>
      <c r="K45" s="584"/>
      <c r="L45" s="584"/>
      <c r="M45" s="583"/>
      <c r="N45" s="562"/>
      <c r="O45" s="584"/>
      <c r="P45" s="584"/>
      <c r="Q45" s="583"/>
      <c r="R45" s="562"/>
      <c r="S45" s="584"/>
      <c r="T45" s="584"/>
      <c r="U45" s="583"/>
      <c r="V45" s="562"/>
      <c r="W45" s="584"/>
      <c r="X45" s="584"/>
      <c r="Y45" s="583"/>
    </row>
    <row r="46" spans="1:25" ht="12.95">
      <c r="A46" s="561"/>
      <c r="B46" s="571"/>
      <c r="C46" s="564"/>
      <c r="D46" s="564"/>
      <c r="E46" s="583"/>
      <c r="F46" s="571"/>
      <c r="G46" s="564"/>
      <c r="H46" s="564"/>
      <c r="I46" s="583"/>
      <c r="J46" s="571"/>
      <c r="K46" s="564"/>
      <c r="L46" s="564"/>
      <c r="M46" s="583"/>
      <c r="N46" s="571"/>
      <c r="O46" s="564"/>
      <c r="P46" s="564"/>
      <c r="Q46" s="583"/>
      <c r="R46" s="571"/>
      <c r="S46" s="564"/>
      <c r="T46" s="564"/>
      <c r="U46" s="583"/>
      <c r="V46" s="571"/>
      <c r="W46" s="564"/>
      <c r="X46" s="564"/>
      <c r="Y46" s="583"/>
    </row>
    <row r="47" spans="1:25" s="37" customFormat="1" ht="12.95">
      <c r="A47" s="581" t="s">
        <v>119</v>
      </c>
      <c r="B47" s="432">
        <f>SUM(B45:B46)</f>
        <v>0</v>
      </c>
      <c r="C47" s="432"/>
      <c r="D47" s="432"/>
      <c r="E47" s="432"/>
      <c r="F47" s="432">
        <f>SUM(F45:F46)</f>
        <v>0</v>
      </c>
      <c r="G47" s="432"/>
      <c r="H47" s="432"/>
      <c r="I47" s="432">
        <f>SUM(I45:I46)</f>
        <v>0</v>
      </c>
      <c r="J47" s="432"/>
      <c r="K47" s="432"/>
      <c r="L47" s="432"/>
      <c r="M47" s="432">
        <f>SUM(M45:M46)</f>
        <v>0</v>
      </c>
      <c r="N47" s="432"/>
      <c r="O47" s="432"/>
      <c r="P47" s="432"/>
      <c r="Q47" s="432">
        <f>SUM(Q45:Q46)</f>
        <v>0</v>
      </c>
      <c r="R47" s="432"/>
      <c r="S47" s="432"/>
      <c r="T47" s="432"/>
      <c r="U47" s="432">
        <f>SUM(U45:U46)</f>
        <v>0</v>
      </c>
      <c r="V47" s="432"/>
      <c r="W47" s="432"/>
      <c r="X47" s="432"/>
      <c r="Y47" s="432"/>
    </row>
    <row r="48" spans="1:25" ht="4.5" customHeight="1">
      <c r="A48" s="428"/>
      <c r="B48" s="571"/>
      <c r="C48" s="571"/>
      <c r="D48" s="571"/>
      <c r="E48" s="567"/>
      <c r="F48" s="571"/>
      <c r="G48" s="571"/>
      <c r="H48" s="571"/>
      <c r="I48" s="567"/>
      <c r="J48" s="571"/>
      <c r="K48" s="571"/>
      <c r="L48" s="571"/>
      <c r="M48" s="567"/>
      <c r="N48" s="571"/>
      <c r="O48" s="571"/>
      <c r="P48" s="571"/>
      <c r="Q48" s="567"/>
      <c r="R48" s="571"/>
      <c r="S48" s="571"/>
      <c r="T48" s="571"/>
      <c r="U48" s="567"/>
      <c r="V48" s="571"/>
      <c r="W48" s="571"/>
      <c r="X48" s="571"/>
      <c r="Y48" s="567"/>
    </row>
    <row r="49" spans="1:25" s="40" customFormat="1" ht="12.95">
      <c r="A49" s="428" t="s">
        <v>124</v>
      </c>
      <c r="B49" s="454">
        <f>B47</f>
        <v>0</v>
      </c>
      <c r="C49" s="454"/>
      <c r="D49" s="454"/>
      <c r="E49" s="454"/>
      <c r="F49" s="454">
        <f>F47</f>
        <v>0</v>
      </c>
      <c r="G49" s="454"/>
      <c r="H49" s="454"/>
      <c r="I49" s="454">
        <f>I47</f>
        <v>0</v>
      </c>
      <c r="J49" s="454"/>
      <c r="K49" s="454"/>
      <c r="L49" s="454"/>
      <c r="M49" s="454">
        <f>M47</f>
        <v>0</v>
      </c>
      <c r="N49" s="454"/>
      <c r="O49" s="454"/>
      <c r="P49" s="454"/>
      <c r="Q49" s="454">
        <f>Q47</f>
        <v>0</v>
      </c>
      <c r="R49" s="454"/>
      <c r="S49" s="454"/>
      <c r="T49" s="454"/>
      <c r="U49" s="454">
        <f>U47</f>
        <v>0</v>
      </c>
      <c r="V49" s="454"/>
      <c r="W49" s="454"/>
      <c r="X49" s="454"/>
      <c r="Y49" s="454"/>
    </row>
    <row r="50" spans="1:25" s="45" customFormat="1" ht="12.95">
      <c r="A50" s="37"/>
      <c r="B50" s="41"/>
      <c r="C50" s="41"/>
      <c r="D50" s="41"/>
      <c r="E50" s="42"/>
      <c r="F50" s="40"/>
      <c r="G50" s="43"/>
      <c r="H50" s="44"/>
      <c r="I50" s="40"/>
      <c r="J50" s="40"/>
      <c r="K50" s="43"/>
      <c r="L50" s="44"/>
      <c r="M50" s="40"/>
      <c r="N50" s="40"/>
      <c r="O50" s="43"/>
      <c r="P50" s="44"/>
      <c r="Q50" s="40"/>
      <c r="R50" s="40"/>
      <c r="S50" s="43"/>
      <c r="T50" s="44"/>
      <c r="U50" s="40"/>
      <c r="V50" s="40"/>
      <c r="W50" s="43"/>
      <c r="X50" s="44"/>
      <c r="Y50" s="40"/>
    </row>
    <row r="51" spans="1:25" ht="12.95">
      <c r="A51" s="37" t="s">
        <v>68</v>
      </c>
      <c r="B51" s="37"/>
      <c r="C51" s="39" t="s">
        <v>131</v>
      </c>
      <c r="D51" s="39"/>
      <c r="E51" s="39"/>
      <c r="F51" s="37"/>
      <c r="G51" s="39"/>
      <c r="H51" s="39"/>
      <c r="I51" s="37"/>
      <c r="J51" s="37"/>
      <c r="K51" s="39"/>
      <c r="L51" s="39"/>
      <c r="M51" s="37"/>
      <c r="N51" s="37"/>
      <c r="O51" s="39"/>
      <c r="P51" s="39"/>
      <c r="Q51" s="37"/>
      <c r="R51" s="37"/>
      <c r="S51" s="39"/>
      <c r="T51" s="39"/>
      <c r="V51" s="37"/>
      <c r="W51" s="39"/>
      <c r="X51" s="39"/>
      <c r="Y51" s="37"/>
    </row>
    <row r="52" spans="1:25">
      <c r="W52" s="39"/>
      <c r="X52" s="39"/>
    </row>
    <row r="53" spans="1:25" ht="12.95">
      <c r="A53" s="37" t="s">
        <v>132</v>
      </c>
      <c r="B53" s="37" t="s">
        <v>133</v>
      </c>
      <c r="D53" s="39"/>
      <c r="G53" s="39"/>
      <c r="I53" s="37"/>
      <c r="K53" s="39"/>
      <c r="M53" s="37"/>
      <c r="O53" s="39"/>
      <c r="P53" s="39"/>
      <c r="S53" s="39"/>
      <c r="T53" s="39"/>
      <c r="W53" s="39"/>
      <c r="X53" s="39"/>
    </row>
    <row r="54" spans="1:25" ht="12.95">
      <c r="A54" s="37" t="s">
        <v>134</v>
      </c>
      <c r="B54" s="37" t="s">
        <v>135</v>
      </c>
      <c r="D54" s="39"/>
      <c r="G54" s="39"/>
      <c r="I54" s="37"/>
      <c r="K54" s="39"/>
      <c r="M54" s="37"/>
      <c r="O54" s="39"/>
      <c r="P54" s="39"/>
      <c r="S54" s="39"/>
      <c r="T54" s="39"/>
    </row>
    <row r="55" spans="1:25" ht="12.95">
      <c r="A55" s="37" t="s">
        <v>136</v>
      </c>
      <c r="B55" s="37" t="s">
        <v>137</v>
      </c>
      <c r="D55" s="39"/>
      <c r="G55" s="39"/>
      <c r="I55" s="37"/>
      <c r="K55" s="39"/>
      <c r="M55" s="37"/>
      <c r="U55" s="46"/>
      <c r="V55" s="46"/>
      <c r="Y55" s="46"/>
    </row>
    <row r="56" spans="1:25" ht="12.95">
      <c r="A56" s="37" t="s">
        <v>138</v>
      </c>
      <c r="B56" s="37" t="s">
        <v>139</v>
      </c>
      <c r="D56" s="39"/>
      <c r="F56" s="46"/>
      <c r="I56" s="46"/>
      <c r="J56" s="46"/>
      <c r="M56" s="46"/>
      <c r="N56" s="46"/>
      <c r="Q56" s="46"/>
      <c r="R56" s="46"/>
      <c r="W56" s="39"/>
      <c r="X56" s="39"/>
    </row>
    <row r="57" spans="1:25" ht="12.95">
      <c r="A57" s="37"/>
      <c r="B57" s="37"/>
      <c r="D57" s="39"/>
      <c r="G57" s="39"/>
      <c r="I57" s="37"/>
      <c r="K57" s="39"/>
      <c r="M57" s="37"/>
      <c r="O57" s="39"/>
      <c r="P57" s="39"/>
      <c r="S57" s="39"/>
      <c r="T57" s="39"/>
      <c r="U57" s="46"/>
      <c r="V57" s="46"/>
      <c r="Y57" s="46"/>
    </row>
    <row r="58" spans="1:25">
      <c r="A58" s="46"/>
      <c r="B58" s="46"/>
      <c r="F58" s="46"/>
      <c r="I58" s="46"/>
      <c r="J58" s="46"/>
      <c r="M58" s="46"/>
      <c r="N58" s="46"/>
      <c r="Q58" s="46"/>
      <c r="R58" s="46"/>
      <c r="U58" s="46"/>
      <c r="V58" s="46"/>
      <c r="Y58" s="46"/>
    </row>
    <row r="59" spans="1:25">
      <c r="A59" s="46"/>
      <c r="B59" s="46"/>
      <c r="F59" s="46"/>
      <c r="I59" s="46"/>
      <c r="J59" s="46"/>
      <c r="M59" s="46"/>
      <c r="N59" s="46"/>
      <c r="Q59" s="46"/>
      <c r="R59" s="46"/>
      <c r="U59" s="46"/>
      <c r="V59" s="46"/>
      <c r="Y59" s="46"/>
    </row>
    <row r="60" spans="1:25">
      <c r="A60" s="46"/>
      <c r="B60" s="46"/>
      <c r="F60" s="46"/>
      <c r="I60" s="46"/>
      <c r="J60" s="46"/>
      <c r="M60" s="46"/>
      <c r="N60" s="46"/>
      <c r="Q60" s="46"/>
      <c r="R60" s="46"/>
      <c r="U60" s="46"/>
      <c r="V60" s="46"/>
      <c r="Y60" s="46"/>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G63"/>
  <sheetViews>
    <sheetView zoomScaleNormal="100" zoomScaleSheetLayoutView="90" workbookViewId="0"/>
  </sheetViews>
  <sheetFormatPr defaultColWidth="9.28515625" defaultRowHeight="14.25" customHeight="1"/>
  <cols>
    <col min="1" max="1" width="56.7109375" style="229" customWidth="1"/>
    <col min="2" max="2" width="30" style="146" customWidth="1"/>
    <col min="3" max="3" width="15.7109375" style="230" customWidth="1"/>
    <col min="4" max="4" width="27" style="229" bestFit="1" customWidth="1"/>
    <col min="5" max="5" width="15.7109375" style="229" customWidth="1"/>
    <col min="6" max="6" width="22" style="229" customWidth="1"/>
    <col min="7" max="7" width="37" style="229" customWidth="1"/>
    <col min="8" max="16384" width="9.28515625" style="106"/>
  </cols>
  <sheetData>
    <row r="2" spans="1:7" ht="12.95">
      <c r="C2" s="147" t="s">
        <v>39</v>
      </c>
    </row>
    <row r="3" spans="1:7" ht="12.95">
      <c r="C3" s="147" t="s">
        <v>140</v>
      </c>
    </row>
    <row r="4" spans="1:7" ht="12.95">
      <c r="C4" s="494">
        <f>'Program MW '!H3</f>
        <v>44805</v>
      </c>
    </row>
    <row r="5" spans="1:7" ht="12.95">
      <c r="C5" s="147"/>
    </row>
    <row r="7" spans="1:7" ht="15.6">
      <c r="A7" s="707" t="s">
        <v>141</v>
      </c>
      <c r="B7" s="708"/>
      <c r="C7" s="708"/>
      <c r="D7" s="708"/>
      <c r="E7" s="708"/>
      <c r="F7" s="708"/>
      <c r="G7" s="709"/>
    </row>
    <row r="8" spans="1:7" ht="27.95">
      <c r="A8" s="495" t="s">
        <v>142</v>
      </c>
      <c r="B8" s="495" t="s">
        <v>143</v>
      </c>
      <c r="C8" s="496" t="s">
        <v>144</v>
      </c>
      <c r="D8" s="495" t="s">
        <v>145</v>
      </c>
      <c r="E8" s="497" t="s">
        <v>146</v>
      </c>
      <c r="F8" s="497" t="s">
        <v>147</v>
      </c>
      <c r="G8" s="497" t="s">
        <v>148</v>
      </c>
    </row>
    <row r="9" spans="1:7" ht="14.25" customHeight="1">
      <c r="A9" s="688" t="s">
        <v>149</v>
      </c>
      <c r="B9" s="689">
        <v>1</v>
      </c>
      <c r="C9" s="690">
        <v>44789</v>
      </c>
      <c r="D9" s="691" t="s">
        <v>150</v>
      </c>
      <c r="E9" s="692">
        <v>5.4595795000000003</v>
      </c>
      <c r="F9" s="693" t="s">
        <v>151</v>
      </c>
      <c r="G9" s="498">
        <v>2</v>
      </c>
    </row>
    <row r="10" spans="1:7" ht="14.25" customHeight="1">
      <c r="A10" s="688" t="s">
        <v>152</v>
      </c>
      <c r="B10" s="689">
        <v>2</v>
      </c>
      <c r="C10" s="690">
        <v>44789</v>
      </c>
      <c r="D10" s="691" t="s">
        <v>150</v>
      </c>
      <c r="E10" s="692">
        <v>0.47269945000000002</v>
      </c>
      <c r="F10" s="693" t="s">
        <v>151</v>
      </c>
      <c r="G10" s="498">
        <v>2</v>
      </c>
    </row>
    <row r="11" spans="1:7" ht="14.25" customHeight="1">
      <c r="A11" s="688" t="s">
        <v>149</v>
      </c>
      <c r="B11" s="689">
        <v>3</v>
      </c>
      <c r="C11" s="690">
        <v>44790</v>
      </c>
      <c r="D11" s="691" t="s">
        <v>150</v>
      </c>
      <c r="E11" s="692">
        <v>2.3063305000000001</v>
      </c>
      <c r="F11" s="693" t="s">
        <v>151</v>
      </c>
      <c r="G11" s="498">
        <v>4</v>
      </c>
    </row>
    <row r="12" spans="1:7" ht="14.25" customHeight="1">
      <c r="A12" s="688" t="s">
        <v>149</v>
      </c>
      <c r="B12" s="689">
        <v>4</v>
      </c>
      <c r="C12" s="690">
        <v>44803</v>
      </c>
      <c r="D12" s="691" t="s">
        <v>150</v>
      </c>
      <c r="E12" s="692">
        <v>4.2578125</v>
      </c>
      <c r="F12" s="693" t="s">
        <v>151</v>
      </c>
      <c r="G12" s="498">
        <v>6</v>
      </c>
    </row>
    <row r="13" spans="1:7" ht="14.25" customHeight="1">
      <c r="A13" s="688" t="s">
        <v>152</v>
      </c>
      <c r="B13" s="689">
        <v>5</v>
      </c>
      <c r="C13" s="690">
        <v>44803</v>
      </c>
      <c r="D13" s="691" t="s">
        <v>150</v>
      </c>
      <c r="E13" s="692">
        <v>0.36471805000000002</v>
      </c>
      <c r="F13" s="693" t="s">
        <v>151</v>
      </c>
      <c r="G13" s="498">
        <v>4</v>
      </c>
    </row>
    <row r="14" spans="1:7" ht="18" customHeight="1">
      <c r="A14" s="688" t="s">
        <v>149</v>
      </c>
      <c r="B14" s="689">
        <v>6</v>
      </c>
      <c r="C14" s="690">
        <v>44804</v>
      </c>
      <c r="D14" s="691" t="s">
        <v>150</v>
      </c>
      <c r="E14" s="692">
        <v>6.0802544999999997</v>
      </c>
      <c r="F14" s="693" t="s">
        <v>151</v>
      </c>
      <c r="G14" s="498">
        <v>8</v>
      </c>
    </row>
    <row r="15" spans="1:7" ht="18.75" customHeight="1">
      <c r="A15" s="688" t="s">
        <v>152</v>
      </c>
      <c r="B15" s="689">
        <v>7</v>
      </c>
      <c r="C15" s="690">
        <v>44804</v>
      </c>
      <c r="D15" s="691" t="s">
        <v>150</v>
      </c>
      <c r="E15" s="692">
        <v>0.6488653499999999</v>
      </c>
      <c r="F15" s="693" t="s">
        <v>151</v>
      </c>
      <c r="G15" s="498">
        <v>6</v>
      </c>
    </row>
    <row r="16" spans="1:7" ht="14.25" customHeight="1">
      <c r="A16" s="688" t="s">
        <v>153</v>
      </c>
      <c r="B16" s="689">
        <v>8</v>
      </c>
      <c r="C16" s="690">
        <v>44804</v>
      </c>
      <c r="D16" s="691" t="s">
        <v>154</v>
      </c>
      <c r="E16" s="692">
        <v>0.95193304999999995</v>
      </c>
      <c r="F16" s="693" t="s">
        <v>151</v>
      </c>
      <c r="G16" s="498">
        <v>2</v>
      </c>
    </row>
    <row r="17" spans="1:7" ht="14.25" customHeight="1">
      <c r="A17" s="688" t="s">
        <v>149</v>
      </c>
      <c r="B17" s="689">
        <v>9</v>
      </c>
      <c r="C17" s="690">
        <v>44789</v>
      </c>
      <c r="D17" s="691" t="s">
        <v>150</v>
      </c>
      <c r="E17" s="692">
        <v>5.4595795000000003</v>
      </c>
      <c r="F17" s="693" t="s">
        <v>151</v>
      </c>
      <c r="G17" s="498">
        <v>10</v>
      </c>
    </row>
    <row r="18" spans="1:7" ht="14.25" customHeight="1">
      <c r="A18" s="688" t="s">
        <v>149</v>
      </c>
      <c r="B18" s="689">
        <v>10</v>
      </c>
      <c r="C18" s="690">
        <v>44790</v>
      </c>
      <c r="D18" s="691" t="s">
        <v>150</v>
      </c>
      <c r="E18" s="692">
        <v>2.3063305000000001</v>
      </c>
      <c r="F18" s="693" t="s">
        <v>151</v>
      </c>
      <c r="G18" s="498">
        <v>12</v>
      </c>
    </row>
    <row r="19" spans="1:7" ht="14.25" customHeight="1">
      <c r="A19" s="688" t="s">
        <v>149</v>
      </c>
      <c r="B19" s="689">
        <v>11</v>
      </c>
      <c r="C19" s="690">
        <v>44803</v>
      </c>
      <c r="D19" s="691" t="s">
        <v>150</v>
      </c>
      <c r="E19" s="692">
        <v>4.2578125</v>
      </c>
      <c r="F19" s="693" t="s">
        <v>151</v>
      </c>
      <c r="G19" s="498">
        <v>14</v>
      </c>
    </row>
    <row r="20" spans="1:7" ht="14.25" customHeight="1">
      <c r="A20" s="688" t="s">
        <v>149</v>
      </c>
      <c r="B20" s="689">
        <v>12</v>
      </c>
      <c r="C20" s="690">
        <v>44804</v>
      </c>
      <c r="D20" s="691" t="s">
        <v>150</v>
      </c>
      <c r="E20" s="692">
        <v>6.0802544999999997</v>
      </c>
      <c r="F20" s="693" t="s">
        <v>151</v>
      </c>
      <c r="G20" s="498">
        <v>16</v>
      </c>
    </row>
    <row r="21" spans="1:7" ht="14.25" customHeight="1">
      <c r="A21" s="688" t="s">
        <v>153</v>
      </c>
      <c r="B21" s="689">
        <v>13</v>
      </c>
      <c r="C21" s="690">
        <v>44804</v>
      </c>
      <c r="D21" s="691" t="s">
        <v>154</v>
      </c>
      <c r="E21" s="692">
        <v>0.55111250000000001</v>
      </c>
      <c r="F21" s="693" t="s">
        <v>151</v>
      </c>
      <c r="G21" s="498">
        <v>4</v>
      </c>
    </row>
    <row r="22" spans="1:7" ht="14.25" customHeight="1">
      <c r="A22" s="688" t="s">
        <v>149</v>
      </c>
      <c r="B22" s="689">
        <v>14</v>
      </c>
      <c r="C22" s="690">
        <v>44805</v>
      </c>
      <c r="D22" s="691" t="s">
        <v>150</v>
      </c>
      <c r="E22" s="692">
        <v>7.4053684999999998</v>
      </c>
      <c r="F22" s="693" t="s">
        <v>151</v>
      </c>
      <c r="G22" s="498">
        <v>18</v>
      </c>
    </row>
    <row r="23" spans="1:7" ht="14.25" customHeight="1">
      <c r="A23" s="688" t="s">
        <v>149</v>
      </c>
      <c r="B23" s="689">
        <v>15</v>
      </c>
      <c r="C23" s="690">
        <v>44807</v>
      </c>
      <c r="D23" s="691" t="s">
        <v>150</v>
      </c>
      <c r="E23" s="692">
        <v>8.0713144999999997</v>
      </c>
      <c r="F23" s="693" t="s">
        <v>151</v>
      </c>
      <c r="G23" s="498">
        <v>20</v>
      </c>
    </row>
    <row r="24" spans="1:7" ht="14.25" customHeight="1">
      <c r="A24" s="688" t="s">
        <v>149</v>
      </c>
      <c r="B24" s="689">
        <v>16</v>
      </c>
      <c r="C24" s="690">
        <v>44808</v>
      </c>
      <c r="D24" s="691" t="s">
        <v>150</v>
      </c>
      <c r="E24" s="692">
        <v>9.8055664999999994</v>
      </c>
      <c r="F24" s="693" t="s">
        <v>151</v>
      </c>
      <c r="G24" s="498">
        <v>22</v>
      </c>
    </row>
    <row r="25" spans="1:7" ht="14.25" customHeight="1">
      <c r="A25" s="688" t="s">
        <v>149</v>
      </c>
      <c r="B25" s="689">
        <v>17</v>
      </c>
      <c r="C25" s="690">
        <v>44809</v>
      </c>
      <c r="D25" s="691" t="s">
        <v>150</v>
      </c>
      <c r="E25" s="692">
        <v>4.292376</v>
      </c>
      <c r="F25" s="693" t="s">
        <v>155</v>
      </c>
      <c r="G25" s="498">
        <v>26</v>
      </c>
    </row>
    <row r="26" spans="1:7" ht="14.25" customHeight="1">
      <c r="A26" s="688" t="s">
        <v>156</v>
      </c>
      <c r="B26" s="689">
        <v>18</v>
      </c>
      <c r="C26" s="690">
        <v>44807</v>
      </c>
      <c r="D26" s="691" t="s">
        <v>157</v>
      </c>
      <c r="E26" s="692">
        <v>0.91387348000000002</v>
      </c>
      <c r="F26" s="693" t="s">
        <v>158</v>
      </c>
      <c r="G26" s="498">
        <v>5</v>
      </c>
    </row>
    <row r="27" spans="1:7" ht="14.25" customHeight="1">
      <c r="A27" s="688" t="s">
        <v>156</v>
      </c>
      <c r="B27" s="689">
        <v>19</v>
      </c>
      <c r="C27" s="690">
        <v>44808</v>
      </c>
      <c r="D27" s="691" t="s">
        <v>157</v>
      </c>
      <c r="E27" s="692">
        <v>1.9978908</v>
      </c>
      <c r="F27" s="693" t="s">
        <v>158</v>
      </c>
      <c r="G27" s="498">
        <v>10</v>
      </c>
    </row>
    <row r="28" spans="1:7" ht="14.25" customHeight="1">
      <c r="A28" s="688" t="s">
        <v>156</v>
      </c>
      <c r="B28" s="689">
        <v>20</v>
      </c>
      <c r="C28" s="690">
        <v>44809</v>
      </c>
      <c r="D28" s="691" t="s">
        <v>157</v>
      </c>
      <c r="E28" s="692">
        <v>3.8528768200000001</v>
      </c>
      <c r="F28" s="693" t="s">
        <v>158</v>
      </c>
      <c r="G28" s="498">
        <v>15</v>
      </c>
    </row>
    <row r="29" spans="1:7" ht="14.25" customHeight="1">
      <c r="A29" s="688" t="s">
        <v>156</v>
      </c>
      <c r="B29" s="689">
        <v>21</v>
      </c>
      <c r="C29" s="690">
        <v>44810</v>
      </c>
      <c r="D29" s="691" t="s">
        <v>157</v>
      </c>
      <c r="E29" s="692">
        <v>4.0477428</v>
      </c>
      <c r="F29" s="693" t="s">
        <v>158</v>
      </c>
      <c r="G29" s="498">
        <v>20</v>
      </c>
    </row>
    <row r="30" spans="1:7" ht="14.25" customHeight="1">
      <c r="A30" s="688" t="s">
        <v>156</v>
      </c>
      <c r="B30" s="689">
        <v>22</v>
      </c>
      <c r="C30" s="690">
        <v>44811</v>
      </c>
      <c r="D30" s="691" t="s">
        <v>157</v>
      </c>
      <c r="E30" s="692">
        <v>4.2001721400000012</v>
      </c>
      <c r="F30" s="693" t="s">
        <v>158</v>
      </c>
      <c r="G30" s="498">
        <v>25</v>
      </c>
    </row>
    <row r="31" spans="1:7" ht="14.25" customHeight="1">
      <c r="A31" s="688" t="s">
        <v>159</v>
      </c>
      <c r="B31" s="689">
        <v>23</v>
      </c>
      <c r="C31" s="690">
        <v>44807</v>
      </c>
      <c r="D31" s="691" t="s">
        <v>157</v>
      </c>
      <c r="E31" s="692">
        <v>1.3460576</v>
      </c>
      <c r="F31" s="693" t="s">
        <v>158</v>
      </c>
      <c r="G31" s="498">
        <v>5</v>
      </c>
    </row>
    <row r="32" spans="1:7" ht="14.25" customHeight="1">
      <c r="A32" s="688" t="s">
        <v>159</v>
      </c>
      <c r="B32" s="689">
        <v>24</v>
      </c>
      <c r="C32" s="690">
        <v>44808</v>
      </c>
      <c r="D32" s="691" t="s">
        <v>157</v>
      </c>
      <c r="E32" s="692">
        <v>0.84957928000000005</v>
      </c>
      <c r="F32" s="693" t="s">
        <v>158</v>
      </c>
      <c r="G32" s="498">
        <v>10</v>
      </c>
    </row>
    <row r="33" spans="1:7" ht="14.25" customHeight="1">
      <c r="A33" s="688" t="s">
        <v>159</v>
      </c>
      <c r="B33" s="689">
        <v>25</v>
      </c>
      <c r="C33" s="690">
        <v>44809</v>
      </c>
      <c r="D33" s="691" t="s">
        <v>157</v>
      </c>
      <c r="E33" s="692">
        <v>0.27793254000000001</v>
      </c>
      <c r="F33" s="693" t="s">
        <v>158</v>
      </c>
      <c r="G33" s="498">
        <v>15</v>
      </c>
    </row>
    <row r="34" spans="1:7" ht="14.25" customHeight="1">
      <c r="A34" s="688" t="s">
        <v>159</v>
      </c>
      <c r="B34" s="689">
        <v>26</v>
      </c>
      <c r="C34" s="690">
        <v>44810</v>
      </c>
      <c r="D34" s="691" t="s">
        <v>157</v>
      </c>
      <c r="E34" s="692">
        <v>0.46573875999999997</v>
      </c>
      <c r="F34" s="693" t="s">
        <v>158</v>
      </c>
      <c r="G34" s="498">
        <v>20</v>
      </c>
    </row>
    <row r="35" spans="1:7" ht="14.25" customHeight="1">
      <c r="A35" s="688" t="s">
        <v>159</v>
      </c>
      <c r="B35" s="689">
        <v>27</v>
      </c>
      <c r="C35" s="690">
        <v>44811</v>
      </c>
      <c r="D35" s="691" t="s">
        <v>157</v>
      </c>
      <c r="E35" s="692">
        <v>0.45656613999999995</v>
      </c>
      <c r="F35" s="693" t="s">
        <v>158</v>
      </c>
      <c r="G35" s="498">
        <v>25</v>
      </c>
    </row>
    <row r="36" spans="1:7" ht="14.25" customHeight="1">
      <c r="A36" s="688" t="s">
        <v>160</v>
      </c>
      <c r="B36" s="689">
        <v>28</v>
      </c>
      <c r="C36" s="690">
        <v>44807</v>
      </c>
      <c r="D36" s="691" t="s">
        <v>157</v>
      </c>
      <c r="E36" s="692">
        <v>2.6914061999999999</v>
      </c>
      <c r="F36" s="693" t="s">
        <v>158</v>
      </c>
      <c r="G36" s="498">
        <v>5</v>
      </c>
    </row>
    <row r="37" spans="1:7" ht="14.25" customHeight="1">
      <c r="A37" s="688" t="s">
        <v>160</v>
      </c>
      <c r="B37" s="689">
        <v>29</v>
      </c>
      <c r="C37" s="690">
        <v>44808</v>
      </c>
      <c r="D37" s="691" t="s">
        <v>157</v>
      </c>
      <c r="E37" s="692">
        <v>3.0225564</v>
      </c>
      <c r="F37" s="693" t="s">
        <v>158</v>
      </c>
      <c r="G37" s="498">
        <v>10</v>
      </c>
    </row>
    <row r="38" spans="1:7" ht="14.25" customHeight="1">
      <c r="A38" s="688" t="s">
        <v>160</v>
      </c>
      <c r="B38" s="689">
        <v>30</v>
      </c>
      <c r="C38" s="690">
        <v>44809</v>
      </c>
      <c r="D38" s="691" t="s">
        <v>157</v>
      </c>
      <c r="E38" s="692">
        <v>1.4398723800000002</v>
      </c>
      <c r="F38" s="693" t="s">
        <v>158</v>
      </c>
      <c r="G38" s="498">
        <v>15</v>
      </c>
    </row>
    <row r="39" spans="1:7" ht="14.25" customHeight="1">
      <c r="A39" s="688" t="s">
        <v>160</v>
      </c>
      <c r="B39" s="689">
        <v>31</v>
      </c>
      <c r="C39" s="690">
        <v>44810</v>
      </c>
      <c r="D39" s="691" t="s">
        <v>157</v>
      </c>
      <c r="E39" s="692">
        <v>1.7694275999999998</v>
      </c>
      <c r="F39" s="693" t="s">
        <v>158</v>
      </c>
      <c r="G39" s="498">
        <v>20</v>
      </c>
    </row>
    <row r="40" spans="1:7" ht="14.25" customHeight="1">
      <c r="A40" s="688" t="s">
        <v>160</v>
      </c>
      <c r="B40" s="689">
        <v>32</v>
      </c>
      <c r="C40" s="690">
        <v>44811</v>
      </c>
      <c r="D40" s="691" t="s">
        <v>157</v>
      </c>
      <c r="E40" s="692">
        <v>1.7411011999999999</v>
      </c>
      <c r="F40" s="693" t="s">
        <v>158</v>
      </c>
      <c r="G40" s="498">
        <v>25</v>
      </c>
    </row>
    <row r="41" spans="1:7" ht="14.25" customHeight="1">
      <c r="A41" s="688" t="s">
        <v>153</v>
      </c>
      <c r="B41" s="689">
        <v>33</v>
      </c>
      <c r="C41" s="690">
        <v>44805</v>
      </c>
      <c r="D41" s="691" t="s">
        <v>154</v>
      </c>
      <c r="E41" s="692">
        <v>0.49788526666666666</v>
      </c>
      <c r="F41" s="693" t="s">
        <v>161</v>
      </c>
      <c r="G41" s="498">
        <v>7</v>
      </c>
    </row>
    <row r="42" spans="1:7" ht="14.25" customHeight="1">
      <c r="A42" s="688" t="s">
        <v>153</v>
      </c>
      <c r="B42" s="689">
        <v>34</v>
      </c>
      <c r="C42" s="690">
        <v>44806</v>
      </c>
      <c r="D42" s="691" t="s">
        <v>154</v>
      </c>
      <c r="E42" s="692">
        <v>0.62367335000000002</v>
      </c>
      <c r="F42" s="693" t="s">
        <v>151</v>
      </c>
      <c r="G42" s="498">
        <v>9</v>
      </c>
    </row>
    <row r="43" spans="1:7" ht="14.25" customHeight="1">
      <c r="A43" s="688" t="s">
        <v>153</v>
      </c>
      <c r="B43" s="689">
        <v>35</v>
      </c>
      <c r="C43" s="690">
        <v>44810</v>
      </c>
      <c r="D43" s="691" t="s">
        <v>154</v>
      </c>
      <c r="E43" s="692">
        <v>0.44253725000000005</v>
      </c>
      <c r="F43" s="693" t="s">
        <v>155</v>
      </c>
      <c r="G43" s="498">
        <v>13</v>
      </c>
    </row>
    <row r="44" spans="1:7" ht="14.25" customHeight="1">
      <c r="A44" s="688" t="s">
        <v>153</v>
      </c>
      <c r="B44" s="689">
        <v>36</v>
      </c>
      <c r="C44" s="690">
        <v>44811</v>
      </c>
      <c r="D44" s="691" t="s">
        <v>154</v>
      </c>
      <c r="E44" s="692">
        <v>0.43603400000000003</v>
      </c>
      <c r="F44" s="693" t="s">
        <v>155</v>
      </c>
      <c r="G44" s="498">
        <v>17</v>
      </c>
    </row>
    <row r="45" spans="1:7" ht="14.25" customHeight="1">
      <c r="A45" s="688" t="s">
        <v>153</v>
      </c>
      <c r="B45" s="689">
        <v>37</v>
      </c>
      <c r="C45" s="690">
        <v>44812</v>
      </c>
      <c r="D45" s="691" t="s">
        <v>154</v>
      </c>
      <c r="E45" s="692">
        <v>0.52721395000000004</v>
      </c>
      <c r="F45" s="693" t="s">
        <v>155</v>
      </c>
      <c r="G45" s="498">
        <v>21</v>
      </c>
    </row>
    <row r="46" spans="1:7" ht="14.25" customHeight="1">
      <c r="A46" s="688" t="s">
        <v>162</v>
      </c>
      <c r="B46" s="689">
        <v>38</v>
      </c>
      <c r="C46" s="690">
        <v>44810</v>
      </c>
      <c r="D46" s="691" t="s">
        <v>163</v>
      </c>
      <c r="E46" s="692">
        <v>6.5343500000000004E-3</v>
      </c>
      <c r="F46" s="693" t="s">
        <v>155</v>
      </c>
      <c r="G46" s="498">
        <v>4</v>
      </c>
    </row>
    <row r="47" spans="1:7" ht="14.25" customHeight="1">
      <c r="A47" s="688" t="s">
        <v>162</v>
      </c>
      <c r="B47" s="689">
        <v>39</v>
      </c>
      <c r="C47" s="690">
        <v>44811</v>
      </c>
      <c r="D47" s="691" t="s">
        <v>163</v>
      </c>
      <c r="E47" s="692">
        <v>1.7682550000000002E-2</v>
      </c>
      <c r="F47" s="693" t="s">
        <v>155</v>
      </c>
      <c r="G47" s="498">
        <v>8</v>
      </c>
    </row>
    <row r="48" spans="1:7" ht="14.25" customHeight="1">
      <c r="A48" s="688" t="s">
        <v>162</v>
      </c>
      <c r="B48" s="689">
        <v>40</v>
      </c>
      <c r="C48" s="690">
        <v>44812</v>
      </c>
      <c r="D48" s="691" t="s">
        <v>163</v>
      </c>
      <c r="E48" s="692">
        <v>5.8802850000000004E-2</v>
      </c>
      <c r="F48" s="693" t="s">
        <v>155</v>
      </c>
      <c r="G48" s="498">
        <v>12</v>
      </c>
    </row>
    <row r="49" spans="1:7" ht="14.25" customHeight="1">
      <c r="A49" s="688" t="s">
        <v>149</v>
      </c>
      <c r="B49" s="689">
        <v>41</v>
      </c>
      <c r="C49" s="690">
        <v>44811</v>
      </c>
      <c r="D49" s="691" t="s">
        <v>150</v>
      </c>
      <c r="E49" s="692">
        <v>6.4832395000000007</v>
      </c>
      <c r="F49" s="693" t="s">
        <v>155</v>
      </c>
      <c r="G49" s="498">
        <v>30</v>
      </c>
    </row>
    <row r="50" spans="1:7" ht="14.25" customHeight="1">
      <c r="A50" s="688" t="s">
        <v>149</v>
      </c>
      <c r="B50" s="689">
        <v>42</v>
      </c>
      <c r="C50" s="690">
        <v>44812</v>
      </c>
      <c r="D50" s="691" t="s">
        <v>150</v>
      </c>
      <c r="E50" s="692">
        <v>7.5078667499999998</v>
      </c>
      <c r="F50" s="693" t="s">
        <v>155</v>
      </c>
      <c r="G50" s="498">
        <v>34</v>
      </c>
    </row>
    <row r="51" spans="1:7" ht="14.25" customHeight="1">
      <c r="A51" s="688" t="s">
        <v>152</v>
      </c>
      <c r="B51" s="689">
        <v>43</v>
      </c>
      <c r="C51" s="690">
        <v>44808</v>
      </c>
      <c r="D51" s="691" t="s">
        <v>150</v>
      </c>
      <c r="E51" s="692">
        <v>0.78102300000000002</v>
      </c>
      <c r="F51" s="693" t="s">
        <v>151</v>
      </c>
      <c r="G51" s="498">
        <v>13</v>
      </c>
    </row>
    <row r="52" spans="1:7" ht="14.25" customHeight="1">
      <c r="A52" s="688" t="s">
        <v>152</v>
      </c>
      <c r="B52" s="689">
        <v>44</v>
      </c>
      <c r="C52" s="690">
        <v>44809</v>
      </c>
      <c r="D52" s="691" t="s">
        <v>150</v>
      </c>
      <c r="E52" s="692">
        <v>0.70812530000000007</v>
      </c>
      <c r="F52" s="693" t="s">
        <v>155</v>
      </c>
      <c r="G52" s="498">
        <v>17</v>
      </c>
    </row>
    <row r="53" spans="1:7" ht="14.25" customHeight="1">
      <c r="A53" s="688" t="s">
        <v>152</v>
      </c>
      <c r="B53" s="689">
        <v>45</v>
      </c>
      <c r="C53" s="690">
        <v>44811</v>
      </c>
      <c r="D53" s="691" t="s">
        <v>150</v>
      </c>
      <c r="E53" s="692">
        <v>0.99300817500000016</v>
      </c>
      <c r="F53" s="693" t="s">
        <v>155</v>
      </c>
      <c r="G53" s="498">
        <v>21</v>
      </c>
    </row>
    <row r="54" spans="1:7" ht="14.25" customHeight="1">
      <c r="A54" s="688" t="s">
        <v>152</v>
      </c>
      <c r="B54" s="689">
        <v>46</v>
      </c>
      <c r="C54" s="690">
        <v>44812</v>
      </c>
      <c r="D54" s="691" t="s">
        <v>150</v>
      </c>
      <c r="E54" s="692">
        <v>1.1819634749999999</v>
      </c>
      <c r="F54" s="693" t="s">
        <v>155</v>
      </c>
      <c r="G54" s="498">
        <v>25</v>
      </c>
    </row>
    <row r="55" spans="1:7" ht="14.25" customHeight="1">
      <c r="A55" s="688" t="s">
        <v>152</v>
      </c>
      <c r="B55" s="689">
        <v>47</v>
      </c>
      <c r="C55" s="690">
        <v>44813</v>
      </c>
      <c r="D55" s="691" t="s">
        <v>150</v>
      </c>
      <c r="E55" s="692">
        <v>1.98787245</v>
      </c>
      <c r="F55" s="693" t="s">
        <v>155</v>
      </c>
      <c r="G55" s="498">
        <v>29</v>
      </c>
    </row>
    <row r="56" spans="1:7" ht="14.25" customHeight="1">
      <c r="A56" s="688" t="s">
        <v>152</v>
      </c>
      <c r="B56" s="689">
        <v>48</v>
      </c>
      <c r="C56" s="690">
        <v>44830</v>
      </c>
      <c r="D56" s="691" t="s">
        <v>150</v>
      </c>
      <c r="E56" s="692">
        <v>4.0520291999999998</v>
      </c>
      <c r="F56" s="693" t="s">
        <v>164</v>
      </c>
      <c r="G56" s="498">
        <v>31</v>
      </c>
    </row>
    <row r="57" spans="1:7" ht="14.25" customHeight="1">
      <c r="A57" s="688" t="s">
        <v>149</v>
      </c>
      <c r="B57" s="689">
        <v>49</v>
      </c>
      <c r="C57" s="690">
        <v>44830</v>
      </c>
      <c r="D57" s="691" t="s">
        <v>150</v>
      </c>
      <c r="E57" s="692">
        <v>1.0213698</v>
      </c>
      <c r="F57" s="693" t="s">
        <v>164</v>
      </c>
      <c r="G57" s="498">
        <v>40</v>
      </c>
    </row>
    <row r="58" spans="1:7" ht="14.25" customHeight="1">
      <c r="A58" s="35"/>
      <c r="B58" s="389"/>
      <c r="C58" s="390"/>
      <c r="E58" s="499"/>
      <c r="F58" s="391"/>
      <c r="G58" s="392"/>
    </row>
    <row r="59" spans="1:7" ht="14.25" customHeight="1">
      <c r="A59" s="299" t="s">
        <v>68</v>
      </c>
    </row>
    <row r="60" spans="1:7" ht="14.25" customHeight="1">
      <c r="A60" s="355" t="s">
        <v>165</v>
      </c>
    </row>
    <row r="61" spans="1:7" ht="14.25" customHeight="1">
      <c r="A61" s="386" t="s">
        <v>166</v>
      </c>
    </row>
    <row r="62" spans="1:7" ht="14.25" customHeight="1">
      <c r="A62" s="276" t="s">
        <v>84</v>
      </c>
    </row>
    <row r="63" spans="1:7" ht="14.25" customHeight="1">
      <c r="A63" s="500"/>
    </row>
  </sheetData>
  <mergeCells count="1">
    <mergeCell ref="A7:G7"/>
  </mergeCells>
  <phoneticPr fontId="0" type="noConversion"/>
  <printOptions horizontalCentered="1"/>
  <pageMargins left="0" right="0" top="0.55000000000000004" bottom="0.17" header="0.3" footer="0.15"/>
  <pageSetup paperSize="5" scale="87"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U65"/>
  <sheetViews>
    <sheetView showGridLines="0" zoomScale="90" zoomScaleNormal="90" zoomScaleSheetLayoutView="80" workbookViewId="0">
      <pane xSplit="1" ySplit="9" topLeftCell="B32" activePane="bottomRight" state="frozen"/>
      <selection pane="bottomRight" activeCell="A56" sqref="A56:A60"/>
      <selection pane="bottomLeft" activeCell="K43" sqref="K43"/>
      <selection pane="topRight" activeCell="K43" sqref="K43"/>
    </sheetView>
  </sheetViews>
  <sheetFormatPr defaultColWidth="8.28515625" defaultRowHeight="12.6"/>
  <cols>
    <col min="1" max="1" width="86.28515625" style="66" customWidth="1"/>
    <col min="2" max="6" width="10.140625" style="66" bestFit="1" customWidth="1"/>
    <col min="7" max="7" width="13" style="66" customWidth="1"/>
    <col min="8" max="9" width="10.140625" style="66" bestFit="1" customWidth="1"/>
    <col min="10" max="10" width="11.5703125" style="66" bestFit="1" customWidth="1"/>
    <col min="11" max="12" width="9.5703125" style="66" bestFit="1" customWidth="1"/>
    <col min="13" max="13" width="11" style="66" bestFit="1" customWidth="1"/>
    <col min="14" max="14" width="11.28515625" style="66" bestFit="1" customWidth="1"/>
    <col min="15" max="15" width="13.28515625" style="66" bestFit="1" customWidth="1"/>
    <col min="16" max="16" width="12.28515625" style="66" bestFit="1" customWidth="1"/>
    <col min="17" max="17" width="12.5703125" style="66" customWidth="1"/>
    <col min="18" max="18" width="8.28515625" style="66" bestFit="1" customWidth="1"/>
    <col min="19" max="19" width="8.28515625" style="66"/>
    <col min="20" max="20" width="10.28515625" style="66" bestFit="1" customWidth="1"/>
    <col min="21" max="21" width="11.140625" style="66" bestFit="1" customWidth="1"/>
    <col min="22" max="22" width="17.5703125" style="66" bestFit="1" customWidth="1"/>
    <col min="23" max="16384" width="8.28515625" style="66"/>
  </cols>
  <sheetData>
    <row r="2" spans="1:20" ht="12.95">
      <c r="A2" s="65"/>
      <c r="G2" s="79" t="s">
        <v>167</v>
      </c>
    </row>
    <row r="3" spans="1:20" ht="12.95">
      <c r="A3" s="65"/>
      <c r="G3" s="79" t="s">
        <v>168</v>
      </c>
    </row>
    <row r="4" spans="1:20" ht="12.95">
      <c r="A4" s="65"/>
      <c r="F4" s="106"/>
      <c r="G4" s="107">
        <f>'Program MW '!H3</f>
        <v>44805</v>
      </c>
      <c r="H4" s="106"/>
      <c r="I4" s="106"/>
      <c r="N4" s="345"/>
    </row>
    <row r="5" spans="1:20" ht="12.95">
      <c r="A5" s="65"/>
      <c r="B5" s="360"/>
      <c r="C5" s="360"/>
      <c r="D5" s="360"/>
      <c r="E5" s="360"/>
      <c r="F5" s="360"/>
      <c r="G5" s="360"/>
      <c r="H5" s="360"/>
      <c r="I5" s="360"/>
      <c r="J5" s="360"/>
      <c r="K5" s="360"/>
      <c r="L5" s="360"/>
      <c r="M5" s="360"/>
      <c r="N5" s="360"/>
    </row>
    <row r="6" spans="1:20" ht="12.95" thickBot="1">
      <c r="B6" s="360"/>
      <c r="C6" s="360"/>
      <c r="D6" s="360"/>
      <c r="E6" s="360"/>
      <c r="F6" s="360"/>
      <c r="G6" s="360"/>
      <c r="H6" s="360"/>
      <c r="I6" s="360"/>
      <c r="J6" s="360"/>
      <c r="K6" s="360"/>
      <c r="L6" s="360"/>
      <c r="M6" s="360"/>
      <c r="N6" s="360"/>
    </row>
    <row r="7" spans="1:20" ht="12.95">
      <c r="A7" s="188"/>
      <c r="B7" s="67"/>
      <c r="C7" s="67"/>
      <c r="D7" s="67"/>
      <c r="E7" s="67"/>
      <c r="F7" s="67"/>
      <c r="G7" s="67"/>
      <c r="H7" s="67"/>
      <c r="I7" s="67"/>
      <c r="J7" s="67"/>
      <c r="K7" s="67"/>
      <c r="L7" s="67"/>
      <c r="M7" s="68"/>
      <c r="N7" s="68"/>
      <c r="O7" s="68"/>
      <c r="P7" s="69"/>
      <c r="Q7" s="69"/>
      <c r="R7" s="186"/>
    </row>
    <row r="8" spans="1:20" ht="9" customHeight="1">
      <c r="A8" s="189"/>
      <c r="B8" s="70"/>
      <c r="C8" s="70"/>
      <c r="D8" s="70"/>
      <c r="E8" s="70"/>
      <c r="F8" s="70"/>
      <c r="G8" s="70"/>
      <c r="H8" s="70"/>
      <c r="I8" s="70"/>
      <c r="J8" s="70"/>
      <c r="K8" s="70"/>
      <c r="L8" s="70"/>
      <c r="M8" s="474"/>
      <c r="N8" s="474"/>
      <c r="O8" s="474"/>
      <c r="P8" s="475"/>
      <c r="Q8" s="475"/>
      <c r="R8" s="476"/>
    </row>
    <row r="9" spans="1:20" ht="87.75" customHeight="1">
      <c r="A9" s="477" t="s">
        <v>169</v>
      </c>
      <c r="B9" s="478" t="s">
        <v>41</v>
      </c>
      <c r="C9" s="162" t="s">
        <v>42</v>
      </c>
      <c r="D9" s="162" t="s">
        <v>43</v>
      </c>
      <c r="E9" s="162" t="s">
        <v>44</v>
      </c>
      <c r="F9" s="162" t="s">
        <v>31</v>
      </c>
      <c r="G9" s="162" t="s">
        <v>45</v>
      </c>
      <c r="H9" s="162" t="s">
        <v>58</v>
      </c>
      <c r="I9" s="163" t="s">
        <v>59</v>
      </c>
      <c r="J9" s="163" t="s">
        <v>60</v>
      </c>
      <c r="K9" s="162" t="s">
        <v>61</v>
      </c>
      <c r="L9" s="162" t="s">
        <v>62</v>
      </c>
      <c r="M9" s="162" t="s">
        <v>63</v>
      </c>
      <c r="N9" s="596" t="s">
        <v>170</v>
      </c>
      <c r="O9" s="654" t="s">
        <v>171</v>
      </c>
      <c r="P9" s="596" t="s">
        <v>172</v>
      </c>
      <c r="Q9" s="596" t="s">
        <v>173</v>
      </c>
      <c r="R9" s="596" t="s">
        <v>174</v>
      </c>
    </row>
    <row r="10" spans="1:20" ht="12.95">
      <c r="A10" s="190" t="s">
        <v>175</v>
      </c>
      <c r="B10" s="479"/>
      <c r="C10" s="14"/>
      <c r="D10" s="14"/>
      <c r="E10" s="14"/>
      <c r="F10" s="71"/>
      <c r="G10" s="159"/>
      <c r="H10" s="71"/>
      <c r="I10" s="71"/>
      <c r="J10" s="71"/>
      <c r="K10" s="71"/>
      <c r="L10" s="71"/>
      <c r="M10" s="480"/>
      <c r="N10" s="319"/>
      <c r="O10" s="655"/>
      <c r="P10" s="198"/>
      <c r="Q10" s="72"/>
      <c r="R10" s="72"/>
    </row>
    <row r="11" spans="1:20" ht="15">
      <c r="A11" s="191" t="s">
        <v>176</v>
      </c>
      <c r="B11" s="529">
        <v>12719.379999999899</v>
      </c>
      <c r="C11" s="530">
        <v>13681.42</v>
      </c>
      <c r="D11" s="530">
        <v>68340.240000000005</v>
      </c>
      <c r="E11" s="530">
        <v>4417.1499999999996</v>
      </c>
      <c r="F11" s="530">
        <v>10842.11</v>
      </c>
      <c r="G11" s="530">
        <v>12570.3</v>
      </c>
      <c r="H11" s="530">
        <v>9343.2599999999893</v>
      </c>
      <c r="I11" s="530">
        <v>11036.83</v>
      </c>
      <c r="J11" s="530">
        <v>17319.16</v>
      </c>
      <c r="K11" s="530">
        <v>0</v>
      </c>
      <c r="L11" s="530">
        <v>0</v>
      </c>
      <c r="M11" s="531">
        <v>0</v>
      </c>
      <c r="N11" s="344">
        <f>SUM(B11:M11)</f>
        <v>160269.84999999989</v>
      </c>
      <c r="O11" s="345">
        <f>1421746.45+N11</f>
        <v>1582016.2999999998</v>
      </c>
      <c r="P11" s="346">
        <v>2869200</v>
      </c>
      <c r="Q11" s="344">
        <v>0</v>
      </c>
      <c r="R11" s="320">
        <f>+O11/P11</f>
        <v>0.55137888610065522</v>
      </c>
      <c r="S11" s="327"/>
      <c r="T11" s="328"/>
    </row>
    <row r="12" spans="1:20" ht="15">
      <c r="A12" s="191" t="s">
        <v>177</v>
      </c>
      <c r="B12" s="532">
        <v>84593.699999999895</v>
      </c>
      <c r="C12" s="533">
        <v>73700.37</v>
      </c>
      <c r="D12" s="533">
        <v>38046.93</v>
      </c>
      <c r="E12" s="533">
        <v>53475.01</v>
      </c>
      <c r="F12" s="533">
        <v>44210.26</v>
      </c>
      <c r="G12" s="533">
        <v>46927.85</v>
      </c>
      <c r="H12" s="533">
        <v>42141.91</v>
      </c>
      <c r="I12" s="533">
        <v>45304.81</v>
      </c>
      <c r="J12" s="533">
        <v>41385</v>
      </c>
      <c r="K12" s="533">
        <v>0</v>
      </c>
      <c r="L12" s="533">
        <v>0</v>
      </c>
      <c r="M12" s="534">
        <v>0</v>
      </c>
      <c r="N12" s="344">
        <f t="shared" ref="N12:N15" si="0">SUM(B12:M12)</f>
        <v>469785.83999999991</v>
      </c>
      <c r="O12" s="345">
        <f>5345503.56+N12</f>
        <v>5815289.3999999994</v>
      </c>
      <c r="P12" s="346">
        <v>9020700</v>
      </c>
      <c r="Q12" s="344">
        <v>0</v>
      </c>
      <c r="R12" s="320">
        <f t="shared" ref="R12:R15" si="1">+O12/P12</f>
        <v>0.64466054740762901</v>
      </c>
      <c r="S12" s="327"/>
      <c r="T12" s="328"/>
    </row>
    <row r="13" spans="1:20" ht="15">
      <c r="A13" s="191" t="s">
        <v>178</v>
      </c>
      <c r="B13" s="532">
        <v>1684.73999999999</v>
      </c>
      <c r="C13" s="533">
        <v>1831.23</v>
      </c>
      <c r="D13" s="533">
        <v>624.35</v>
      </c>
      <c r="E13" s="533">
        <v>1779.02</v>
      </c>
      <c r="F13" s="533">
        <v>1380.5</v>
      </c>
      <c r="G13" s="533">
        <v>1478.72</v>
      </c>
      <c r="H13" s="533">
        <v>-174.29999999999899</v>
      </c>
      <c r="I13" s="533">
        <v>0</v>
      </c>
      <c r="J13" s="533">
        <v>71.42</v>
      </c>
      <c r="K13" s="533">
        <v>0</v>
      </c>
      <c r="L13" s="533">
        <v>0</v>
      </c>
      <c r="M13" s="534">
        <v>0</v>
      </c>
      <c r="N13" s="344">
        <f t="shared" si="0"/>
        <v>8675.6799999999912</v>
      </c>
      <c r="O13" s="345">
        <f>636546.4+N13</f>
        <v>645222.07999999996</v>
      </c>
      <c r="P13" s="346">
        <v>4664400</v>
      </c>
      <c r="Q13" s="344">
        <v>0</v>
      </c>
      <c r="R13" s="320">
        <f t="shared" si="1"/>
        <v>0.1383290626875911</v>
      </c>
      <c r="S13" s="327"/>
      <c r="T13" s="328"/>
    </row>
    <row r="14" spans="1:20" ht="15">
      <c r="A14" s="191" t="s">
        <v>179</v>
      </c>
      <c r="B14" s="532">
        <v>57149.94</v>
      </c>
      <c r="C14" s="533">
        <v>9160.0300000000007</v>
      </c>
      <c r="D14" s="533">
        <v>-4074.82</v>
      </c>
      <c r="E14" s="533">
        <v>12881.51</v>
      </c>
      <c r="F14" s="533">
        <v>7434.47</v>
      </c>
      <c r="G14" s="533">
        <v>6208.3399999999901</v>
      </c>
      <c r="H14" s="533">
        <v>16522.7399999999</v>
      </c>
      <c r="I14" s="533">
        <f>-3630.39+11447.47</f>
        <v>7817.08</v>
      </c>
      <c r="J14" s="533">
        <f>78240.7+6066.25</f>
        <v>84306.95</v>
      </c>
      <c r="K14" s="533">
        <v>0</v>
      </c>
      <c r="L14" s="533">
        <v>0</v>
      </c>
      <c r="M14" s="534">
        <v>0</v>
      </c>
      <c r="N14" s="344">
        <f t="shared" si="0"/>
        <v>197406.2399999999</v>
      </c>
      <c r="O14" s="345">
        <f>1192076.42+N14</f>
        <v>1389482.66</v>
      </c>
      <c r="P14" s="344">
        <f>10535000+Q14</f>
        <v>10300502</v>
      </c>
      <c r="Q14" s="344">
        <v>-234498</v>
      </c>
      <c r="R14" s="320">
        <f t="shared" si="1"/>
        <v>0.13489465464887052</v>
      </c>
      <c r="S14" s="327"/>
      <c r="T14" s="328"/>
    </row>
    <row r="15" spans="1:20" ht="14.45">
      <c r="A15" s="192" t="s">
        <v>180</v>
      </c>
      <c r="B15" s="535">
        <v>0</v>
      </c>
      <c r="C15" s="536">
        <v>0</v>
      </c>
      <c r="D15" s="536">
        <v>0</v>
      </c>
      <c r="E15" s="536">
        <v>0</v>
      </c>
      <c r="F15" s="536">
        <v>0</v>
      </c>
      <c r="G15" s="536">
        <v>0</v>
      </c>
      <c r="H15" s="536">
        <v>0</v>
      </c>
      <c r="I15" s="536">
        <v>0</v>
      </c>
      <c r="J15" s="536">
        <v>0</v>
      </c>
      <c r="K15" s="536">
        <v>0</v>
      </c>
      <c r="L15" s="536">
        <v>0</v>
      </c>
      <c r="M15" s="537">
        <v>0</v>
      </c>
      <c r="N15" s="344">
        <f t="shared" si="0"/>
        <v>0</v>
      </c>
      <c r="O15" s="345">
        <f>15328.47+N15</f>
        <v>15328.47</v>
      </c>
      <c r="P15" s="346">
        <v>20000</v>
      </c>
      <c r="Q15" s="344">
        <v>0</v>
      </c>
      <c r="R15" s="320">
        <f t="shared" si="1"/>
        <v>0.76642349999999992</v>
      </c>
      <c r="S15" s="327"/>
      <c r="T15" s="328"/>
    </row>
    <row r="16" spans="1:20" ht="12.95">
      <c r="A16" s="481" t="s">
        <v>181</v>
      </c>
      <c r="B16" s="347">
        <f>SUM(B11:B15)</f>
        <v>156147.75999999978</v>
      </c>
      <c r="C16" s="348">
        <f t="shared" ref="C16:M16" si="2">SUM(C11:C15)</f>
        <v>98373.049999999988</v>
      </c>
      <c r="D16" s="348">
        <f t="shared" si="2"/>
        <v>102936.70000000001</v>
      </c>
      <c r="E16" s="348">
        <f t="shared" si="2"/>
        <v>72552.69</v>
      </c>
      <c r="F16" s="348">
        <f t="shared" si="2"/>
        <v>63867.340000000004</v>
      </c>
      <c r="G16" s="348">
        <f t="shared" si="2"/>
        <v>67185.209999999992</v>
      </c>
      <c r="H16" s="348">
        <f t="shared" si="2"/>
        <v>67833.609999999899</v>
      </c>
      <c r="I16" s="348">
        <f t="shared" si="2"/>
        <v>64158.720000000001</v>
      </c>
      <c r="J16" s="348">
        <f t="shared" si="2"/>
        <v>143082.53</v>
      </c>
      <c r="K16" s="348">
        <f>SUM(K11:K15)</f>
        <v>0</v>
      </c>
      <c r="L16" s="348">
        <f t="shared" si="2"/>
        <v>0</v>
      </c>
      <c r="M16" s="348">
        <f t="shared" si="2"/>
        <v>0</v>
      </c>
      <c r="N16" s="598">
        <f>SUM(N11:N15)</f>
        <v>836137.60999999964</v>
      </c>
      <c r="O16" s="483">
        <f>SUM(O11:O15)</f>
        <v>9447338.9100000001</v>
      </c>
      <c r="P16" s="597">
        <f>SUM(P11:P15)</f>
        <v>26874802</v>
      </c>
      <c r="Q16" s="598">
        <f>SUM(Q11:Q15)</f>
        <v>-234498</v>
      </c>
      <c r="R16" s="599">
        <f>O16/P16</f>
        <v>0.35153147956215641</v>
      </c>
      <c r="S16" s="327"/>
      <c r="T16" s="328"/>
    </row>
    <row r="17" spans="1:21">
      <c r="A17" s="192"/>
      <c r="B17" s="343"/>
      <c r="C17" s="345"/>
      <c r="D17" s="345"/>
      <c r="E17" s="345"/>
      <c r="F17" s="296"/>
      <c r="G17" s="345"/>
      <c r="H17" s="296"/>
      <c r="I17" s="296"/>
      <c r="J17" s="296"/>
      <c r="K17" s="296"/>
      <c r="L17" s="296"/>
      <c r="M17" s="296"/>
      <c r="N17" s="344"/>
      <c r="O17" s="516"/>
      <c r="P17" s="346"/>
      <c r="Q17" s="344"/>
      <c r="R17" s="320"/>
      <c r="S17" s="327"/>
      <c r="T17" s="328"/>
    </row>
    <row r="18" spans="1:21" ht="12.95">
      <c r="A18" s="190" t="s">
        <v>182</v>
      </c>
      <c r="B18" s="343"/>
      <c r="C18" s="345"/>
      <c r="D18" s="345"/>
      <c r="E18" s="345"/>
      <c r="F18" s="296"/>
      <c r="G18" s="345"/>
      <c r="H18" s="296"/>
      <c r="I18" s="296"/>
      <c r="J18" s="296"/>
      <c r="K18" s="296"/>
      <c r="L18" s="296"/>
      <c r="M18" s="296"/>
      <c r="N18" s="344"/>
      <c r="O18" s="516"/>
      <c r="P18" s="346"/>
      <c r="Q18" s="344"/>
      <c r="R18" s="320"/>
      <c r="S18" s="327"/>
      <c r="T18" s="328"/>
    </row>
    <row r="19" spans="1:21">
      <c r="A19" s="191"/>
      <c r="B19" s="538">
        <v>0</v>
      </c>
      <c r="C19" s="539">
        <v>0</v>
      </c>
      <c r="D19" s="539">
        <v>0</v>
      </c>
      <c r="E19" s="539">
        <v>0</v>
      </c>
      <c r="F19" s="539">
        <v>0</v>
      </c>
      <c r="G19" s="539">
        <v>0</v>
      </c>
      <c r="H19" s="539">
        <v>0</v>
      </c>
      <c r="I19" s="539">
        <v>0</v>
      </c>
      <c r="J19" s="539">
        <v>0</v>
      </c>
      <c r="K19" s="539">
        <v>0</v>
      </c>
      <c r="L19" s="539">
        <v>0</v>
      </c>
      <c r="M19" s="540">
        <v>0</v>
      </c>
      <c r="N19" s="344">
        <f>SUM(B19:M19)</f>
        <v>0</v>
      </c>
      <c r="O19" s="345">
        <f>0+N19</f>
        <v>0</v>
      </c>
      <c r="P19" s="346">
        <v>0</v>
      </c>
      <c r="Q19" s="344">
        <v>0</v>
      </c>
      <c r="R19" s="320">
        <v>0</v>
      </c>
      <c r="S19" s="327"/>
      <c r="T19" s="328"/>
    </row>
    <row r="20" spans="1:21" ht="12.95">
      <c r="A20" s="481" t="s">
        <v>183</v>
      </c>
      <c r="B20" s="482">
        <f t="shared" ref="B20:M20" si="3">SUM(B19:B19)</f>
        <v>0</v>
      </c>
      <c r="C20" s="483">
        <f t="shared" si="3"/>
        <v>0</v>
      </c>
      <c r="D20" s="483">
        <f t="shared" si="3"/>
        <v>0</v>
      </c>
      <c r="E20" s="483">
        <f t="shared" si="3"/>
        <v>0</v>
      </c>
      <c r="F20" s="483">
        <f t="shared" si="3"/>
        <v>0</v>
      </c>
      <c r="G20" s="483">
        <f t="shared" si="3"/>
        <v>0</v>
      </c>
      <c r="H20" s="483">
        <f t="shared" si="3"/>
        <v>0</v>
      </c>
      <c r="I20" s="483">
        <f t="shared" si="3"/>
        <v>0</v>
      </c>
      <c r="J20" s="483">
        <f t="shared" si="3"/>
        <v>0</v>
      </c>
      <c r="K20" s="483">
        <f t="shared" si="3"/>
        <v>0</v>
      </c>
      <c r="L20" s="483">
        <f t="shared" si="3"/>
        <v>0</v>
      </c>
      <c r="M20" s="483">
        <f t="shared" si="3"/>
        <v>0</v>
      </c>
      <c r="N20" s="598">
        <f>SUM(N19:N19)</f>
        <v>0</v>
      </c>
      <c r="O20" s="656">
        <f>SUM(O19:O19)</f>
        <v>0</v>
      </c>
      <c r="P20" s="597">
        <f>SUM(P19:P19)</f>
        <v>0</v>
      </c>
      <c r="Q20" s="598">
        <f>SUM(Q19:Q19)</f>
        <v>0</v>
      </c>
      <c r="R20" s="600">
        <v>0</v>
      </c>
      <c r="S20" s="327"/>
      <c r="T20" s="328"/>
    </row>
    <row r="21" spans="1:21" ht="12.95">
      <c r="A21" s="193"/>
      <c r="B21" s="343"/>
      <c r="C21" s="345"/>
      <c r="D21" s="345"/>
      <c r="E21" s="345"/>
      <c r="F21" s="345"/>
      <c r="G21" s="345"/>
      <c r="H21" s="345"/>
      <c r="I21" s="345"/>
      <c r="J21" s="345"/>
      <c r="K21" s="345"/>
      <c r="L21" s="345"/>
      <c r="M21" s="345"/>
      <c r="N21" s="344"/>
      <c r="O21" s="516"/>
      <c r="P21" s="346"/>
      <c r="Q21" s="344"/>
      <c r="R21" s="321"/>
      <c r="S21" s="327"/>
      <c r="T21" s="328"/>
    </row>
    <row r="22" spans="1:21" ht="12.95">
      <c r="A22" s="190" t="s">
        <v>184</v>
      </c>
      <c r="B22" s="343"/>
      <c r="C22" s="345"/>
      <c r="D22" s="345"/>
      <c r="E22" s="345"/>
      <c r="F22" s="296"/>
      <c r="G22" s="345"/>
      <c r="H22" s="296"/>
      <c r="I22" s="296"/>
      <c r="J22" s="296"/>
      <c r="K22" s="296"/>
      <c r="L22" s="296"/>
      <c r="M22" s="296"/>
      <c r="N22" s="344"/>
      <c r="O22" s="516"/>
      <c r="P22" s="346"/>
      <c r="Q22" s="344"/>
      <c r="R22" s="320"/>
      <c r="S22" s="327"/>
      <c r="T22" s="328"/>
    </row>
    <row r="23" spans="1:21" ht="14.45">
      <c r="A23" s="191" t="s">
        <v>185</v>
      </c>
      <c r="B23" s="538">
        <v>12263.9</v>
      </c>
      <c r="C23" s="539">
        <v>27387.13</v>
      </c>
      <c r="D23" s="539">
        <v>63808.22</v>
      </c>
      <c r="E23" s="539">
        <v>61724.76</v>
      </c>
      <c r="F23" s="539">
        <v>52976.15</v>
      </c>
      <c r="G23" s="539">
        <v>261908.72999999899</v>
      </c>
      <c r="H23" s="539">
        <v>-12812.25</v>
      </c>
      <c r="I23" s="539">
        <v>153067.35999999999</v>
      </c>
      <c r="J23" s="539">
        <v>475773.14</v>
      </c>
      <c r="K23" s="539">
        <v>0</v>
      </c>
      <c r="L23" s="539">
        <v>0</v>
      </c>
      <c r="M23" s="540">
        <v>0</v>
      </c>
      <c r="N23" s="344">
        <f>SUM(B23:M23)</f>
        <v>1096097.139999999</v>
      </c>
      <c r="O23" s="345">
        <f>5281852.46+N23</f>
        <v>6377949.5999999987</v>
      </c>
      <c r="P23" s="346">
        <v>8320000</v>
      </c>
      <c r="Q23" s="344">
        <v>0</v>
      </c>
      <c r="R23" s="320">
        <f t="shared" ref="R23" si="4">+O23/P23</f>
        <v>0.76658048076923058</v>
      </c>
      <c r="S23" s="327"/>
      <c r="T23" s="328"/>
    </row>
    <row r="24" spans="1:21" ht="12.95">
      <c r="A24" s="481" t="s">
        <v>186</v>
      </c>
      <c r="B24" s="347">
        <f t="shared" ref="B24:M24" si="5">SUM(B23:B23)</f>
        <v>12263.9</v>
      </c>
      <c r="C24" s="348">
        <f t="shared" si="5"/>
        <v>27387.13</v>
      </c>
      <c r="D24" s="348">
        <f t="shared" si="5"/>
        <v>63808.22</v>
      </c>
      <c r="E24" s="348">
        <f t="shared" si="5"/>
        <v>61724.76</v>
      </c>
      <c r="F24" s="348">
        <f t="shared" si="5"/>
        <v>52976.15</v>
      </c>
      <c r="G24" s="348">
        <f t="shared" si="5"/>
        <v>261908.72999999899</v>
      </c>
      <c r="H24" s="348">
        <f t="shared" si="5"/>
        <v>-12812.25</v>
      </c>
      <c r="I24" s="348">
        <f t="shared" si="5"/>
        <v>153067.35999999999</v>
      </c>
      <c r="J24" s="348">
        <f t="shared" si="5"/>
        <v>475773.14</v>
      </c>
      <c r="K24" s="348">
        <f t="shared" si="5"/>
        <v>0</v>
      </c>
      <c r="L24" s="348">
        <f t="shared" si="5"/>
        <v>0</v>
      </c>
      <c r="M24" s="348">
        <f t="shared" si="5"/>
        <v>0</v>
      </c>
      <c r="N24" s="598">
        <f>SUM(N23:N23)</f>
        <v>1096097.139999999</v>
      </c>
      <c r="O24" s="656">
        <f>O23</f>
        <v>6377949.5999999987</v>
      </c>
      <c r="P24" s="597">
        <f>SUM(P23:P23)</f>
        <v>8320000</v>
      </c>
      <c r="Q24" s="598">
        <f>SUM(Q23:Q23)</f>
        <v>0</v>
      </c>
      <c r="R24" s="600">
        <f>O24/P24</f>
        <v>0.76658048076923058</v>
      </c>
      <c r="S24" s="327"/>
      <c r="T24" s="328"/>
    </row>
    <row r="25" spans="1:21" ht="12.95">
      <c r="A25" s="190"/>
      <c r="B25" s="343"/>
      <c r="C25" s="345"/>
      <c r="D25" s="345"/>
      <c r="E25" s="345"/>
      <c r="F25" s="296"/>
      <c r="G25" s="345"/>
      <c r="H25" s="296"/>
      <c r="I25" s="296"/>
      <c r="J25" s="296"/>
      <c r="K25" s="296"/>
      <c r="L25" s="296"/>
      <c r="M25" s="296"/>
      <c r="N25" s="344"/>
      <c r="O25" s="516"/>
      <c r="P25" s="346"/>
      <c r="Q25" s="344"/>
      <c r="R25" s="320"/>
      <c r="S25" s="327"/>
      <c r="T25" s="328"/>
    </row>
    <row r="26" spans="1:21" ht="12.95">
      <c r="A26" s="190" t="s">
        <v>187</v>
      </c>
      <c r="B26" s="343"/>
      <c r="C26" s="345"/>
      <c r="D26" s="345"/>
      <c r="E26" s="345"/>
      <c r="F26" s="296"/>
      <c r="G26" s="345"/>
      <c r="H26" s="296"/>
      <c r="I26" s="296"/>
      <c r="J26" s="296"/>
      <c r="K26" s="296"/>
      <c r="L26" s="296"/>
      <c r="M26" s="296"/>
      <c r="N26" s="344"/>
      <c r="O26" s="516"/>
      <c r="P26" s="346"/>
      <c r="Q26" s="344"/>
      <c r="R26" s="320"/>
      <c r="S26" s="327"/>
      <c r="T26" s="328"/>
    </row>
    <row r="27" spans="1:21">
      <c r="A27" s="191" t="s">
        <v>188</v>
      </c>
      <c r="B27" s="529">
        <v>25422.82</v>
      </c>
      <c r="C27" s="530">
        <v>16079.36</v>
      </c>
      <c r="D27" s="530">
        <v>25519.75</v>
      </c>
      <c r="E27" s="530">
        <v>78285.149999999994</v>
      </c>
      <c r="F27" s="530">
        <v>38040.74</v>
      </c>
      <c r="G27" s="530">
        <v>13762.16</v>
      </c>
      <c r="H27" s="530">
        <v>41713.54</v>
      </c>
      <c r="I27" s="530">
        <v>50743.73</v>
      </c>
      <c r="J27" s="530">
        <v>23467.3</v>
      </c>
      <c r="K27" s="530">
        <v>0</v>
      </c>
      <c r="L27" s="530">
        <v>0</v>
      </c>
      <c r="M27" s="531">
        <v>0</v>
      </c>
      <c r="N27" s="344">
        <f>SUM(B27:M27)</f>
        <v>313034.55</v>
      </c>
      <c r="O27" s="345">
        <f>1770010.64+N27</f>
        <v>2083045.19</v>
      </c>
      <c r="P27" s="346">
        <v>3483000</v>
      </c>
      <c r="Q27" s="344">
        <v>0</v>
      </c>
      <c r="R27" s="320">
        <f t="shared" ref="R27:R29" si="6">+O27/P27</f>
        <v>0.59806063451047942</v>
      </c>
      <c r="S27" s="327"/>
      <c r="T27" s="328"/>
      <c r="U27" s="329"/>
    </row>
    <row r="28" spans="1:21">
      <c r="A28" s="191" t="s">
        <v>189</v>
      </c>
      <c r="B28" s="532">
        <v>35794.32</v>
      </c>
      <c r="C28" s="533">
        <v>59428.67</v>
      </c>
      <c r="D28" s="533">
        <v>73590.740000000005</v>
      </c>
      <c r="E28" s="533">
        <v>29455.94</v>
      </c>
      <c r="F28" s="533">
        <v>41386.85</v>
      </c>
      <c r="G28" s="533">
        <v>30408.629999999899</v>
      </c>
      <c r="H28" s="533">
        <v>50873.499999999898</v>
      </c>
      <c r="I28" s="533">
        <v>71346.740000000005</v>
      </c>
      <c r="J28" s="533">
        <v>75969.36</v>
      </c>
      <c r="K28" s="533">
        <v>0</v>
      </c>
      <c r="L28" s="533">
        <v>0</v>
      </c>
      <c r="M28" s="534">
        <v>0</v>
      </c>
      <c r="N28" s="344">
        <f>SUM(B28:M28)</f>
        <v>468254.74999999977</v>
      </c>
      <c r="O28" s="345">
        <f>1965431.66+N28</f>
        <v>2433686.4099999997</v>
      </c>
      <c r="P28" s="346">
        <v>3794000</v>
      </c>
      <c r="Q28" s="344">
        <v>0</v>
      </c>
      <c r="R28" s="320">
        <f t="shared" si="6"/>
        <v>0.64145661834475476</v>
      </c>
      <c r="S28" s="327"/>
      <c r="T28" s="328"/>
    </row>
    <row r="29" spans="1:21">
      <c r="A29" s="194" t="s">
        <v>190</v>
      </c>
      <c r="B29" s="535">
        <v>8382.92</v>
      </c>
      <c r="C29" s="536">
        <v>10196.36</v>
      </c>
      <c r="D29" s="536">
        <v>8093.97</v>
      </c>
      <c r="E29" s="536">
        <v>8660.57</v>
      </c>
      <c r="F29" s="536">
        <v>8444.65</v>
      </c>
      <c r="G29" s="536">
        <v>16071.9</v>
      </c>
      <c r="H29" s="536">
        <v>4330.08</v>
      </c>
      <c r="I29" s="536">
        <v>6136.52</v>
      </c>
      <c r="J29" s="536">
        <v>3653.78</v>
      </c>
      <c r="K29" s="536">
        <v>0</v>
      </c>
      <c r="L29" s="536">
        <v>0</v>
      </c>
      <c r="M29" s="537">
        <v>0</v>
      </c>
      <c r="N29" s="344">
        <f>SUM(B29:M29)</f>
        <v>73970.75</v>
      </c>
      <c r="O29" s="345">
        <f>1109495.5+N29</f>
        <v>1183466.25</v>
      </c>
      <c r="P29" s="344">
        <f>11967000+Q29</f>
        <v>11267000</v>
      </c>
      <c r="Q29" s="344">
        <v>-700000</v>
      </c>
      <c r="R29" s="320">
        <f t="shared" si="6"/>
        <v>0.10503827549480785</v>
      </c>
      <c r="S29" s="327"/>
      <c r="T29" s="328"/>
    </row>
    <row r="30" spans="1:21" ht="12.95">
      <c r="A30" s="481" t="s">
        <v>191</v>
      </c>
      <c r="B30" s="347">
        <f t="shared" ref="B30:I30" si="7">SUM(B27:B29)</f>
        <v>69600.06</v>
      </c>
      <c r="C30" s="348">
        <f t="shared" si="7"/>
        <v>85704.39</v>
      </c>
      <c r="D30" s="348">
        <f t="shared" si="7"/>
        <v>107204.46</v>
      </c>
      <c r="E30" s="348">
        <f>SUM(E27:E29)</f>
        <v>116401.66</v>
      </c>
      <c r="F30" s="349">
        <f t="shared" si="7"/>
        <v>87872.239999999991</v>
      </c>
      <c r="G30" s="348">
        <f t="shared" si="7"/>
        <v>60242.6899999999</v>
      </c>
      <c r="H30" s="349">
        <f t="shared" si="7"/>
        <v>96917.119999999893</v>
      </c>
      <c r="I30" s="349">
        <f t="shared" si="7"/>
        <v>128226.99</v>
      </c>
      <c r="J30" s="349">
        <f>SUM(J27:J29)</f>
        <v>103090.44</v>
      </c>
      <c r="K30" s="349">
        <f>SUM(K27:K29)</f>
        <v>0</v>
      </c>
      <c r="L30" s="349">
        <f>SUM(L27:L29)</f>
        <v>0</v>
      </c>
      <c r="M30" s="349">
        <f t="shared" ref="M30:Q30" si="8">SUM(M27:M29)</f>
        <v>0</v>
      </c>
      <c r="N30" s="598">
        <f t="shared" si="8"/>
        <v>855260.04999999981</v>
      </c>
      <c r="O30" s="656">
        <f t="shared" si="8"/>
        <v>5700197.8499999996</v>
      </c>
      <c r="P30" s="597">
        <f>SUM(P27:P29)</f>
        <v>18544000</v>
      </c>
      <c r="Q30" s="598">
        <f t="shared" si="8"/>
        <v>-700000</v>
      </c>
      <c r="R30" s="600">
        <f>O30/P30</f>
        <v>0.30738771839948231</v>
      </c>
      <c r="S30" s="327"/>
      <c r="T30" s="328"/>
    </row>
    <row r="31" spans="1:21">
      <c r="A31" s="191"/>
      <c r="B31" s="343"/>
      <c r="C31" s="345"/>
      <c r="D31" s="345"/>
      <c r="E31" s="345"/>
      <c r="F31" s="296"/>
      <c r="G31" s="345"/>
      <c r="H31" s="296"/>
      <c r="I31" s="296"/>
      <c r="J31" s="296"/>
      <c r="K31" s="296"/>
      <c r="L31" s="296"/>
      <c r="M31" s="296"/>
      <c r="N31" s="344"/>
      <c r="O31" s="516"/>
      <c r="P31" s="346"/>
      <c r="Q31" s="344"/>
      <c r="R31" s="320"/>
      <c r="S31" s="327"/>
      <c r="T31" s="328"/>
    </row>
    <row r="32" spans="1:21" ht="12.95">
      <c r="A32" s="190" t="s">
        <v>192</v>
      </c>
      <c r="B32" s="343"/>
      <c r="C32" s="345"/>
      <c r="D32" s="345"/>
      <c r="E32" s="345"/>
      <c r="F32" s="296"/>
      <c r="G32" s="345"/>
      <c r="H32" s="296"/>
      <c r="I32" s="296"/>
      <c r="J32" s="296"/>
      <c r="K32" s="296"/>
      <c r="L32" s="296"/>
      <c r="M32" s="296"/>
      <c r="N32" s="344"/>
      <c r="O32" s="516"/>
      <c r="P32" s="346"/>
      <c r="Q32" s="344"/>
      <c r="R32" s="320"/>
      <c r="S32" s="327"/>
      <c r="T32" s="328"/>
    </row>
    <row r="33" spans="1:20">
      <c r="A33" s="191" t="s">
        <v>193</v>
      </c>
      <c r="B33" s="529">
        <v>0</v>
      </c>
      <c r="C33" s="530">
        <v>0</v>
      </c>
      <c r="D33" s="530">
        <v>0</v>
      </c>
      <c r="E33" s="530">
        <v>0</v>
      </c>
      <c r="F33" s="530">
        <v>0</v>
      </c>
      <c r="G33" s="530">
        <v>0</v>
      </c>
      <c r="H33" s="530">
        <v>0</v>
      </c>
      <c r="I33" s="530">
        <v>0</v>
      </c>
      <c r="J33" s="530">
        <v>0</v>
      </c>
      <c r="K33" s="530">
        <v>0</v>
      </c>
      <c r="L33" s="530">
        <v>0</v>
      </c>
      <c r="M33" s="531">
        <v>0</v>
      </c>
      <c r="N33" s="344">
        <f>SUM(B33:M33)</f>
        <v>0</v>
      </c>
      <c r="O33" s="345">
        <f>8110.62+N33</f>
        <v>8110.62</v>
      </c>
      <c r="P33" s="346">
        <v>2507000</v>
      </c>
      <c r="Q33" s="344">
        <v>0</v>
      </c>
      <c r="R33" s="320">
        <f t="shared" ref="R33:R37" si="9">+O33/P33</f>
        <v>3.2351894694854408E-3</v>
      </c>
      <c r="S33" s="327"/>
      <c r="T33" s="328"/>
    </row>
    <row r="34" spans="1:20" ht="14.45">
      <c r="A34" s="191" t="s">
        <v>194</v>
      </c>
      <c r="B34" s="532">
        <v>52804.73</v>
      </c>
      <c r="C34" s="533">
        <v>2570.87</v>
      </c>
      <c r="D34" s="533">
        <v>899.55</v>
      </c>
      <c r="E34" s="533">
        <v>1103.21</v>
      </c>
      <c r="F34" s="533">
        <v>1079.8499999999999</v>
      </c>
      <c r="G34" s="533">
        <v>633.38</v>
      </c>
      <c r="H34" s="533">
        <v>46424.33</v>
      </c>
      <c r="I34" s="533">
        <v>-3618.09</v>
      </c>
      <c r="J34" s="533">
        <v>0</v>
      </c>
      <c r="K34" s="533">
        <v>0</v>
      </c>
      <c r="L34" s="533">
        <v>0</v>
      </c>
      <c r="M34" s="534">
        <v>0</v>
      </c>
      <c r="N34" s="344">
        <f>SUM(B34:M34)</f>
        <v>101897.83000000002</v>
      </c>
      <c r="O34" s="345">
        <f>196396.35+N34</f>
        <v>298294.18000000005</v>
      </c>
      <c r="P34" s="344">
        <v>500000</v>
      </c>
      <c r="Q34" s="344">
        <v>0</v>
      </c>
      <c r="R34" s="320">
        <f t="shared" si="9"/>
        <v>0.59658836000000015</v>
      </c>
      <c r="S34" s="327"/>
      <c r="T34" s="328"/>
    </row>
    <row r="35" spans="1:20">
      <c r="A35" s="191" t="s">
        <v>195</v>
      </c>
      <c r="B35" s="532">
        <v>0</v>
      </c>
      <c r="C35" s="533">
        <v>17693.900000000001</v>
      </c>
      <c r="D35" s="533">
        <v>19661.5</v>
      </c>
      <c r="E35" s="533">
        <v>0</v>
      </c>
      <c r="F35" s="533">
        <v>0</v>
      </c>
      <c r="G35" s="533">
        <v>381.46</v>
      </c>
      <c r="H35" s="533">
        <v>5257.7</v>
      </c>
      <c r="I35" s="533">
        <v>25829.119999999901</v>
      </c>
      <c r="J35" s="533">
        <v>4865.71</v>
      </c>
      <c r="K35" s="533">
        <v>0</v>
      </c>
      <c r="L35" s="533">
        <v>0</v>
      </c>
      <c r="M35" s="534">
        <v>0</v>
      </c>
      <c r="N35" s="344">
        <f>SUM(B35:M35)</f>
        <v>73689.389999999912</v>
      </c>
      <c r="O35" s="345">
        <f>N35+19577.37</f>
        <v>93266.759999999907</v>
      </c>
      <c r="P35" s="344">
        <v>708000</v>
      </c>
      <c r="Q35" s="344">
        <v>0</v>
      </c>
      <c r="R35" s="320">
        <f>+O35/P35</f>
        <v>0.13173271186440666</v>
      </c>
      <c r="S35" s="327"/>
      <c r="T35" s="328"/>
    </row>
    <row r="36" spans="1:20">
      <c r="A36" s="201" t="s">
        <v>196</v>
      </c>
      <c r="B36" s="532">
        <v>0</v>
      </c>
      <c r="C36" s="533">
        <v>0</v>
      </c>
      <c r="D36" s="533">
        <v>0</v>
      </c>
      <c r="E36" s="533">
        <v>0</v>
      </c>
      <c r="F36" s="533">
        <v>0</v>
      </c>
      <c r="G36" s="533">
        <v>0</v>
      </c>
      <c r="H36" s="533">
        <v>0</v>
      </c>
      <c r="I36" s="533">
        <v>0</v>
      </c>
      <c r="J36" s="533">
        <v>0</v>
      </c>
      <c r="K36" s="533">
        <v>0</v>
      </c>
      <c r="L36" s="533">
        <v>0</v>
      </c>
      <c r="M36" s="534">
        <v>0</v>
      </c>
      <c r="N36" s="344">
        <f>SUM(B36:M36)</f>
        <v>0</v>
      </c>
      <c r="O36" s="345">
        <f>624590.15+N36</f>
        <v>624590.15</v>
      </c>
      <c r="P36" s="346">
        <v>2148000</v>
      </c>
      <c r="Q36" s="344">
        <v>0</v>
      </c>
      <c r="R36" s="320">
        <f t="shared" si="9"/>
        <v>0.29077753724394789</v>
      </c>
      <c r="S36" s="327"/>
      <c r="T36" s="328"/>
    </row>
    <row r="37" spans="1:20">
      <c r="A37" s="202" t="s">
        <v>197</v>
      </c>
      <c r="B37" s="535">
        <v>0</v>
      </c>
      <c r="C37" s="536">
        <v>0</v>
      </c>
      <c r="D37" s="536">
        <v>0</v>
      </c>
      <c r="E37" s="536">
        <v>0</v>
      </c>
      <c r="F37" s="536">
        <v>0</v>
      </c>
      <c r="G37" s="536">
        <v>0</v>
      </c>
      <c r="H37" s="536">
        <v>0</v>
      </c>
      <c r="I37" s="536">
        <v>0</v>
      </c>
      <c r="J37" s="536">
        <v>0</v>
      </c>
      <c r="K37" s="536">
        <v>0</v>
      </c>
      <c r="L37" s="536">
        <v>0</v>
      </c>
      <c r="M37" s="537">
        <v>0</v>
      </c>
      <c r="N37" s="344">
        <v>0</v>
      </c>
      <c r="O37" s="345">
        <f>36771.92+N37</f>
        <v>36771.919999999998</v>
      </c>
      <c r="P37" s="344">
        <v>340000</v>
      </c>
      <c r="Q37" s="344">
        <v>0</v>
      </c>
      <c r="R37" s="320">
        <f t="shared" si="9"/>
        <v>0.10815270588235294</v>
      </c>
      <c r="S37" s="327"/>
      <c r="T37" s="328"/>
    </row>
    <row r="38" spans="1:20" ht="12.95">
      <c r="A38" s="481" t="s">
        <v>198</v>
      </c>
      <c r="B38" s="347">
        <f t="shared" ref="B38:P38" si="10">SUM(B33:B37)</f>
        <v>52804.73</v>
      </c>
      <c r="C38" s="348">
        <f t="shared" si="10"/>
        <v>20264.77</v>
      </c>
      <c r="D38" s="348">
        <f t="shared" si="10"/>
        <v>20561.05</v>
      </c>
      <c r="E38" s="348">
        <f t="shared" si="10"/>
        <v>1103.21</v>
      </c>
      <c r="F38" s="348">
        <f t="shared" si="10"/>
        <v>1079.8499999999999</v>
      </c>
      <c r="G38" s="348">
        <f t="shared" si="10"/>
        <v>1014.8399999999999</v>
      </c>
      <c r="H38" s="348">
        <f t="shared" si="10"/>
        <v>51682.03</v>
      </c>
      <c r="I38" s="348">
        <f t="shared" si="10"/>
        <v>22211.029999999901</v>
      </c>
      <c r="J38" s="348">
        <f t="shared" si="10"/>
        <v>4865.71</v>
      </c>
      <c r="K38" s="348">
        <f t="shared" si="10"/>
        <v>0</v>
      </c>
      <c r="L38" s="348">
        <f t="shared" si="10"/>
        <v>0</v>
      </c>
      <c r="M38" s="348">
        <f t="shared" si="10"/>
        <v>0</v>
      </c>
      <c r="N38" s="598">
        <f>SUM(N33:N37)</f>
        <v>175587.21999999991</v>
      </c>
      <c r="O38" s="656">
        <f>SUM(O33:O37)</f>
        <v>1061033.6299999999</v>
      </c>
      <c r="P38" s="597">
        <f t="shared" si="10"/>
        <v>6203000</v>
      </c>
      <c r="Q38" s="598">
        <f>SUM(Q33:Q37)</f>
        <v>0</v>
      </c>
      <c r="R38" s="600">
        <f>O38/P38</f>
        <v>0.17105168950507818</v>
      </c>
      <c r="S38" s="327"/>
      <c r="T38" s="328"/>
    </row>
    <row r="39" spans="1:20">
      <c r="A39" s="191"/>
      <c r="B39" s="343"/>
      <c r="C39" s="345"/>
      <c r="D39" s="345"/>
      <c r="E39" s="345"/>
      <c r="F39" s="296"/>
      <c r="G39" s="345"/>
      <c r="H39" s="296"/>
      <c r="I39" s="296"/>
      <c r="J39" s="296"/>
      <c r="K39" s="296"/>
      <c r="L39" s="296"/>
      <c r="M39" s="296"/>
      <c r="N39" s="344"/>
      <c r="O39" s="516"/>
      <c r="P39" s="346"/>
      <c r="Q39" s="344"/>
      <c r="R39" s="320"/>
      <c r="S39" s="327"/>
      <c r="T39" s="328"/>
    </row>
    <row r="40" spans="1:20" ht="12.95">
      <c r="A40" s="190" t="s">
        <v>199</v>
      </c>
      <c r="B40" s="343"/>
      <c r="C40" s="345"/>
      <c r="D40" s="345"/>
      <c r="E40" s="345"/>
      <c r="F40" s="296"/>
      <c r="G40" s="345"/>
      <c r="H40" s="296"/>
      <c r="I40" s="296"/>
      <c r="J40" s="296"/>
      <c r="K40" s="296"/>
      <c r="L40" s="296"/>
      <c r="M40" s="296"/>
      <c r="N40" s="344"/>
      <c r="O40" s="516"/>
      <c r="P40" s="346"/>
      <c r="Q40" s="344"/>
      <c r="R40" s="320"/>
      <c r="S40" s="327"/>
      <c r="T40" s="328"/>
    </row>
    <row r="41" spans="1:20" ht="14.45">
      <c r="A41" s="191" t="s">
        <v>200</v>
      </c>
      <c r="B41" s="538">
        <v>43.29</v>
      </c>
      <c r="C41" s="539">
        <v>13543</v>
      </c>
      <c r="D41" s="539">
        <v>24450.560000000001</v>
      </c>
      <c r="E41" s="539">
        <v>29317.26</v>
      </c>
      <c r="F41" s="539">
        <v>5977.61</v>
      </c>
      <c r="G41" s="539">
        <v>209858.38</v>
      </c>
      <c r="H41" s="539">
        <v>-76678.89</v>
      </c>
      <c r="I41" s="539">
        <v>87614.080000000002</v>
      </c>
      <c r="J41" s="539">
        <v>352892.8</v>
      </c>
      <c r="K41" s="539">
        <v>0</v>
      </c>
      <c r="L41" s="539">
        <v>0</v>
      </c>
      <c r="M41" s="540">
        <v>0</v>
      </c>
      <c r="N41" s="344">
        <f>SUM(B41:M41)</f>
        <v>647018.09</v>
      </c>
      <c r="O41" s="345">
        <f>3425573.89+N41</f>
        <v>4072591.98</v>
      </c>
      <c r="P41" s="346">
        <v>4502000</v>
      </c>
      <c r="Q41" s="344">
        <v>0</v>
      </c>
      <c r="R41" s="320">
        <f t="shared" ref="R41" si="11">+O41/P41</f>
        <v>0.90461838738338518</v>
      </c>
      <c r="S41" s="327"/>
      <c r="T41" s="328"/>
    </row>
    <row r="42" spans="1:20" ht="12.95">
      <c r="A42" s="481" t="s">
        <v>201</v>
      </c>
      <c r="B42" s="347">
        <f t="shared" ref="B42:N42" si="12">SUM(B41:B41)</f>
        <v>43.29</v>
      </c>
      <c r="C42" s="348">
        <f t="shared" si="12"/>
        <v>13543</v>
      </c>
      <c r="D42" s="348">
        <f t="shared" si="12"/>
        <v>24450.560000000001</v>
      </c>
      <c r="E42" s="348">
        <f t="shared" si="12"/>
        <v>29317.26</v>
      </c>
      <c r="F42" s="349">
        <f t="shared" si="12"/>
        <v>5977.61</v>
      </c>
      <c r="G42" s="348">
        <f t="shared" si="12"/>
        <v>209858.38</v>
      </c>
      <c r="H42" s="349">
        <f t="shared" si="12"/>
        <v>-76678.89</v>
      </c>
      <c r="I42" s="349">
        <f t="shared" si="12"/>
        <v>87614.080000000002</v>
      </c>
      <c r="J42" s="349">
        <f t="shared" si="12"/>
        <v>352892.8</v>
      </c>
      <c r="K42" s="349">
        <f t="shared" si="12"/>
        <v>0</v>
      </c>
      <c r="L42" s="349">
        <f t="shared" si="12"/>
        <v>0</v>
      </c>
      <c r="M42" s="349">
        <f t="shared" si="12"/>
        <v>0</v>
      </c>
      <c r="N42" s="598">
        <f t="shared" si="12"/>
        <v>647018.09</v>
      </c>
      <c r="O42" s="656">
        <f>O41</f>
        <v>4072591.98</v>
      </c>
      <c r="P42" s="597">
        <f>SUM(P41)</f>
        <v>4502000</v>
      </c>
      <c r="Q42" s="598">
        <f>SUM(Q41:Q41)</f>
        <v>0</v>
      </c>
      <c r="R42" s="600">
        <f>O42/P42</f>
        <v>0.90461838738338518</v>
      </c>
      <c r="S42" s="327"/>
      <c r="T42" s="328"/>
    </row>
    <row r="43" spans="1:20" ht="12.95">
      <c r="A43" s="190"/>
      <c r="B43" s="343"/>
      <c r="C43" s="345"/>
      <c r="D43" s="345"/>
      <c r="E43" s="345"/>
      <c r="F43" s="296"/>
      <c r="G43" s="345"/>
      <c r="H43" s="296"/>
      <c r="I43" s="296"/>
      <c r="J43" s="296"/>
      <c r="K43" s="296"/>
      <c r="L43" s="296"/>
      <c r="M43" s="296"/>
      <c r="N43" s="344"/>
      <c r="O43" s="345"/>
      <c r="P43" s="484"/>
      <c r="Q43" s="344"/>
      <c r="R43" s="320"/>
      <c r="S43" s="327"/>
      <c r="T43" s="328"/>
    </row>
    <row r="44" spans="1:20" ht="12.95">
      <c r="A44" s="190" t="s">
        <v>202</v>
      </c>
      <c r="B44" s="343"/>
      <c r="C44" s="345"/>
      <c r="D44" s="345"/>
      <c r="E44" s="345"/>
      <c r="F44" s="296"/>
      <c r="G44" s="345"/>
      <c r="H44" s="296"/>
      <c r="I44" s="296"/>
      <c r="J44" s="296"/>
      <c r="K44" s="296"/>
      <c r="L44" s="296"/>
      <c r="M44" s="296"/>
      <c r="N44" s="344"/>
      <c r="O44" s="345"/>
      <c r="P44" s="346"/>
      <c r="Q44" s="344"/>
      <c r="R44" s="320"/>
      <c r="S44" s="327"/>
      <c r="T44" s="328"/>
    </row>
    <row r="45" spans="1:20" ht="14.45">
      <c r="A45" s="191" t="s">
        <v>203</v>
      </c>
      <c r="B45" s="529">
        <v>34704.71</v>
      </c>
      <c r="C45" s="530">
        <v>52958.45</v>
      </c>
      <c r="D45" s="530">
        <v>48078.76</v>
      </c>
      <c r="E45" s="530">
        <v>40806.03</v>
      </c>
      <c r="F45" s="530">
        <v>52581.8</v>
      </c>
      <c r="G45" s="530">
        <v>54091.989999999903</v>
      </c>
      <c r="H45" s="530">
        <v>49074.07</v>
      </c>
      <c r="I45" s="530">
        <v>50402.45</v>
      </c>
      <c r="J45" s="530">
        <v>40817.760000000002</v>
      </c>
      <c r="K45" s="530">
        <v>0</v>
      </c>
      <c r="L45" s="530">
        <v>0</v>
      </c>
      <c r="M45" s="531">
        <v>0</v>
      </c>
      <c r="N45" s="344">
        <f>SUM(B45:M45)</f>
        <v>423516.0199999999</v>
      </c>
      <c r="O45" s="345">
        <f>2089189.09+N45</f>
        <v>2512705.11</v>
      </c>
      <c r="P45" s="350">
        <f>4095000+Q45</f>
        <v>3929000</v>
      </c>
      <c r="Q45" s="344">
        <v>-166000</v>
      </c>
      <c r="R45" s="320">
        <f t="shared" ref="R45:R48" si="13">+O45/P45</f>
        <v>0.63952789768388896</v>
      </c>
      <c r="S45" s="327"/>
      <c r="T45" s="328"/>
    </row>
    <row r="46" spans="1:20" s="106" customFormat="1">
      <c r="A46" s="192" t="s">
        <v>204</v>
      </c>
      <c r="B46" s="532">
        <v>4184.74</v>
      </c>
      <c r="C46" s="533">
        <v>22572.85</v>
      </c>
      <c r="D46" s="533">
        <v>167185.47</v>
      </c>
      <c r="E46" s="533">
        <v>68229.87999999999</v>
      </c>
      <c r="F46" s="533">
        <v>85472.49</v>
      </c>
      <c r="G46" s="533">
        <v>204652.41</v>
      </c>
      <c r="H46" s="533">
        <v>16200.48</v>
      </c>
      <c r="I46" s="533">
        <v>149663.03999999899</v>
      </c>
      <c r="J46" s="533">
        <v>99786.38</v>
      </c>
      <c r="K46" s="533">
        <v>0</v>
      </c>
      <c r="L46" s="533">
        <v>0</v>
      </c>
      <c r="M46" s="534">
        <v>0</v>
      </c>
      <c r="N46" s="346">
        <f>SUM(B46:M46)</f>
        <v>817947.73999999894</v>
      </c>
      <c r="O46" s="345">
        <f>7066059.65+N46</f>
        <v>7884007.3899999997</v>
      </c>
      <c r="P46" s="350">
        <f>7948000+Q46</f>
        <v>8514000</v>
      </c>
      <c r="Q46" s="346">
        <v>566000</v>
      </c>
      <c r="R46" s="322">
        <f t="shared" si="13"/>
        <v>0.92600509631195671</v>
      </c>
      <c r="S46" s="327"/>
      <c r="T46" s="328"/>
    </row>
    <row r="47" spans="1:20" ht="14.45">
      <c r="A47" s="191" t="s">
        <v>205</v>
      </c>
      <c r="B47" s="532">
        <v>-9539.8700000000008</v>
      </c>
      <c r="C47" s="533">
        <v>68261.33</v>
      </c>
      <c r="D47" s="533">
        <v>71935.69</v>
      </c>
      <c r="E47" s="533">
        <v>75594.429999999993</v>
      </c>
      <c r="F47" s="533">
        <v>101524.069999999</v>
      </c>
      <c r="G47" s="533">
        <v>74753.53</v>
      </c>
      <c r="H47" s="533">
        <v>65000.639999999999</v>
      </c>
      <c r="I47" s="533">
        <v>85477.93</v>
      </c>
      <c r="J47" s="533">
        <v>66742.17</v>
      </c>
      <c r="K47" s="533">
        <v>0</v>
      </c>
      <c r="L47" s="533">
        <v>0</v>
      </c>
      <c r="M47" s="534">
        <v>0</v>
      </c>
      <c r="N47" s="344">
        <f>SUM(B47:M47)</f>
        <v>599749.91999999911</v>
      </c>
      <c r="O47" s="345">
        <f>N47+2919923.57</f>
        <v>3519673.4899999988</v>
      </c>
      <c r="P47" s="351">
        <f>5600600+Q47</f>
        <v>5006200</v>
      </c>
      <c r="Q47" s="344">
        <v>-594400</v>
      </c>
      <c r="R47" s="320">
        <f t="shared" si="13"/>
        <v>0.70306290000399485</v>
      </c>
      <c r="S47" s="327"/>
      <c r="T47" s="328"/>
    </row>
    <row r="48" spans="1:20">
      <c r="A48" s="191" t="s">
        <v>206</v>
      </c>
      <c r="B48" s="535">
        <v>0</v>
      </c>
      <c r="C48" s="536">
        <v>0</v>
      </c>
      <c r="D48" s="536">
        <v>35493.32</v>
      </c>
      <c r="E48" s="536">
        <v>0</v>
      </c>
      <c r="F48" s="536">
        <v>63154.47</v>
      </c>
      <c r="G48" s="536">
        <v>0</v>
      </c>
      <c r="H48" s="536">
        <v>47484.76</v>
      </c>
      <c r="I48" s="536">
        <v>0</v>
      </c>
      <c r="J48" s="536">
        <v>0</v>
      </c>
      <c r="K48" s="536">
        <v>0</v>
      </c>
      <c r="L48" s="536">
        <v>0</v>
      </c>
      <c r="M48" s="537">
        <v>0</v>
      </c>
      <c r="N48" s="344">
        <f>SUM(B48:M48)</f>
        <v>146132.55000000002</v>
      </c>
      <c r="O48" s="345">
        <f>597970.46+N48</f>
        <v>744103.01</v>
      </c>
      <c r="P48" s="352">
        <v>1000000</v>
      </c>
      <c r="Q48" s="344">
        <v>0</v>
      </c>
      <c r="R48" s="320">
        <f t="shared" si="13"/>
        <v>0.74410301000000001</v>
      </c>
      <c r="S48" s="327"/>
      <c r="T48" s="328"/>
    </row>
    <row r="49" spans="1:20" ht="12.95">
      <c r="A49" s="481" t="s">
        <v>207</v>
      </c>
      <c r="B49" s="347">
        <f>SUM(B45:B48)</f>
        <v>29349.579999999994</v>
      </c>
      <c r="C49" s="348">
        <f t="shared" ref="C49:M49" si="14">SUM(C45:C48)</f>
        <v>143792.63</v>
      </c>
      <c r="D49" s="348">
        <f t="shared" si="14"/>
        <v>322693.24000000005</v>
      </c>
      <c r="E49" s="348">
        <f t="shared" si="14"/>
        <v>184630.33999999997</v>
      </c>
      <c r="F49" s="348">
        <f t="shared" si="14"/>
        <v>302732.82999999903</v>
      </c>
      <c r="G49" s="348">
        <f>SUM(G45:G48)</f>
        <v>333497.92999999993</v>
      </c>
      <c r="H49" s="348">
        <f t="shared" si="14"/>
        <v>177759.95</v>
      </c>
      <c r="I49" s="348">
        <f t="shared" si="14"/>
        <v>285543.41999999899</v>
      </c>
      <c r="J49" s="348">
        <f t="shared" si="14"/>
        <v>207346.31</v>
      </c>
      <c r="K49" s="348">
        <f t="shared" si="14"/>
        <v>0</v>
      </c>
      <c r="L49" s="348">
        <f t="shared" si="14"/>
        <v>0</v>
      </c>
      <c r="M49" s="348">
        <f t="shared" si="14"/>
        <v>0</v>
      </c>
      <c r="N49" s="598">
        <f>SUM(N45:N48)</f>
        <v>1987346.2299999979</v>
      </c>
      <c r="O49" s="656">
        <f>SUM(O45:O48)</f>
        <v>14660488.999999998</v>
      </c>
      <c r="P49" s="597">
        <f>SUM(P45:P48)</f>
        <v>18449200</v>
      </c>
      <c r="Q49" s="598">
        <f>SUM(Q45:Q48)</f>
        <v>-194400</v>
      </c>
      <c r="R49" s="600">
        <f>O49/P49</f>
        <v>0.79464090583873548</v>
      </c>
      <c r="S49" s="327"/>
      <c r="T49" s="328"/>
    </row>
    <row r="50" spans="1:20" ht="12.95">
      <c r="A50" s="190"/>
      <c r="B50" s="343"/>
      <c r="C50" s="345"/>
      <c r="D50" s="345"/>
      <c r="E50" s="345"/>
      <c r="F50" s="296"/>
      <c r="G50" s="345"/>
      <c r="H50" s="296"/>
      <c r="I50" s="296"/>
      <c r="J50" s="296"/>
      <c r="K50" s="296"/>
      <c r="L50" s="296"/>
      <c r="M50" s="296"/>
      <c r="N50" s="344"/>
      <c r="O50" s="516"/>
      <c r="P50" s="346"/>
      <c r="Q50" s="344"/>
      <c r="R50" s="320"/>
      <c r="S50" s="327"/>
      <c r="T50" s="328"/>
    </row>
    <row r="51" spans="1:20" ht="15" customHeight="1" thickBot="1">
      <c r="A51" s="665" t="s">
        <v>208</v>
      </c>
      <c r="B51" s="666">
        <f>B49+B42+B38+B30+B24+B20+B16</f>
        <v>320209.31999999977</v>
      </c>
      <c r="C51" s="667">
        <f>C49+C42+C38+C30+C24+C20+C16</f>
        <v>389064.97</v>
      </c>
      <c r="D51" s="667">
        <f t="shared" ref="D51:M51" si="15">D49+D42+D38+D30+D24+D20+D16</f>
        <v>641654.23</v>
      </c>
      <c r="E51" s="667">
        <f t="shared" si="15"/>
        <v>465729.92</v>
      </c>
      <c r="F51" s="667">
        <f t="shared" si="15"/>
        <v>514506.01999999903</v>
      </c>
      <c r="G51" s="667">
        <f t="shared" si="15"/>
        <v>933707.77999999886</v>
      </c>
      <c r="H51" s="667">
        <f t="shared" si="15"/>
        <v>304701.56999999983</v>
      </c>
      <c r="I51" s="667">
        <f>I49+I42+I38+I30+I24+I20+I16</f>
        <v>740821.59999999893</v>
      </c>
      <c r="J51" s="667">
        <f t="shared" si="15"/>
        <v>1287050.93</v>
      </c>
      <c r="K51" s="667">
        <f t="shared" si="15"/>
        <v>0</v>
      </c>
      <c r="L51" s="667">
        <f t="shared" si="15"/>
        <v>0</v>
      </c>
      <c r="M51" s="667">
        <f t="shared" si="15"/>
        <v>0</v>
      </c>
      <c r="N51" s="668">
        <f>N49+N42+N38+N30+N24+N20+N16</f>
        <v>5597446.3399999961</v>
      </c>
      <c r="O51" s="669">
        <f>O49+O42+O38+O30+O24+O20+O16</f>
        <v>41319600.969999991</v>
      </c>
      <c r="P51" s="670">
        <f>P49+P42+P38+P30+P24+P20+P16</f>
        <v>82893002</v>
      </c>
      <c r="Q51" s="670">
        <f>Q16+Q30+Q49</f>
        <v>-1128898</v>
      </c>
      <c r="R51" s="671">
        <f>O51/P51</f>
        <v>0.49846911045639281</v>
      </c>
      <c r="S51" s="327"/>
      <c r="T51" s="328"/>
    </row>
    <row r="52" spans="1:20" ht="15" customHeight="1">
      <c r="A52" s="664"/>
      <c r="B52" s="297"/>
      <c r="C52" s="296"/>
      <c r="D52" s="296"/>
      <c r="E52" s="296"/>
      <c r="F52" s="296"/>
      <c r="G52" s="298"/>
      <c r="H52" s="296"/>
      <c r="I52" s="296"/>
      <c r="J52" s="296"/>
      <c r="K52" s="296"/>
      <c r="L52" s="296"/>
      <c r="M52" s="296"/>
      <c r="N52" s="296"/>
      <c r="O52" s="296"/>
      <c r="P52" s="296" t="s">
        <v>67</v>
      </c>
      <c r="Q52" s="296"/>
      <c r="R52" s="318"/>
      <c r="S52" s="327"/>
      <c r="T52" s="328"/>
    </row>
    <row r="53" spans="1:20" ht="10.5" customHeight="1" thickBot="1">
      <c r="A53" s="111"/>
      <c r="B53" s="109"/>
      <c r="C53" s="73"/>
      <c r="D53" s="73"/>
      <c r="E53" s="73"/>
      <c r="F53" s="73"/>
      <c r="G53" s="73"/>
      <c r="H53" s="73"/>
      <c r="I53" s="73"/>
      <c r="J53" s="73"/>
      <c r="K53" s="73"/>
      <c r="L53" s="73"/>
      <c r="M53" s="73"/>
      <c r="N53" s="73"/>
      <c r="O53" s="73"/>
      <c r="P53" s="74"/>
      <c r="Q53" s="74"/>
      <c r="R53" s="187"/>
    </row>
    <row r="54" spans="1:20">
      <c r="A54" s="106"/>
      <c r="G54" s="153"/>
      <c r="P54" s="153" t="s">
        <v>67</v>
      </c>
    </row>
    <row r="55" spans="1:20" ht="12.95">
      <c r="A55" s="657" t="s">
        <v>68</v>
      </c>
      <c r="B55" s="106"/>
      <c r="N55" s="219"/>
      <c r="P55" s="66" t="s">
        <v>67</v>
      </c>
    </row>
    <row r="56" spans="1:20" ht="14.45">
      <c r="A56" s="66" t="s">
        <v>209</v>
      </c>
    </row>
    <row r="57" spans="1:20" ht="14.45">
      <c r="A57" s="684" t="s">
        <v>210</v>
      </c>
    </row>
    <row r="58" spans="1:20" ht="15">
      <c r="A58" s="66" t="s">
        <v>211</v>
      </c>
    </row>
    <row r="59" spans="1:20" ht="14.45">
      <c r="A59" s="66" t="s">
        <v>212</v>
      </c>
    </row>
    <row r="60" spans="1:20" ht="14.45">
      <c r="A60" s="66" t="s">
        <v>213</v>
      </c>
    </row>
    <row r="61" spans="1:20" ht="30.6" customHeight="1">
      <c r="A61" s="710" t="s">
        <v>214</v>
      </c>
      <c r="B61" s="710"/>
      <c r="C61" s="710"/>
      <c r="D61" s="710"/>
      <c r="E61" s="710"/>
      <c r="F61" s="710"/>
      <c r="G61" s="710"/>
      <c r="H61" s="710"/>
      <c r="I61" s="710"/>
      <c r="J61" s="710"/>
      <c r="K61" s="710"/>
      <c r="L61" s="710"/>
      <c r="M61" s="710"/>
      <c r="N61" s="710"/>
      <c r="O61" s="710"/>
      <c r="P61" s="710"/>
      <c r="Q61" s="710"/>
      <c r="R61" s="710"/>
    </row>
    <row r="62" spans="1:20" ht="14.45">
      <c r="A62" s="685" t="s">
        <v>215</v>
      </c>
      <c r="B62" s="685"/>
      <c r="C62" s="685"/>
      <c r="D62" s="685"/>
      <c r="E62" s="685"/>
      <c r="F62" s="685"/>
      <c r="G62" s="685"/>
      <c r="H62" s="685"/>
      <c r="I62" s="685"/>
      <c r="J62" s="685"/>
      <c r="K62" s="685"/>
      <c r="L62" s="685"/>
      <c r="M62" s="685"/>
      <c r="N62" s="685"/>
      <c r="O62" s="685"/>
      <c r="P62" s="685"/>
      <c r="Q62" s="685"/>
      <c r="R62" s="685"/>
    </row>
    <row r="63" spans="1:20">
      <c r="A63" s="685"/>
      <c r="B63" s="685"/>
      <c r="C63" s="685"/>
      <c r="D63" s="685"/>
      <c r="E63" s="685"/>
      <c r="F63" s="685"/>
      <c r="G63" s="685"/>
      <c r="H63" s="685"/>
      <c r="I63" s="685"/>
      <c r="J63" s="685"/>
      <c r="K63" s="685"/>
      <c r="L63" s="685"/>
      <c r="M63" s="685"/>
      <c r="N63" s="685"/>
      <c r="O63" s="685"/>
      <c r="P63" s="685"/>
      <c r="Q63" s="685"/>
      <c r="R63" s="685"/>
    </row>
    <row r="64" spans="1:20" ht="13.5" customHeight="1">
      <c r="A64" s="648" t="s">
        <v>216</v>
      </c>
    </row>
    <row r="65" spans="1:1" ht="12.95">
      <c r="A65" s="653" t="s">
        <v>84</v>
      </c>
    </row>
  </sheetData>
  <mergeCells count="1">
    <mergeCell ref="A61:R61"/>
  </mergeCells>
  <printOptions horizontalCentered="1"/>
  <pageMargins left="0" right="0" top="0.55000000000000004" bottom="0.17" header="0.3" footer="0.15"/>
  <pageSetup paperSize="5" scale="53"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N48"/>
  <sheetViews>
    <sheetView showRuler="0" showWhiteSpace="0" zoomScale="80" zoomScaleNormal="80" workbookViewId="0">
      <selection activeCell="J17" sqref="J17"/>
    </sheetView>
  </sheetViews>
  <sheetFormatPr defaultColWidth="9.28515625" defaultRowHeight="12.6"/>
  <cols>
    <col min="1" max="1" width="48" style="38" customWidth="1"/>
    <col min="2" max="3" width="13" style="38" customWidth="1"/>
    <col min="4" max="13" width="13.28515625" style="38" customWidth="1"/>
    <col min="14" max="14" width="23.28515625" style="38" bestFit="1" customWidth="1"/>
    <col min="15" max="16384" width="9.28515625" style="38"/>
  </cols>
  <sheetData>
    <row r="2" spans="1:13" ht="20.100000000000001">
      <c r="B2" s="216" t="s">
        <v>39</v>
      </c>
      <c r="C2" s="37"/>
      <c r="D2" s="37"/>
      <c r="E2" s="217"/>
      <c r="F2" s="217"/>
      <c r="G2" s="217"/>
      <c r="H2" s="217"/>
      <c r="I2" s="217"/>
      <c r="J2" s="217"/>
      <c r="K2" s="217"/>
      <c r="L2" s="217"/>
      <c r="M2" s="217"/>
    </row>
    <row r="3" spans="1:13" ht="18">
      <c r="B3" s="711" t="s">
        <v>217</v>
      </c>
      <c r="C3" s="711"/>
      <c r="D3" s="711"/>
      <c r="E3" s="711"/>
      <c r="F3" s="711"/>
      <c r="G3" s="711"/>
      <c r="H3" s="711"/>
      <c r="I3" s="711"/>
      <c r="J3" s="711"/>
      <c r="K3" s="711"/>
      <c r="L3" s="711"/>
      <c r="M3" s="711"/>
    </row>
    <row r="4" spans="1:13" ht="18">
      <c r="A4" s="92"/>
      <c r="B4" s="37"/>
      <c r="C4" s="37"/>
      <c r="D4" s="37"/>
      <c r="E4" s="37"/>
      <c r="F4" s="218"/>
      <c r="G4" s="712">
        <f>'Program MW '!H3</f>
        <v>44805</v>
      </c>
      <c r="H4" s="712"/>
      <c r="I4" s="218"/>
      <c r="J4" s="37"/>
      <c r="K4" s="37"/>
      <c r="L4" s="37"/>
      <c r="M4" s="37"/>
    </row>
    <row r="5" spans="1:13">
      <c r="B5" s="108"/>
      <c r="C5" s="108"/>
      <c r="D5" s="108"/>
    </row>
    <row r="7" spans="1:13" ht="21.75" customHeight="1">
      <c r="A7" s="59"/>
      <c r="B7" s="455" t="s">
        <v>10</v>
      </c>
      <c r="C7" s="455" t="s">
        <v>28</v>
      </c>
      <c r="D7" s="455" t="s">
        <v>43</v>
      </c>
      <c r="E7" s="455" t="s">
        <v>44</v>
      </c>
      <c r="F7" s="455" t="s">
        <v>218</v>
      </c>
      <c r="G7" s="455" t="s">
        <v>45</v>
      </c>
      <c r="H7" s="455" t="s">
        <v>58</v>
      </c>
      <c r="I7" s="455" t="s">
        <v>59</v>
      </c>
      <c r="J7" s="455" t="s">
        <v>60</v>
      </c>
      <c r="K7" s="455" t="s">
        <v>61</v>
      </c>
      <c r="L7" s="455" t="s">
        <v>62</v>
      </c>
      <c r="M7" s="588" t="s">
        <v>63</v>
      </c>
    </row>
    <row r="8" spans="1:13" ht="26.1">
      <c r="A8" s="589" t="s">
        <v>219</v>
      </c>
      <c r="B8" s="456" t="s">
        <v>114</v>
      </c>
      <c r="C8" s="590" t="s">
        <v>114</v>
      </c>
      <c r="D8" s="590" t="s">
        <v>114</v>
      </c>
      <c r="E8" s="590" t="s">
        <v>114</v>
      </c>
      <c r="F8" s="590" t="s">
        <v>114</v>
      </c>
      <c r="G8" s="590" t="s">
        <v>114</v>
      </c>
      <c r="H8" s="590" t="s">
        <v>114</v>
      </c>
      <c r="I8" s="590" t="s">
        <v>114</v>
      </c>
      <c r="J8" s="590" t="s">
        <v>114</v>
      </c>
      <c r="K8" s="590" t="s">
        <v>114</v>
      </c>
      <c r="L8" s="590" t="s">
        <v>220</v>
      </c>
      <c r="M8" s="590" t="s">
        <v>220</v>
      </c>
    </row>
    <row r="9" spans="1:13">
      <c r="A9" s="457" t="s">
        <v>117</v>
      </c>
      <c r="B9" s="591">
        <v>1.23E-2</v>
      </c>
      <c r="C9" s="591">
        <v>1.23E-2</v>
      </c>
      <c r="D9" s="591">
        <v>1.23E-2</v>
      </c>
      <c r="E9" s="591">
        <v>1.23E-2</v>
      </c>
      <c r="F9" s="591">
        <v>1.23E-2</v>
      </c>
      <c r="G9" s="591">
        <v>1.23E-2</v>
      </c>
      <c r="H9" s="591">
        <v>1.23E-2</v>
      </c>
      <c r="I9" s="591">
        <v>1.23E-2</v>
      </c>
      <c r="J9" s="591">
        <v>1.23E-2</v>
      </c>
      <c r="K9" s="591"/>
      <c r="L9" s="591"/>
      <c r="M9" s="591"/>
    </row>
    <row r="10" spans="1:13">
      <c r="A10" s="457" t="s">
        <v>118</v>
      </c>
      <c r="B10" s="591">
        <v>0</v>
      </c>
      <c r="C10" s="591">
        <v>0</v>
      </c>
      <c r="D10" s="591">
        <v>0</v>
      </c>
      <c r="E10" s="591">
        <v>0</v>
      </c>
      <c r="F10" s="591">
        <v>0</v>
      </c>
      <c r="G10" s="591">
        <v>0</v>
      </c>
      <c r="H10" s="591">
        <v>0</v>
      </c>
      <c r="I10" s="591">
        <v>0</v>
      </c>
      <c r="J10" s="591">
        <v>0</v>
      </c>
      <c r="K10" s="591"/>
      <c r="L10" s="591"/>
      <c r="M10" s="591"/>
    </row>
    <row r="11" spans="1:13">
      <c r="A11" s="592" t="s">
        <v>221</v>
      </c>
      <c r="B11" s="591">
        <v>0</v>
      </c>
      <c r="C11" s="591">
        <v>0</v>
      </c>
      <c r="D11" s="591">
        <v>0</v>
      </c>
      <c r="E11" s="591">
        <v>0</v>
      </c>
      <c r="F11" s="591">
        <v>0</v>
      </c>
      <c r="G11" s="591">
        <v>0</v>
      </c>
      <c r="H11" s="591">
        <v>0</v>
      </c>
      <c r="I11" s="591">
        <v>0</v>
      </c>
      <c r="J11" s="591">
        <v>0</v>
      </c>
      <c r="K11" s="591"/>
      <c r="L11" s="591"/>
      <c r="M11" s="591"/>
    </row>
    <row r="12" spans="1:13">
      <c r="A12" s="592" t="s">
        <v>222</v>
      </c>
      <c r="B12" s="591">
        <v>0</v>
      </c>
      <c r="C12" s="591">
        <v>0</v>
      </c>
      <c r="D12" s="591">
        <v>0</v>
      </c>
      <c r="E12" s="591">
        <v>0</v>
      </c>
      <c r="F12" s="591">
        <v>0</v>
      </c>
      <c r="G12" s="591">
        <v>0</v>
      </c>
      <c r="H12" s="591">
        <v>0</v>
      </c>
      <c r="I12" s="591">
        <v>0</v>
      </c>
      <c r="J12" s="591">
        <v>0</v>
      </c>
      <c r="K12" s="591"/>
      <c r="L12" s="591"/>
      <c r="M12" s="591"/>
    </row>
    <row r="13" spans="1:13" s="37" customFormat="1" ht="12.95">
      <c r="A13" s="458" t="s">
        <v>119</v>
      </c>
      <c r="B13" s="430">
        <f t="shared" ref="B13:G13" si="0">SUM(B9:B12)</f>
        <v>1.23E-2</v>
      </c>
      <c r="C13" s="430">
        <f t="shared" si="0"/>
        <v>1.23E-2</v>
      </c>
      <c r="D13" s="430">
        <f t="shared" si="0"/>
        <v>1.23E-2</v>
      </c>
      <c r="E13" s="430">
        <f t="shared" si="0"/>
        <v>1.23E-2</v>
      </c>
      <c r="F13" s="430">
        <f>SUM(F9:F12)</f>
        <v>1.23E-2</v>
      </c>
      <c r="G13" s="430">
        <f t="shared" si="0"/>
        <v>1.23E-2</v>
      </c>
      <c r="H13" s="567">
        <f t="shared" ref="H13" si="1">SUM(H9:H12)</f>
        <v>1.23E-2</v>
      </c>
      <c r="I13" s="567">
        <f>SUM(I9:I12)</f>
        <v>1.23E-2</v>
      </c>
      <c r="J13" s="567">
        <f>SUM(J9:J12)</f>
        <v>1.23E-2</v>
      </c>
      <c r="K13" s="567">
        <f>SUM(K9:K12)</f>
        <v>0</v>
      </c>
      <c r="L13" s="567">
        <f>SUM(L9:L12)</f>
        <v>0</v>
      </c>
      <c r="M13" s="567">
        <f>SUM(M9:M12)</f>
        <v>0</v>
      </c>
    </row>
    <row r="14" spans="1:13" s="45" customFormat="1" ht="12.95">
      <c r="A14" s="37"/>
      <c r="B14" s="41"/>
      <c r="C14" s="43"/>
      <c r="D14" s="43"/>
      <c r="E14" s="43"/>
      <c r="F14" s="43"/>
      <c r="G14" s="43"/>
    </row>
    <row r="15" spans="1:13" ht="14.1">
      <c r="A15" s="151" t="s">
        <v>68</v>
      </c>
      <c r="G15" s="39"/>
    </row>
    <row r="16" spans="1:13" ht="15.6">
      <c r="A16" s="237" t="s">
        <v>223</v>
      </c>
      <c r="B16" s="108"/>
      <c r="C16" s="108"/>
      <c r="D16" s="182"/>
      <c r="E16" s="182"/>
      <c r="F16" s="182"/>
      <c r="G16" s="108"/>
      <c r="H16" s="108"/>
      <c r="I16" s="108"/>
      <c r="J16" s="108"/>
      <c r="K16" s="108"/>
    </row>
    <row r="17" spans="1:14" ht="15.6">
      <c r="A17" s="236"/>
    </row>
    <row r="20" spans="1:14" ht="21.75" customHeight="1">
      <c r="A20" s="59"/>
      <c r="B20" s="455" t="s">
        <v>10</v>
      </c>
      <c r="C20" s="455" t="s">
        <v>28</v>
      </c>
      <c r="D20" s="455" t="s">
        <v>43</v>
      </c>
      <c r="E20" s="455" t="s">
        <v>44</v>
      </c>
      <c r="F20" s="455" t="s">
        <v>218</v>
      </c>
      <c r="G20" s="455" t="s">
        <v>45</v>
      </c>
      <c r="H20" s="455" t="s">
        <v>58</v>
      </c>
      <c r="I20" s="455" t="s">
        <v>59</v>
      </c>
      <c r="J20" s="455" t="s">
        <v>60</v>
      </c>
      <c r="K20" s="455" t="s">
        <v>61</v>
      </c>
      <c r="L20" s="455" t="s">
        <v>62</v>
      </c>
      <c r="M20" s="588" t="s">
        <v>63</v>
      </c>
      <c r="N20" s="220"/>
    </row>
    <row r="21" spans="1:14" ht="51.95">
      <c r="A21" s="593" t="s">
        <v>219</v>
      </c>
      <c r="B21" s="590" t="s">
        <v>224</v>
      </c>
      <c r="C21" s="590" t="str">
        <f>B21</f>
        <v>Technology Deployment- Residential MWs</v>
      </c>
      <c r="D21" s="590" t="str">
        <f>B21</f>
        <v>Technology Deployment- Residential MWs</v>
      </c>
      <c r="E21" s="590" t="str">
        <f t="shared" ref="E21:M21" si="2">C21</f>
        <v>Technology Deployment- Residential MWs</v>
      </c>
      <c r="F21" s="590" t="str">
        <f t="shared" si="2"/>
        <v>Technology Deployment- Residential MWs</v>
      </c>
      <c r="G21" s="590" t="str">
        <f t="shared" si="2"/>
        <v>Technology Deployment- Residential MWs</v>
      </c>
      <c r="H21" s="590" t="str">
        <f t="shared" si="2"/>
        <v>Technology Deployment- Residential MWs</v>
      </c>
      <c r="I21" s="590" t="str">
        <f t="shared" si="2"/>
        <v>Technology Deployment- Residential MWs</v>
      </c>
      <c r="J21" s="590" t="str">
        <f t="shared" si="2"/>
        <v>Technology Deployment- Residential MWs</v>
      </c>
      <c r="K21" s="590" t="str">
        <f t="shared" si="2"/>
        <v>Technology Deployment- Residential MWs</v>
      </c>
      <c r="L21" s="590" t="str">
        <f t="shared" si="2"/>
        <v>Technology Deployment- Residential MWs</v>
      </c>
      <c r="M21" s="590" t="str">
        <f t="shared" si="2"/>
        <v>Technology Deployment- Residential MWs</v>
      </c>
      <c r="N21" s="220"/>
    </row>
    <row r="22" spans="1:14">
      <c r="A22" s="592" t="s">
        <v>17</v>
      </c>
      <c r="B22" s="614">
        <f>('Ex post LI &amp; Eligibility Stats'!B11*15879)/1000</f>
        <v>4.7682275910079479</v>
      </c>
      <c r="C22" s="614">
        <f>('Ex post LI &amp; Eligibility Stats'!C11*16220)/1000</f>
        <v>4.8706248205900193</v>
      </c>
      <c r="D22" s="563">
        <f>('Ex post LI &amp; Eligibility Stats'!D11*16662)/1000</f>
        <v>5.0033508483767513</v>
      </c>
      <c r="E22" s="563">
        <f>('Ex post LI &amp; Eligibility Stats'!E11*16958)/1000</f>
        <v>6.8814338406324387</v>
      </c>
      <c r="F22" s="563">
        <f>('Ex post LI &amp; Eligibility Stats'!F11*17137)/1000</f>
        <v>6.9540707469582559</v>
      </c>
      <c r="G22" s="563">
        <f>('Ex post LI &amp; Eligibility Stats'!G11*17219)/1000</f>
        <v>6.9873457543253901</v>
      </c>
      <c r="H22" s="563">
        <f>('Ex post LI &amp; Eligibility Stats'!H11*17808)/1000</f>
        <v>7.2263576974868773</v>
      </c>
      <c r="I22" s="563">
        <f>('Ex post LI &amp; Eligibility Stats'!I11*18625)/1000</f>
        <v>7.5578903928399086</v>
      </c>
      <c r="J22" s="563">
        <f>('Ex post LI &amp; Eligibility Stats'!J11*19161)/1000</f>
        <v>7.7753953190445904</v>
      </c>
      <c r="K22" s="563"/>
      <c r="L22" s="563"/>
      <c r="M22" s="563"/>
      <c r="N22" s="220"/>
    </row>
    <row r="23" spans="1:14">
      <c r="A23" s="592" t="s">
        <v>27</v>
      </c>
      <c r="B23" s="614">
        <f>('Ex post LI &amp; Eligibility Stats'!B17*1045)/1000</f>
        <v>0.17463038755276492</v>
      </c>
      <c r="C23" s="614">
        <f>('Ex post LI &amp; Eligibility Stats'!C17*1058)/1000</f>
        <v>0.17680282299600505</v>
      </c>
      <c r="D23" s="563">
        <f>('Ex post LI &amp; Eligibility Stats'!D17*1071)/1000</f>
        <v>0.17897525843924522</v>
      </c>
      <c r="E23" s="563">
        <f>('Ex post LI &amp; Eligibility Stats'!E17*1073)/1000</f>
        <v>6.4164389141834879E-2</v>
      </c>
      <c r="F23" s="563">
        <f>('Ex post LI &amp; Eligibility Stats'!F17*1078)/1000</f>
        <v>6.4463384431405396E-2</v>
      </c>
      <c r="G23" s="563">
        <f>('Ex post LI &amp; Eligibility Stats'!G17*1042)/1000</f>
        <v>6.2310618346497613E-2</v>
      </c>
      <c r="H23" s="563">
        <f>('Ex post LI &amp; Eligibility Stats'!H17*1056)/1000</f>
        <v>6.3147805157295095E-2</v>
      </c>
      <c r="I23" s="563">
        <f>('Ex post LI &amp; Eligibility Stats'!I17*1083)/1000</f>
        <v>6.4762379720975927E-2</v>
      </c>
      <c r="J23" s="563">
        <f>('Ex post LI &amp; Eligibility Stats'!J17*538)/1000</f>
        <v>3.2171893157788595E-2</v>
      </c>
      <c r="K23" s="563"/>
      <c r="L23" s="563"/>
      <c r="M23" s="563"/>
    </row>
    <row r="24" spans="1:14">
      <c r="A24" s="592" t="s">
        <v>222</v>
      </c>
      <c r="B24" s="614">
        <f>('Ex post LI &amp; Eligibility Stats'!B11*897)/1000</f>
        <v>0.26935576227307317</v>
      </c>
      <c r="C24" s="614">
        <f>('Ex post LI &amp; Eligibility Stats'!C11*917)/1000</f>
        <v>0.27536146488785745</v>
      </c>
      <c r="D24" s="613">
        <f>('Ex post LI &amp; Eligibility Stats'!D11*946)/1000</f>
        <v>0.28406973367929461</v>
      </c>
      <c r="E24" s="613">
        <f>('Ex post LI &amp; Eligibility Stats'!E11*983)/1000</f>
        <v>0.39889429563283918</v>
      </c>
      <c r="F24" s="624">
        <f>('Ex post LI &amp; Eligibility Stats'!F11*1016)/1000</f>
        <v>0.4122854571342468</v>
      </c>
      <c r="G24" s="625">
        <f>('Ex post LI &amp; Eligibility Stats'!G11*1052)/1000</f>
        <v>0.42689399695396424</v>
      </c>
      <c r="H24" s="625">
        <f>('Ex post LI &amp; Eligibility Stats'!H11*1146)/1000</f>
        <v>0.46503851759433745</v>
      </c>
      <c r="I24" s="625">
        <f>('Ex post LI &amp; Eligibility Stats'!I11*1236)/1000</f>
        <v>0.50155986714363099</v>
      </c>
      <c r="J24" s="625">
        <f>('Ex post LI &amp; Eligibility Stats'!J11*1330)/1000</f>
        <v>0.5397043877840042</v>
      </c>
      <c r="K24" s="563"/>
      <c r="L24" s="563"/>
      <c r="M24" s="563"/>
    </row>
    <row r="25" spans="1:14" s="37" customFormat="1" ht="12.95">
      <c r="A25" s="458" t="s">
        <v>119</v>
      </c>
      <c r="B25" s="430">
        <f t="shared" ref="B25:H25" si="3">SUM(B22:B24)</f>
        <v>5.2122137408337856</v>
      </c>
      <c r="C25" s="567">
        <f t="shared" si="3"/>
        <v>5.3227891084738816</v>
      </c>
      <c r="D25" s="567">
        <f t="shared" si="3"/>
        <v>5.4663958404952915</v>
      </c>
      <c r="E25" s="567">
        <f t="shared" ref="E25" si="4">SUM(E22:E24)</f>
        <v>7.3444925254071132</v>
      </c>
      <c r="F25" s="567">
        <f t="shared" ref="F25" si="5">SUM(F22:F24)</f>
        <v>7.4308195885239083</v>
      </c>
      <c r="G25" s="567">
        <f t="shared" si="3"/>
        <v>7.4765503696258522</v>
      </c>
      <c r="H25" s="567">
        <f t="shared" si="3"/>
        <v>7.7545440202385105</v>
      </c>
      <c r="I25" s="567">
        <f t="shared" ref="I25:J25" si="6">SUM(I22:I24)</f>
        <v>8.1242126397045151</v>
      </c>
      <c r="J25" s="567">
        <f t="shared" si="6"/>
        <v>8.3472715999863834</v>
      </c>
      <c r="K25" s="567">
        <f>SUM(K22:K24)</f>
        <v>0</v>
      </c>
      <c r="L25" s="567">
        <f>SUM(L22:L24)</f>
        <v>0</v>
      </c>
      <c r="M25" s="567">
        <f>SUM(M22:M24)</f>
        <v>0</v>
      </c>
    </row>
    <row r="26" spans="1:14" s="45" customFormat="1" ht="12.95">
      <c r="A26" s="37"/>
      <c r="B26" s="41"/>
      <c r="C26" s="43"/>
      <c r="D26" s="43"/>
      <c r="E26" s="43"/>
      <c r="F26" s="43"/>
      <c r="G26" s="43"/>
    </row>
    <row r="27" spans="1:14" ht="14.1">
      <c r="A27" s="151" t="s">
        <v>68</v>
      </c>
      <c r="G27" s="39"/>
    </row>
    <row r="28" spans="1:14" ht="15.6">
      <c r="A28" s="235" t="s">
        <v>225</v>
      </c>
      <c r="G28" s="39"/>
    </row>
    <row r="29" spans="1:14" ht="15.6">
      <c r="A29" s="236"/>
      <c r="C29" s="39"/>
      <c r="D29" s="39"/>
      <c r="E29" s="39"/>
      <c r="F29" s="39"/>
      <c r="G29" s="39"/>
    </row>
    <row r="30" spans="1:14">
      <c r="C30" s="39"/>
      <c r="D30" s="39"/>
      <c r="E30" s="39"/>
      <c r="F30" s="39"/>
      <c r="G30" s="39"/>
    </row>
    <row r="31" spans="1:14" ht="21.75" customHeight="1">
      <c r="A31" s="59"/>
      <c r="B31" s="455" t="s">
        <v>10</v>
      </c>
      <c r="C31" s="455" t="s">
        <v>28</v>
      </c>
      <c r="D31" s="455" t="s">
        <v>43</v>
      </c>
      <c r="E31" s="455" t="s">
        <v>44</v>
      </c>
      <c r="F31" s="455" t="s">
        <v>218</v>
      </c>
      <c r="G31" s="455" t="s">
        <v>45</v>
      </c>
      <c r="H31" s="455" t="s">
        <v>58</v>
      </c>
      <c r="I31" s="455" t="s">
        <v>59</v>
      </c>
      <c r="J31" s="455" t="s">
        <v>60</v>
      </c>
      <c r="K31" s="455" t="s">
        <v>61</v>
      </c>
      <c r="L31" s="455" t="s">
        <v>62</v>
      </c>
      <c r="M31" s="588" t="s">
        <v>63</v>
      </c>
    </row>
    <row r="32" spans="1:14" ht="51.95">
      <c r="A32" s="593" t="s">
        <v>219</v>
      </c>
      <c r="B32" s="590" t="s">
        <v>226</v>
      </c>
      <c r="C32" s="590" t="str">
        <f>B32</f>
        <v>Technology Deployment- Commercial MWs</v>
      </c>
      <c r="D32" s="590" t="str">
        <f>B32</f>
        <v>Technology Deployment- Commercial MWs</v>
      </c>
      <c r="E32" s="590" t="str">
        <f t="shared" ref="E32" si="7">C32</f>
        <v>Technology Deployment- Commercial MWs</v>
      </c>
      <c r="F32" s="590" t="str">
        <f t="shared" ref="F32" si="8">D32</f>
        <v>Technology Deployment- Commercial MWs</v>
      </c>
      <c r="G32" s="590" t="str">
        <f t="shared" ref="G32" si="9">E32</f>
        <v>Technology Deployment- Commercial MWs</v>
      </c>
      <c r="H32" s="590" t="str">
        <f t="shared" ref="H32" si="10">F32</f>
        <v>Technology Deployment- Commercial MWs</v>
      </c>
      <c r="I32" s="590" t="s">
        <v>227</v>
      </c>
      <c r="J32" s="590" t="str">
        <f t="shared" ref="J32" si="11">H32</f>
        <v>Technology Deployment- Commercial MWs</v>
      </c>
      <c r="K32" s="590" t="str">
        <f>B32</f>
        <v>Technology Deployment- Commercial MWs</v>
      </c>
      <c r="L32" s="590" t="s">
        <v>227</v>
      </c>
      <c r="M32" s="590" t="str">
        <f t="shared" ref="M32" si="12">K32</f>
        <v>Technology Deployment- Commercial MWs</v>
      </c>
    </row>
    <row r="33" spans="1:13">
      <c r="A33" s="592" t="s">
        <v>20</v>
      </c>
      <c r="B33" s="614">
        <f>('Ex post LI &amp; Eligibility Stats'!B12*296)/1000</f>
        <v>0.13729801845550538</v>
      </c>
      <c r="C33" s="614">
        <f>('Ex post LI &amp; Eligibility Stats'!C12*295)/1000</f>
        <v>0.13683417379856111</v>
      </c>
      <c r="D33" s="563">
        <f>('Ex post LI &amp; Eligibility Stats'!D12*295)/1000</f>
        <v>0.13683417379856111</v>
      </c>
      <c r="E33" s="563">
        <f>('Ex post LI &amp; Eligibility Stats'!E12*293)/1000</f>
        <v>0.27325568330287936</v>
      </c>
      <c r="F33" s="563">
        <f>('Ex post LI &amp; Eligibility Stats'!F12*291)/1000</f>
        <v>0.27139045679569246</v>
      </c>
      <c r="G33" s="563">
        <f>('Ex post LI &amp; Eligibility Stats'!G12*272)/1000</f>
        <v>0.25367080497741701</v>
      </c>
      <c r="H33" s="563">
        <f>('Ex post LI &amp; Eligibility Stats'!H12*164)/1000</f>
        <v>0.15294857358932495</v>
      </c>
      <c r="I33" s="563">
        <f>('Ex post LI &amp; Eligibility Stats'!I12*164)/1000</f>
        <v>0.15294857358932495</v>
      </c>
      <c r="J33" s="563">
        <f>('Ex post LI &amp; Eligibility Stats'!J12*162)/1000</f>
        <v>0.15108334708213805</v>
      </c>
      <c r="K33" s="563"/>
      <c r="L33" s="563"/>
      <c r="M33" s="563"/>
    </row>
    <row r="34" spans="1:13">
      <c r="A34" s="592" t="s">
        <v>26</v>
      </c>
      <c r="B34" s="614">
        <f>('Ex post LI &amp; Eligibility Stats'!B18*386)/1000</f>
        <v>1.9286180694548325E-2</v>
      </c>
      <c r="C34" s="614">
        <f>('Ex post LI &amp; Eligibility Stats'!C18*382)/1000</f>
        <v>1.9086323899786165E-2</v>
      </c>
      <c r="D34" s="563">
        <f>('Ex post LI &amp; Eligibility Stats'!D18*375)/1000</f>
        <v>1.8736574508952386E-2</v>
      </c>
      <c r="E34" s="563">
        <f>('Ex post LI &amp; Eligibility Stats'!E18*374)/1000</f>
        <v>1.7241725598209636E-3</v>
      </c>
      <c r="F34" s="563">
        <f>('Ex post LI &amp; Eligibility Stats'!F18*372)/1000</f>
        <v>1.7149523857042741E-3</v>
      </c>
      <c r="G34" s="563">
        <f>('Ex post LI &amp; Eligibility Stats'!G18*349)/1000</f>
        <v>1.6089203833623432E-3</v>
      </c>
      <c r="H34" s="563">
        <f>('Ex post LI &amp; Eligibility Stats'!H18*302)/1000</f>
        <v>1.3922462916201364E-3</v>
      </c>
      <c r="I34" s="563">
        <f>('Ex post LI &amp; Eligibility Stats'!I18*302)/1000</f>
        <v>1.3922462916201364E-3</v>
      </c>
      <c r="J34" s="563">
        <f>('Ex post LI &amp; Eligibility Stats'!J18*191)/1000</f>
        <v>8.8052662814386111E-4</v>
      </c>
      <c r="K34" s="563"/>
      <c r="L34" s="563"/>
      <c r="M34" s="563"/>
    </row>
    <row r="35" spans="1:13">
      <c r="A35" s="594" t="s">
        <v>55</v>
      </c>
      <c r="B35" s="614">
        <f>('Ex post LI &amp; Eligibility Stats'!B19*0)/1000</f>
        <v>0</v>
      </c>
      <c r="C35" s="614">
        <f>('Ex post LI &amp; Eligibility Stats'!C19*0)/1000</f>
        <v>0</v>
      </c>
      <c r="D35" s="563">
        <f>'Ex post LI &amp; Eligibility Stats'!D19*0/1000</f>
        <v>0</v>
      </c>
      <c r="E35" s="563">
        <f>'Ex post LI &amp; Eligibility Stats'!E19*0/1000</f>
        <v>0</v>
      </c>
      <c r="F35" s="563">
        <f>'Ex post LI &amp; Eligibility Stats'!F19*0/1000</f>
        <v>0</v>
      </c>
      <c r="G35" s="563">
        <f>'Ex post LI &amp; Eligibility Stats'!G19*0/1000</f>
        <v>0</v>
      </c>
      <c r="H35" s="563">
        <f>'Ex post LI &amp; Eligibility Stats'!H19*0/1000</f>
        <v>0</v>
      </c>
      <c r="I35" s="563">
        <f>'Ex post LI &amp; Eligibility Stats'!I19*0/1000</f>
        <v>0</v>
      </c>
      <c r="J35" s="563">
        <f>'Ex post LI &amp; Eligibility Stats'!J19*0/1000</f>
        <v>0</v>
      </c>
      <c r="K35" s="563"/>
      <c r="L35" s="563"/>
      <c r="M35" s="563"/>
    </row>
    <row r="36" spans="1:13">
      <c r="A36" s="592" t="s">
        <v>117</v>
      </c>
      <c r="B36" s="614">
        <f>('Ex post LI &amp; Eligibility Stats'!B12*223)/1000</f>
        <v>0.1034373584985733</v>
      </c>
      <c r="C36" s="614">
        <f>('Ex post LI &amp; Eligibility Stats'!C12*222)/1000</f>
        <v>0.10297351384162903</v>
      </c>
      <c r="D36" s="563">
        <f>('Ex post LI &amp; Eligibility Stats'!D12*222)/1000</f>
        <v>0.10297351384162903</v>
      </c>
      <c r="E36" s="563">
        <f>('Ex post LI &amp; Eligibility Stats'!E12*222)/1000</f>
        <v>0.20704014229774476</v>
      </c>
      <c r="F36" s="563">
        <f>('Ex post LI &amp; Eligibility Stats'!F12*220)/1000</f>
        <v>0.20517491579055785</v>
      </c>
      <c r="G36" s="563">
        <f>('Ex post LI &amp; Eligibility Stats'!G12*181)/1000</f>
        <v>0.1688029989004135</v>
      </c>
      <c r="H36" s="563">
        <f>('Ex post LI &amp; Eligibility Stats'!H12*88)/1000</f>
        <v>8.2069966316223139E-2</v>
      </c>
      <c r="I36" s="563">
        <f>('Ex post LI &amp; Eligibility Stats'!I12*88)/1000</f>
        <v>8.2069966316223139E-2</v>
      </c>
      <c r="J36" s="563">
        <f>('Ex post LI &amp; Eligibility Stats'!J12*48)/1000</f>
        <v>4.4765436172485351E-2</v>
      </c>
      <c r="K36" s="563"/>
      <c r="L36" s="563"/>
      <c r="M36" s="563"/>
    </row>
    <row r="37" spans="1:13">
      <c r="A37" s="592" t="s">
        <v>118</v>
      </c>
      <c r="B37" s="614">
        <f>('Ex post LI &amp; Eligibility Stats'!B12*0)/1000</f>
        <v>0</v>
      </c>
      <c r="C37" s="614">
        <f>('Ex post LI &amp; Eligibility Stats'!C12*0)/1000</f>
        <v>0</v>
      </c>
      <c r="D37" s="563">
        <f>('Ex post LI &amp; Eligibility Stats'!D12*0)/1000</f>
        <v>0</v>
      </c>
      <c r="E37" s="563">
        <f>('Ex post LI &amp; Eligibility Stats'!E12*0)/1000</f>
        <v>0</v>
      </c>
      <c r="F37" s="563">
        <f>('Ex post LI &amp; Eligibility Stats'!F12*0)/1000</f>
        <v>0</v>
      </c>
      <c r="G37" s="563">
        <f>('Ex post LI &amp; Eligibility Stats'!G12*0)/1000</f>
        <v>0</v>
      </c>
      <c r="H37" s="563">
        <f>('Ex post LI &amp; Eligibility Stats'!H12*0)/1000</f>
        <v>0</v>
      </c>
      <c r="I37" s="563">
        <f>('Ex post LI &amp; Eligibility Stats'!I12*0)/1000</f>
        <v>0</v>
      </c>
      <c r="J37" s="563">
        <f>('Ex post LI &amp; Eligibility Stats'!J12*0)/1000</f>
        <v>0</v>
      </c>
      <c r="K37" s="563"/>
      <c r="L37" s="563"/>
      <c r="M37" s="563"/>
    </row>
    <row r="38" spans="1:13">
      <c r="A38" s="592" t="s">
        <v>221</v>
      </c>
      <c r="B38" s="613" t="s">
        <v>228</v>
      </c>
      <c r="C38" s="613" t="s">
        <v>228</v>
      </c>
      <c r="D38" s="613" t="s">
        <v>228</v>
      </c>
      <c r="E38" s="613" t="s">
        <v>228</v>
      </c>
      <c r="F38" s="613" t="s">
        <v>228</v>
      </c>
      <c r="G38" s="613" t="s">
        <v>228</v>
      </c>
      <c r="H38" s="613" t="s">
        <v>228</v>
      </c>
      <c r="I38" s="613" t="s">
        <v>228</v>
      </c>
      <c r="J38" s="613" t="s">
        <v>228</v>
      </c>
      <c r="K38" s="613" t="s">
        <v>228</v>
      </c>
      <c r="L38" s="613" t="s">
        <v>228</v>
      </c>
      <c r="M38" s="613" t="s">
        <v>228</v>
      </c>
    </row>
    <row r="39" spans="1:13">
      <c r="A39" s="592" t="s">
        <v>222</v>
      </c>
      <c r="B39" s="614">
        <f>('Ex post LI &amp; Eligibility Stats'!B12*0)/1000</f>
        <v>0</v>
      </c>
      <c r="C39" s="614">
        <f>('Ex post LI &amp; Eligibility Stats'!C12*0)/1000</f>
        <v>0</v>
      </c>
      <c r="D39" s="613">
        <f>('Ex post LI &amp; Eligibility Stats'!D12*0)/1000</f>
        <v>0</v>
      </c>
      <c r="E39" s="613">
        <f>('Ex post LI &amp; Eligibility Stats'!E12*0)/1000</f>
        <v>0</v>
      </c>
      <c r="F39" s="613">
        <f>('Ex post LI &amp; Eligibility Stats'!F12*0)/1000</f>
        <v>0</v>
      </c>
      <c r="G39" s="563">
        <f>('Ex post LI &amp; Eligibility Stats'!G12*0)/1000</f>
        <v>0</v>
      </c>
      <c r="H39" s="563">
        <f>('Ex post LI &amp; Eligibility Stats'!H12*0)/1000</f>
        <v>0</v>
      </c>
      <c r="I39" s="563">
        <f>('Ex post LI &amp; Eligibility Stats'!I12*0)/1000</f>
        <v>0</v>
      </c>
      <c r="J39" s="563">
        <f>('Ex post LI &amp; Eligibility Stats'!J12*0)/1000</f>
        <v>0</v>
      </c>
      <c r="K39" s="563"/>
      <c r="L39" s="563"/>
      <c r="M39" s="563"/>
    </row>
    <row r="40" spans="1:13" s="37" customFormat="1" ht="12.95">
      <c r="A40" s="458" t="s">
        <v>119</v>
      </c>
      <c r="B40" s="430">
        <f t="shared" ref="B40:C40" si="13">SUM(B33:B39)</f>
        <v>0.260021557648627</v>
      </c>
      <c r="C40" s="430">
        <f t="shared" si="13"/>
        <v>0.25889401153997627</v>
      </c>
      <c r="D40" s="430">
        <f t="shared" ref="D40:I40" si="14">SUM(D33:D39)</f>
        <v>0.2585442621491425</v>
      </c>
      <c r="E40" s="430">
        <f t="shared" ref="E40" si="15">SUM(E33:E39)</f>
        <v>0.48201999816044511</v>
      </c>
      <c r="F40" s="430">
        <f t="shared" ref="F40" si="16">SUM(F33:F39)</f>
        <v>0.47828032497195461</v>
      </c>
      <c r="G40" s="430">
        <f t="shared" si="14"/>
        <v>0.42408272426119287</v>
      </c>
      <c r="H40" s="430">
        <f t="shared" si="14"/>
        <v>0.23641078619716821</v>
      </c>
      <c r="I40" s="430">
        <f t="shared" si="14"/>
        <v>0.23641078619716821</v>
      </c>
      <c r="J40" s="430">
        <f t="shared" ref="J40" si="17">SUM(J33:J39)</f>
        <v>0.19672930988276727</v>
      </c>
      <c r="K40" s="430">
        <f>SUM(K33:K39)</f>
        <v>0</v>
      </c>
      <c r="L40" s="430">
        <f>SUM(L33:L39)</f>
        <v>0</v>
      </c>
      <c r="M40" s="430">
        <f>SUM(M33:M39)</f>
        <v>0</v>
      </c>
    </row>
    <row r="41" spans="1:13">
      <c r="C41" s="39"/>
      <c r="D41" s="39"/>
      <c r="E41" s="39"/>
      <c r="F41" s="39"/>
      <c r="G41" s="39"/>
    </row>
    <row r="42" spans="1:13" ht="14.1">
      <c r="A42" s="151" t="s">
        <v>68</v>
      </c>
      <c r="G42" s="39"/>
    </row>
    <row r="43" spans="1:13" ht="14.1">
      <c r="A43" s="277" t="s">
        <v>229</v>
      </c>
      <c r="B43" s="108"/>
      <c r="C43" s="108"/>
      <c r="D43" s="182"/>
      <c r="E43" s="182"/>
      <c r="F43" s="182"/>
      <c r="G43" s="108"/>
      <c r="H43" s="108"/>
      <c r="I43" s="108"/>
      <c r="J43" s="108"/>
      <c r="K43" s="108"/>
    </row>
    <row r="44" spans="1:13" ht="14.1">
      <c r="A44" s="152" t="s">
        <v>84</v>
      </c>
    </row>
    <row r="46" spans="1:13" ht="14.45">
      <c r="A46" s="78" t="s">
        <v>67</v>
      </c>
    </row>
    <row r="48" spans="1:13">
      <c r="A48" s="116"/>
    </row>
  </sheetData>
  <mergeCells count="2">
    <mergeCell ref="B3:M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55"/>
  <sheetViews>
    <sheetView tabSelected="1" zoomScale="70" zoomScaleNormal="70" workbookViewId="0">
      <pane xSplit="1" ySplit="7" topLeftCell="J25" activePane="bottomRight" state="frozen"/>
      <selection pane="bottomRight" activeCell="A40" sqref="A40"/>
      <selection pane="bottomLeft" activeCell="C11" sqref="C11"/>
      <selection pane="topRight" activeCell="C11" sqref="C11"/>
    </sheetView>
  </sheetViews>
  <sheetFormatPr defaultRowHeight="12"/>
  <cols>
    <col min="1" max="1" width="64" style="165" customWidth="1"/>
    <col min="2" max="3" width="12.7109375" style="165" customWidth="1"/>
    <col min="4" max="4" width="12.28515625" style="165" bestFit="1" customWidth="1"/>
    <col min="5" max="6" width="12.7109375" style="165" customWidth="1"/>
    <col min="7" max="7" width="14.85546875" style="165" bestFit="1" customWidth="1"/>
    <col min="8" max="10" width="12.7109375" style="165" customWidth="1"/>
    <col min="11" max="11" width="10.7109375" style="165" customWidth="1"/>
    <col min="12" max="13" width="12.7109375" style="165" customWidth="1"/>
    <col min="14" max="15" width="16.5703125" style="165" customWidth="1"/>
    <col min="16" max="16" width="16.5703125" style="165" hidden="1" customWidth="1"/>
    <col min="17" max="17" width="16.5703125" style="165" customWidth="1"/>
    <col min="18" max="256" width="9.28515625" style="165"/>
    <col min="257" max="257" width="70" style="165" customWidth="1"/>
    <col min="258" max="269" width="12.7109375" style="165" customWidth="1"/>
    <col min="270" max="270" width="11" style="165" customWidth="1"/>
    <col min="271" max="271" width="0" style="165" hidden="1" customWidth="1"/>
    <col min="272" max="273" width="11.7109375" style="165" customWidth="1"/>
    <col min="274" max="512" width="9.28515625" style="165"/>
    <col min="513" max="513" width="70" style="165" customWidth="1"/>
    <col min="514" max="525" width="12.7109375" style="165" customWidth="1"/>
    <col min="526" max="526" width="11" style="165" customWidth="1"/>
    <col min="527" max="527" width="0" style="165" hidden="1" customWidth="1"/>
    <col min="528" max="529" width="11.7109375" style="165" customWidth="1"/>
    <col min="530" max="768" width="9.28515625" style="165"/>
    <col min="769" max="769" width="70" style="165" customWidth="1"/>
    <col min="770" max="781" width="12.7109375" style="165" customWidth="1"/>
    <col min="782" max="782" width="11" style="165" customWidth="1"/>
    <col min="783" max="783" width="0" style="165" hidden="1" customWidth="1"/>
    <col min="784" max="785" width="11.7109375" style="165" customWidth="1"/>
    <col min="786" max="1024" width="9.28515625" style="165"/>
    <col min="1025" max="1025" width="70" style="165" customWidth="1"/>
    <col min="1026" max="1037" width="12.7109375" style="165" customWidth="1"/>
    <col min="1038" max="1038" width="11" style="165" customWidth="1"/>
    <col min="1039" max="1039" width="0" style="165" hidden="1" customWidth="1"/>
    <col min="1040" max="1041" width="11.7109375" style="165" customWidth="1"/>
    <col min="1042" max="1280" width="9.28515625" style="165"/>
    <col min="1281" max="1281" width="70" style="165" customWidth="1"/>
    <col min="1282" max="1293" width="12.7109375" style="165" customWidth="1"/>
    <col min="1294" max="1294" width="11" style="165" customWidth="1"/>
    <col min="1295" max="1295" width="0" style="165" hidden="1" customWidth="1"/>
    <col min="1296" max="1297" width="11.7109375" style="165" customWidth="1"/>
    <col min="1298" max="1536" width="9.28515625" style="165"/>
    <col min="1537" max="1537" width="70" style="165" customWidth="1"/>
    <col min="1538" max="1549" width="12.7109375" style="165" customWidth="1"/>
    <col min="1550" max="1550" width="11" style="165" customWidth="1"/>
    <col min="1551" max="1551" width="0" style="165" hidden="1" customWidth="1"/>
    <col min="1552" max="1553" width="11.7109375" style="165" customWidth="1"/>
    <col min="1554" max="1792" width="9.28515625" style="165"/>
    <col min="1793" max="1793" width="70" style="165" customWidth="1"/>
    <col min="1794" max="1805" width="12.7109375" style="165" customWidth="1"/>
    <col min="1806" max="1806" width="11" style="165" customWidth="1"/>
    <col min="1807" max="1807" width="0" style="165" hidden="1" customWidth="1"/>
    <col min="1808" max="1809" width="11.7109375" style="165" customWidth="1"/>
    <col min="1810" max="2048" width="9.28515625" style="165"/>
    <col min="2049" max="2049" width="70" style="165" customWidth="1"/>
    <col min="2050" max="2061" width="12.7109375" style="165" customWidth="1"/>
    <col min="2062" max="2062" width="11" style="165" customWidth="1"/>
    <col min="2063" max="2063" width="0" style="165" hidden="1" customWidth="1"/>
    <col min="2064" max="2065" width="11.7109375" style="165" customWidth="1"/>
    <col min="2066" max="2304" width="9.28515625" style="165"/>
    <col min="2305" max="2305" width="70" style="165" customWidth="1"/>
    <col min="2306" max="2317" width="12.7109375" style="165" customWidth="1"/>
    <col min="2318" max="2318" width="11" style="165" customWidth="1"/>
    <col min="2319" max="2319" width="0" style="165" hidden="1" customWidth="1"/>
    <col min="2320" max="2321" width="11.7109375" style="165" customWidth="1"/>
    <col min="2322" max="2560" width="9.28515625" style="165"/>
    <col min="2561" max="2561" width="70" style="165" customWidth="1"/>
    <col min="2562" max="2573" width="12.7109375" style="165" customWidth="1"/>
    <col min="2574" max="2574" width="11" style="165" customWidth="1"/>
    <col min="2575" max="2575" width="0" style="165" hidden="1" customWidth="1"/>
    <col min="2576" max="2577" width="11.7109375" style="165" customWidth="1"/>
    <col min="2578" max="2816" width="9.28515625" style="165"/>
    <col min="2817" max="2817" width="70" style="165" customWidth="1"/>
    <col min="2818" max="2829" width="12.7109375" style="165" customWidth="1"/>
    <col min="2830" max="2830" width="11" style="165" customWidth="1"/>
    <col min="2831" max="2831" width="0" style="165" hidden="1" customWidth="1"/>
    <col min="2832" max="2833" width="11.7109375" style="165" customWidth="1"/>
    <col min="2834" max="3072" width="9.28515625" style="165"/>
    <col min="3073" max="3073" width="70" style="165" customWidth="1"/>
    <col min="3074" max="3085" width="12.7109375" style="165" customWidth="1"/>
    <col min="3086" max="3086" width="11" style="165" customWidth="1"/>
    <col min="3087" max="3087" width="0" style="165" hidden="1" customWidth="1"/>
    <col min="3088" max="3089" width="11.7109375" style="165" customWidth="1"/>
    <col min="3090" max="3328" width="9.28515625" style="165"/>
    <col min="3329" max="3329" width="70" style="165" customWidth="1"/>
    <col min="3330" max="3341" width="12.7109375" style="165" customWidth="1"/>
    <col min="3342" max="3342" width="11" style="165" customWidth="1"/>
    <col min="3343" max="3343" width="0" style="165" hidden="1" customWidth="1"/>
    <col min="3344" max="3345" width="11.7109375" style="165" customWidth="1"/>
    <col min="3346" max="3584" width="9.28515625" style="165"/>
    <col min="3585" max="3585" width="70" style="165" customWidth="1"/>
    <col min="3586" max="3597" width="12.7109375" style="165" customWidth="1"/>
    <col min="3598" max="3598" width="11" style="165" customWidth="1"/>
    <col min="3599" max="3599" width="0" style="165" hidden="1" customWidth="1"/>
    <col min="3600" max="3601" width="11.7109375" style="165" customWidth="1"/>
    <col min="3602" max="3840" width="9.28515625" style="165"/>
    <col min="3841" max="3841" width="70" style="165" customWidth="1"/>
    <col min="3842" max="3853" width="12.7109375" style="165" customWidth="1"/>
    <col min="3854" max="3854" width="11" style="165" customWidth="1"/>
    <col min="3855" max="3855" width="0" style="165" hidden="1" customWidth="1"/>
    <col min="3856" max="3857" width="11.7109375" style="165" customWidth="1"/>
    <col min="3858" max="4096" width="9.28515625" style="165"/>
    <col min="4097" max="4097" width="70" style="165" customWidth="1"/>
    <col min="4098" max="4109" width="12.7109375" style="165" customWidth="1"/>
    <col min="4110" max="4110" width="11" style="165" customWidth="1"/>
    <col min="4111" max="4111" width="0" style="165" hidden="1" customWidth="1"/>
    <col min="4112" max="4113" width="11.7109375" style="165" customWidth="1"/>
    <col min="4114" max="4352" width="9.28515625" style="165"/>
    <col min="4353" max="4353" width="70" style="165" customWidth="1"/>
    <col min="4354" max="4365" width="12.7109375" style="165" customWidth="1"/>
    <col min="4366" max="4366" width="11" style="165" customWidth="1"/>
    <col min="4367" max="4367" width="0" style="165" hidden="1" customWidth="1"/>
    <col min="4368" max="4369" width="11.7109375" style="165" customWidth="1"/>
    <col min="4370" max="4608" width="9.28515625" style="165"/>
    <col min="4609" max="4609" width="70" style="165" customWidth="1"/>
    <col min="4610" max="4621" width="12.7109375" style="165" customWidth="1"/>
    <col min="4622" max="4622" width="11" style="165" customWidth="1"/>
    <col min="4623" max="4623" width="0" style="165" hidden="1" customWidth="1"/>
    <col min="4624" max="4625" width="11.7109375" style="165" customWidth="1"/>
    <col min="4626" max="4864" width="9.28515625" style="165"/>
    <col min="4865" max="4865" width="70" style="165" customWidth="1"/>
    <col min="4866" max="4877" width="12.7109375" style="165" customWidth="1"/>
    <col min="4878" max="4878" width="11" style="165" customWidth="1"/>
    <col min="4879" max="4879" width="0" style="165" hidden="1" customWidth="1"/>
    <col min="4880" max="4881" width="11.7109375" style="165" customWidth="1"/>
    <col min="4882" max="5120" width="9.28515625" style="165"/>
    <col min="5121" max="5121" width="70" style="165" customWidth="1"/>
    <col min="5122" max="5133" width="12.7109375" style="165" customWidth="1"/>
    <col min="5134" max="5134" width="11" style="165" customWidth="1"/>
    <col min="5135" max="5135" width="0" style="165" hidden="1" customWidth="1"/>
    <col min="5136" max="5137" width="11.7109375" style="165" customWidth="1"/>
    <col min="5138" max="5376" width="9.28515625" style="165"/>
    <col min="5377" max="5377" width="70" style="165" customWidth="1"/>
    <col min="5378" max="5389" width="12.7109375" style="165" customWidth="1"/>
    <col min="5390" max="5390" width="11" style="165" customWidth="1"/>
    <col min="5391" max="5391" width="0" style="165" hidden="1" customWidth="1"/>
    <col min="5392" max="5393" width="11.7109375" style="165" customWidth="1"/>
    <col min="5394" max="5632" width="9.28515625" style="165"/>
    <col min="5633" max="5633" width="70" style="165" customWidth="1"/>
    <col min="5634" max="5645" width="12.7109375" style="165" customWidth="1"/>
    <col min="5646" max="5646" width="11" style="165" customWidth="1"/>
    <col min="5647" max="5647" width="0" style="165" hidden="1" customWidth="1"/>
    <col min="5648" max="5649" width="11.7109375" style="165" customWidth="1"/>
    <col min="5650" max="5888" width="9.28515625" style="165"/>
    <col min="5889" max="5889" width="70" style="165" customWidth="1"/>
    <col min="5890" max="5901" width="12.7109375" style="165" customWidth="1"/>
    <col min="5902" max="5902" width="11" style="165" customWidth="1"/>
    <col min="5903" max="5903" width="0" style="165" hidden="1" customWidth="1"/>
    <col min="5904" max="5905" width="11.7109375" style="165" customWidth="1"/>
    <col min="5906" max="6144" width="9.28515625" style="165"/>
    <col min="6145" max="6145" width="70" style="165" customWidth="1"/>
    <col min="6146" max="6157" width="12.7109375" style="165" customWidth="1"/>
    <col min="6158" max="6158" width="11" style="165" customWidth="1"/>
    <col min="6159" max="6159" width="0" style="165" hidden="1" customWidth="1"/>
    <col min="6160" max="6161" width="11.7109375" style="165" customWidth="1"/>
    <col min="6162" max="6400" width="9.28515625" style="165"/>
    <col min="6401" max="6401" width="70" style="165" customWidth="1"/>
    <col min="6402" max="6413" width="12.7109375" style="165" customWidth="1"/>
    <col min="6414" max="6414" width="11" style="165" customWidth="1"/>
    <col min="6415" max="6415" width="0" style="165" hidden="1" customWidth="1"/>
    <col min="6416" max="6417" width="11.7109375" style="165" customWidth="1"/>
    <col min="6418" max="6656" width="9.28515625" style="165"/>
    <col min="6657" max="6657" width="70" style="165" customWidth="1"/>
    <col min="6658" max="6669" width="12.7109375" style="165" customWidth="1"/>
    <col min="6670" max="6670" width="11" style="165" customWidth="1"/>
    <col min="6671" max="6671" width="0" style="165" hidden="1" customWidth="1"/>
    <col min="6672" max="6673" width="11.7109375" style="165" customWidth="1"/>
    <col min="6674" max="6912" width="9.28515625" style="165"/>
    <col min="6913" max="6913" width="70" style="165" customWidth="1"/>
    <col min="6914" max="6925" width="12.7109375" style="165" customWidth="1"/>
    <col min="6926" max="6926" width="11" style="165" customWidth="1"/>
    <col min="6927" max="6927" width="0" style="165" hidden="1" customWidth="1"/>
    <col min="6928" max="6929" width="11.7109375" style="165" customWidth="1"/>
    <col min="6930" max="7168" width="9.28515625" style="165"/>
    <col min="7169" max="7169" width="70" style="165" customWidth="1"/>
    <col min="7170" max="7181" width="12.7109375" style="165" customWidth="1"/>
    <col min="7182" max="7182" width="11" style="165" customWidth="1"/>
    <col min="7183" max="7183" width="0" style="165" hidden="1" customWidth="1"/>
    <col min="7184" max="7185" width="11.7109375" style="165" customWidth="1"/>
    <col min="7186" max="7424" width="9.28515625" style="165"/>
    <col min="7425" max="7425" width="70" style="165" customWidth="1"/>
    <col min="7426" max="7437" width="12.7109375" style="165" customWidth="1"/>
    <col min="7438" max="7438" width="11" style="165" customWidth="1"/>
    <col min="7439" max="7439" width="0" style="165" hidden="1" customWidth="1"/>
    <col min="7440" max="7441" width="11.7109375" style="165" customWidth="1"/>
    <col min="7442" max="7680" width="9.28515625" style="165"/>
    <col min="7681" max="7681" width="70" style="165" customWidth="1"/>
    <col min="7682" max="7693" width="12.7109375" style="165" customWidth="1"/>
    <col min="7694" max="7694" width="11" style="165" customWidth="1"/>
    <col min="7695" max="7695" width="0" style="165" hidden="1" customWidth="1"/>
    <col min="7696" max="7697" width="11.7109375" style="165" customWidth="1"/>
    <col min="7698" max="7936" width="9.28515625" style="165"/>
    <col min="7937" max="7937" width="70" style="165" customWidth="1"/>
    <col min="7938" max="7949" width="12.7109375" style="165" customWidth="1"/>
    <col min="7950" max="7950" width="11" style="165" customWidth="1"/>
    <col min="7951" max="7951" width="0" style="165" hidden="1" customWidth="1"/>
    <col min="7952" max="7953" width="11.7109375" style="165" customWidth="1"/>
    <col min="7954" max="8192" width="9.28515625" style="165"/>
    <col min="8193" max="8193" width="70" style="165" customWidth="1"/>
    <col min="8194" max="8205" width="12.7109375" style="165" customWidth="1"/>
    <col min="8206" max="8206" width="11" style="165" customWidth="1"/>
    <col min="8207" max="8207" width="0" style="165" hidden="1" customWidth="1"/>
    <col min="8208" max="8209" width="11.7109375" style="165" customWidth="1"/>
    <col min="8210" max="8448" width="9.28515625" style="165"/>
    <col min="8449" max="8449" width="70" style="165" customWidth="1"/>
    <col min="8450" max="8461" width="12.7109375" style="165" customWidth="1"/>
    <col min="8462" max="8462" width="11" style="165" customWidth="1"/>
    <col min="8463" max="8463" width="0" style="165" hidden="1" customWidth="1"/>
    <col min="8464" max="8465" width="11.7109375" style="165" customWidth="1"/>
    <col min="8466" max="8704" width="9.28515625" style="165"/>
    <col min="8705" max="8705" width="70" style="165" customWidth="1"/>
    <col min="8706" max="8717" width="12.7109375" style="165" customWidth="1"/>
    <col min="8718" max="8718" width="11" style="165" customWidth="1"/>
    <col min="8719" max="8719" width="0" style="165" hidden="1" customWidth="1"/>
    <col min="8720" max="8721" width="11.7109375" style="165" customWidth="1"/>
    <col min="8722" max="8960" width="9.28515625" style="165"/>
    <col min="8961" max="8961" width="70" style="165" customWidth="1"/>
    <col min="8962" max="8973" width="12.7109375" style="165" customWidth="1"/>
    <col min="8974" max="8974" width="11" style="165" customWidth="1"/>
    <col min="8975" max="8975" width="0" style="165" hidden="1" customWidth="1"/>
    <col min="8976" max="8977" width="11.7109375" style="165" customWidth="1"/>
    <col min="8978" max="9216" width="9.28515625" style="165"/>
    <col min="9217" max="9217" width="70" style="165" customWidth="1"/>
    <col min="9218" max="9229" width="12.7109375" style="165" customWidth="1"/>
    <col min="9230" max="9230" width="11" style="165" customWidth="1"/>
    <col min="9231" max="9231" width="0" style="165" hidden="1" customWidth="1"/>
    <col min="9232" max="9233" width="11.7109375" style="165" customWidth="1"/>
    <col min="9234" max="9472" width="9.28515625" style="165"/>
    <col min="9473" max="9473" width="70" style="165" customWidth="1"/>
    <col min="9474" max="9485" width="12.7109375" style="165" customWidth="1"/>
    <col min="9486" max="9486" width="11" style="165" customWidth="1"/>
    <col min="9487" max="9487" width="0" style="165" hidden="1" customWidth="1"/>
    <col min="9488" max="9489" width="11.7109375" style="165" customWidth="1"/>
    <col min="9490" max="9728" width="9.28515625" style="165"/>
    <col min="9729" max="9729" width="70" style="165" customWidth="1"/>
    <col min="9730" max="9741" width="12.7109375" style="165" customWidth="1"/>
    <col min="9742" max="9742" width="11" style="165" customWidth="1"/>
    <col min="9743" max="9743" width="0" style="165" hidden="1" customWidth="1"/>
    <col min="9744" max="9745" width="11.7109375" style="165" customWidth="1"/>
    <col min="9746" max="9984" width="9.28515625" style="165"/>
    <col min="9985" max="9985" width="70" style="165" customWidth="1"/>
    <col min="9986" max="9997" width="12.7109375" style="165" customWidth="1"/>
    <col min="9998" max="9998" width="11" style="165" customWidth="1"/>
    <col min="9999" max="9999" width="0" style="165" hidden="1" customWidth="1"/>
    <col min="10000" max="10001" width="11.7109375" style="165" customWidth="1"/>
    <col min="10002" max="10240" width="9.28515625" style="165"/>
    <col min="10241" max="10241" width="70" style="165" customWidth="1"/>
    <col min="10242" max="10253" width="12.7109375" style="165" customWidth="1"/>
    <col min="10254" max="10254" width="11" style="165" customWidth="1"/>
    <col min="10255" max="10255" width="0" style="165" hidden="1" customWidth="1"/>
    <col min="10256" max="10257" width="11.7109375" style="165" customWidth="1"/>
    <col min="10258" max="10496" width="9.28515625" style="165"/>
    <col min="10497" max="10497" width="70" style="165" customWidth="1"/>
    <col min="10498" max="10509" width="12.7109375" style="165" customWidth="1"/>
    <col min="10510" max="10510" width="11" style="165" customWidth="1"/>
    <col min="10511" max="10511" width="0" style="165" hidden="1" customWidth="1"/>
    <col min="10512" max="10513" width="11.7109375" style="165" customWidth="1"/>
    <col min="10514" max="10752" width="9.28515625" style="165"/>
    <col min="10753" max="10753" width="70" style="165" customWidth="1"/>
    <col min="10754" max="10765" width="12.7109375" style="165" customWidth="1"/>
    <col min="10766" max="10766" width="11" style="165" customWidth="1"/>
    <col min="10767" max="10767" width="0" style="165" hidden="1" customWidth="1"/>
    <col min="10768" max="10769" width="11.7109375" style="165" customWidth="1"/>
    <col min="10770" max="11008" width="9.28515625" style="165"/>
    <col min="11009" max="11009" width="70" style="165" customWidth="1"/>
    <col min="11010" max="11021" width="12.7109375" style="165" customWidth="1"/>
    <col min="11022" max="11022" width="11" style="165" customWidth="1"/>
    <col min="11023" max="11023" width="0" style="165" hidden="1" customWidth="1"/>
    <col min="11024" max="11025" width="11.7109375" style="165" customWidth="1"/>
    <col min="11026" max="11264" width="9.28515625" style="165"/>
    <col min="11265" max="11265" width="70" style="165" customWidth="1"/>
    <col min="11266" max="11277" width="12.7109375" style="165" customWidth="1"/>
    <col min="11278" max="11278" width="11" style="165" customWidth="1"/>
    <col min="11279" max="11279" width="0" style="165" hidden="1" customWidth="1"/>
    <col min="11280" max="11281" width="11.7109375" style="165" customWidth="1"/>
    <col min="11282" max="11520" width="9.28515625" style="165"/>
    <col min="11521" max="11521" width="70" style="165" customWidth="1"/>
    <col min="11522" max="11533" width="12.7109375" style="165" customWidth="1"/>
    <col min="11534" max="11534" width="11" style="165" customWidth="1"/>
    <col min="11535" max="11535" width="0" style="165" hidden="1" customWidth="1"/>
    <col min="11536" max="11537" width="11.7109375" style="165" customWidth="1"/>
    <col min="11538" max="11776" width="9.28515625" style="165"/>
    <col min="11777" max="11777" width="70" style="165" customWidth="1"/>
    <col min="11778" max="11789" width="12.7109375" style="165" customWidth="1"/>
    <col min="11790" max="11790" width="11" style="165" customWidth="1"/>
    <col min="11791" max="11791" width="0" style="165" hidden="1" customWidth="1"/>
    <col min="11792" max="11793" width="11.7109375" style="165" customWidth="1"/>
    <col min="11794" max="12032" width="9.28515625" style="165"/>
    <col min="12033" max="12033" width="70" style="165" customWidth="1"/>
    <col min="12034" max="12045" width="12.7109375" style="165" customWidth="1"/>
    <col min="12046" max="12046" width="11" style="165" customWidth="1"/>
    <col min="12047" max="12047" width="0" style="165" hidden="1" customWidth="1"/>
    <col min="12048" max="12049" width="11.7109375" style="165" customWidth="1"/>
    <col min="12050" max="12288" width="9.28515625" style="165"/>
    <col min="12289" max="12289" width="70" style="165" customWidth="1"/>
    <col min="12290" max="12301" width="12.7109375" style="165" customWidth="1"/>
    <col min="12302" max="12302" width="11" style="165" customWidth="1"/>
    <col min="12303" max="12303" width="0" style="165" hidden="1" customWidth="1"/>
    <col min="12304" max="12305" width="11.7109375" style="165" customWidth="1"/>
    <col min="12306" max="12544" width="9.28515625" style="165"/>
    <col min="12545" max="12545" width="70" style="165" customWidth="1"/>
    <col min="12546" max="12557" width="12.7109375" style="165" customWidth="1"/>
    <col min="12558" max="12558" width="11" style="165" customWidth="1"/>
    <col min="12559" max="12559" width="0" style="165" hidden="1" customWidth="1"/>
    <col min="12560" max="12561" width="11.7109375" style="165" customWidth="1"/>
    <col min="12562" max="12800" width="9.28515625" style="165"/>
    <col min="12801" max="12801" width="70" style="165" customWidth="1"/>
    <col min="12802" max="12813" width="12.7109375" style="165" customWidth="1"/>
    <col min="12814" max="12814" width="11" style="165" customWidth="1"/>
    <col min="12815" max="12815" width="0" style="165" hidden="1" customWidth="1"/>
    <col min="12816" max="12817" width="11.7109375" style="165" customWidth="1"/>
    <col min="12818" max="13056" width="9.28515625" style="165"/>
    <col min="13057" max="13057" width="70" style="165" customWidth="1"/>
    <col min="13058" max="13069" width="12.7109375" style="165" customWidth="1"/>
    <col min="13070" max="13070" width="11" style="165" customWidth="1"/>
    <col min="13071" max="13071" width="0" style="165" hidden="1" customWidth="1"/>
    <col min="13072" max="13073" width="11.7109375" style="165" customWidth="1"/>
    <col min="13074" max="13312" width="9.28515625" style="165"/>
    <col min="13313" max="13313" width="70" style="165" customWidth="1"/>
    <col min="13314" max="13325" width="12.7109375" style="165" customWidth="1"/>
    <col min="13326" max="13326" width="11" style="165" customWidth="1"/>
    <col min="13327" max="13327" width="0" style="165" hidden="1" customWidth="1"/>
    <col min="13328" max="13329" width="11.7109375" style="165" customWidth="1"/>
    <col min="13330" max="13568" width="9.28515625" style="165"/>
    <col min="13569" max="13569" width="70" style="165" customWidth="1"/>
    <col min="13570" max="13581" width="12.7109375" style="165" customWidth="1"/>
    <col min="13582" max="13582" width="11" style="165" customWidth="1"/>
    <col min="13583" max="13583" width="0" style="165" hidden="1" customWidth="1"/>
    <col min="13584" max="13585" width="11.7109375" style="165" customWidth="1"/>
    <col min="13586" max="13824" width="9.28515625" style="165"/>
    <col min="13825" max="13825" width="70" style="165" customWidth="1"/>
    <col min="13826" max="13837" width="12.7109375" style="165" customWidth="1"/>
    <col min="13838" max="13838" width="11" style="165" customWidth="1"/>
    <col min="13839" max="13839" width="0" style="165" hidden="1" customWidth="1"/>
    <col min="13840" max="13841" width="11.7109375" style="165" customWidth="1"/>
    <col min="13842" max="14080" width="9.28515625" style="165"/>
    <col min="14081" max="14081" width="70" style="165" customWidth="1"/>
    <col min="14082" max="14093" width="12.7109375" style="165" customWidth="1"/>
    <col min="14094" max="14094" width="11" style="165" customWidth="1"/>
    <col min="14095" max="14095" width="0" style="165" hidden="1" customWidth="1"/>
    <col min="14096" max="14097" width="11.7109375" style="165" customWidth="1"/>
    <col min="14098" max="14336" width="9.28515625" style="165"/>
    <col min="14337" max="14337" width="70" style="165" customWidth="1"/>
    <col min="14338" max="14349" width="12.7109375" style="165" customWidth="1"/>
    <col min="14350" max="14350" width="11" style="165" customWidth="1"/>
    <col min="14351" max="14351" width="0" style="165" hidden="1" customWidth="1"/>
    <col min="14352" max="14353" width="11.7109375" style="165" customWidth="1"/>
    <col min="14354" max="14592" width="9.28515625" style="165"/>
    <col min="14593" max="14593" width="70" style="165" customWidth="1"/>
    <col min="14594" max="14605" width="12.7109375" style="165" customWidth="1"/>
    <col min="14606" max="14606" width="11" style="165" customWidth="1"/>
    <col min="14607" max="14607" width="0" style="165" hidden="1" customWidth="1"/>
    <col min="14608" max="14609" width="11.7109375" style="165" customWidth="1"/>
    <col min="14610" max="14848" width="9.28515625" style="165"/>
    <col min="14849" max="14849" width="70" style="165" customWidth="1"/>
    <col min="14850" max="14861" width="12.7109375" style="165" customWidth="1"/>
    <col min="14862" max="14862" width="11" style="165" customWidth="1"/>
    <col min="14863" max="14863" width="0" style="165" hidden="1" customWidth="1"/>
    <col min="14864" max="14865" width="11.7109375" style="165" customWidth="1"/>
    <col min="14866" max="15104" width="9.28515625" style="165"/>
    <col min="15105" max="15105" width="70" style="165" customWidth="1"/>
    <col min="15106" max="15117" width="12.7109375" style="165" customWidth="1"/>
    <col min="15118" max="15118" width="11" style="165" customWidth="1"/>
    <col min="15119" max="15119" width="0" style="165" hidden="1" customWidth="1"/>
    <col min="15120" max="15121" width="11.7109375" style="165" customWidth="1"/>
    <col min="15122" max="15360" width="9.28515625" style="165"/>
    <col min="15361" max="15361" width="70" style="165" customWidth="1"/>
    <col min="15362" max="15373" width="12.7109375" style="165" customWidth="1"/>
    <col min="15374" max="15374" width="11" style="165" customWidth="1"/>
    <col min="15375" max="15375" width="0" style="165" hidden="1" customWidth="1"/>
    <col min="15376" max="15377" width="11.7109375" style="165" customWidth="1"/>
    <col min="15378" max="15616" width="9.28515625" style="165"/>
    <col min="15617" max="15617" width="70" style="165" customWidth="1"/>
    <col min="15618" max="15629" width="12.7109375" style="165" customWidth="1"/>
    <col min="15630" max="15630" width="11" style="165" customWidth="1"/>
    <col min="15631" max="15631" width="0" style="165" hidden="1" customWidth="1"/>
    <col min="15632" max="15633" width="11.7109375" style="165" customWidth="1"/>
    <col min="15634" max="15872" width="9.28515625" style="165"/>
    <col min="15873" max="15873" width="70" style="165" customWidth="1"/>
    <col min="15874" max="15885" width="12.7109375" style="165" customWidth="1"/>
    <col min="15886" max="15886" width="11" style="165" customWidth="1"/>
    <col min="15887" max="15887" width="0" style="165" hidden="1" customWidth="1"/>
    <col min="15888" max="15889" width="11.7109375" style="165" customWidth="1"/>
    <col min="15890" max="16128" width="9.28515625" style="165"/>
    <col min="16129" max="16129" width="70" style="165" customWidth="1"/>
    <col min="16130" max="16141" width="12.7109375" style="165" customWidth="1"/>
    <col min="16142" max="16142" width="11" style="165" customWidth="1"/>
    <col min="16143" max="16143" width="0" style="165" hidden="1" customWidth="1"/>
    <col min="16144" max="16145" width="11.7109375" style="165" customWidth="1"/>
    <col min="16146" max="16384" width="9.28515625" style="165"/>
  </cols>
  <sheetData>
    <row r="1" spans="1:17" ht="13.5" customHeight="1">
      <c r="L1" s="166"/>
      <c r="O1" s="166"/>
      <c r="P1" s="166"/>
      <c r="Q1" s="166"/>
    </row>
    <row r="2" spans="1:17" ht="13.5" customHeight="1">
      <c r="C2" s="682" t="s">
        <v>39</v>
      </c>
      <c r="L2" s="166"/>
      <c r="O2" s="166"/>
      <c r="P2" s="166"/>
      <c r="Q2" s="166"/>
    </row>
    <row r="3" spans="1:17" ht="13.5" customHeight="1">
      <c r="C3" s="682" t="s">
        <v>230</v>
      </c>
      <c r="L3" s="166"/>
      <c r="O3" s="166"/>
      <c r="P3" s="166"/>
      <c r="Q3" s="166"/>
    </row>
    <row r="4" spans="1:17" ht="13.5" customHeight="1">
      <c r="C4" s="683">
        <f>'Program MW '!H3</f>
        <v>44805</v>
      </c>
      <c r="L4" s="166"/>
      <c r="O4" s="166"/>
      <c r="P4" s="166"/>
      <c r="Q4" s="166"/>
    </row>
    <row r="5" spans="1:17" ht="13.5" customHeight="1">
      <c r="L5" s="166"/>
      <c r="O5" s="166"/>
      <c r="P5" s="166"/>
      <c r="Q5" s="166"/>
    </row>
    <row r="6" spans="1:17" s="175" customFormat="1" ht="13.5" customHeight="1"/>
    <row r="7" spans="1:17" s="175" customFormat="1" ht="18" customHeight="1">
      <c r="A7" s="459"/>
      <c r="B7" s="460" t="s">
        <v>231</v>
      </c>
      <c r="C7" s="459"/>
      <c r="D7" s="459"/>
      <c r="E7" s="459"/>
      <c r="F7" s="459"/>
      <c r="G7" s="459"/>
      <c r="H7" s="459"/>
      <c r="I7" s="459"/>
      <c r="J7" s="459"/>
      <c r="K7" s="459"/>
      <c r="L7" s="459"/>
      <c r="M7" s="459"/>
      <c r="N7" s="715" t="s">
        <v>170</v>
      </c>
      <c r="O7" s="713" t="s">
        <v>232</v>
      </c>
      <c r="P7" s="461"/>
      <c r="Q7" s="715" t="s">
        <v>233</v>
      </c>
    </row>
    <row r="8" spans="1:17" s="175" customFormat="1" ht="39" customHeight="1">
      <c r="A8" s="234"/>
      <c r="B8" s="462" t="s">
        <v>41</v>
      </c>
      <c r="C8" s="238" t="s">
        <v>42</v>
      </c>
      <c r="D8" s="238" t="s">
        <v>43</v>
      </c>
      <c r="E8" s="238" t="s">
        <v>44</v>
      </c>
      <c r="F8" s="238" t="s">
        <v>31</v>
      </c>
      <c r="G8" s="238" t="s">
        <v>45</v>
      </c>
      <c r="H8" s="258" t="s">
        <v>234</v>
      </c>
      <c r="I8" s="238" t="s">
        <v>59</v>
      </c>
      <c r="J8" s="238" t="s">
        <v>60</v>
      </c>
      <c r="K8" s="258" t="s">
        <v>61</v>
      </c>
      <c r="L8" s="238" t="s">
        <v>62</v>
      </c>
      <c r="M8" s="238" t="s">
        <v>63</v>
      </c>
      <c r="N8" s="716"/>
      <c r="O8" s="714"/>
      <c r="P8" s="176" t="s">
        <v>235</v>
      </c>
      <c r="Q8" s="716"/>
    </row>
    <row r="9" spans="1:17" s="175" customFormat="1" ht="15.6">
      <c r="A9" s="242" t="s">
        <v>236</v>
      </c>
      <c r="N9" s="199"/>
      <c r="Q9" s="183"/>
    </row>
    <row r="10" spans="1:17" s="175" customFormat="1" ht="27.95">
      <c r="A10" s="239" t="s">
        <v>237</v>
      </c>
      <c r="N10" s="199"/>
      <c r="O10" s="177"/>
      <c r="P10" s="178"/>
      <c r="Q10" s="184"/>
    </row>
    <row r="11" spans="1:17" s="175" customFormat="1" ht="15">
      <c r="A11" s="240" t="s">
        <v>238</v>
      </c>
      <c r="B11" s="520">
        <v>-323.7</v>
      </c>
      <c r="C11" s="520">
        <v>0</v>
      </c>
      <c r="D11" s="520">
        <v>0</v>
      </c>
      <c r="E11" s="520">
        <v>0</v>
      </c>
      <c r="F11" s="520">
        <v>0</v>
      </c>
      <c r="G11" s="520">
        <v>0</v>
      </c>
      <c r="H11" s="520">
        <v>0</v>
      </c>
      <c r="I11" s="520">
        <v>0</v>
      </c>
      <c r="J11" s="520">
        <v>0</v>
      </c>
      <c r="K11" s="520">
        <v>0</v>
      </c>
      <c r="L11" s="520">
        <v>0</v>
      </c>
      <c r="M11" s="520">
        <v>0</v>
      </c>
      <c r="N11" s="463">
        <f t="shared" ref="N11:N25" si="0">SUM(B11:M11)</f>
        <v>-323.7</v>
      </c>
      <c r="O11" s="464">
        <f>1766447.09+N11</f>
        <v>1766123.3900000001</v>
      </c>
      <c r="P11" s="287"/>
      <c r="Q11" s="285">
        <f>848010+857842+857842+250000</f>
        <v>2813694</v>
      </c>
    </row>
    <row r="12" spans="1:17" s="175" customFormat="1" ht="14.1">
      <c r="A12" s="240" t="s">
        <v>239</v>
      </c>
      <c r="B12" s="520">
        <v>0</v>
      </c>
      <c r="C12" s="520">
        <v>0</v>
      </c>
      <c r="D12" s="520">
        <v>525.78</v>
      </c>
      <c r="E12" s="520">
        <v>-64.900000000000006</v>
      </c>
      <c r="F12" s="520">
        <v>0</v>
      </c>
      <c r="G12" s="520">
        <v>2103.2400000000002</v>
      </c>
      <c r="H12" s="520">
        <v>-1075.96</v>
      </c>
      <c r="I12" s="520">
        <v>586.4</v>
      </c>
      <c r="J12" s="520">
        <v>1428.45</v>
      </c>
      <c r="K12" s="520">
        <v>0</v>
      </c>
      <c r="L12" s="520">
        <v>0</v>
      </c>
      <c r="M12" s="520">
        <v>0</v>
      </c>
      <c r="N12" s="295">
        <f t="shared" si="0"/>
        <v>3503.01</v>
      </c>
      <c r="O12" s="285">
        <f>30581.57+N12</f>
        <v>34084.58</v>
      </c>
      <c r="P12" s="284"/>
      <c r="Q12" s="285">
        <v>35302</v>
      </c>
    </row>
    <row r="13" spans="1:17" s="175" customFormat="1" ht="12.95">
      <c r="A13" s="240" t="s">
        <v>240</v>
      </c>
      <c r="B13" s="520">
        <v>0</v>
      </c>
      <c r="C13" s="520">
        <v>0</v>
      </c>
      <c r="D13" s="520">
        <v>0</v>
      </c>
      <c r="E13" s="520">
        <v>0</v>
      </c>
      <c r="F13" s="520">
        <v>0</v>
      </c>
      <c r="G13" s="520">
        <v>0</v>
      </c>
      <c r="H13" s="520">
        <v>0</v>
      </c>
      <c r="I13" s="520">
        <v>0</v>
      </c>
      <c r="J13" s="520">
        <v>0</v>
      </c>
      <c r="K13" s="520">
        <v>0</v>
      </c>
      <c r="L13" s="520">
        <v>0</v>
      </c>
      <c r="M13" s="520">
        <v>0</v>
      </c>
      <c r="N13" s="295">
        <f t="shared" si="0"/>
        <v>0</v>
      </c>
      <c r="O13" s="285">
        <f>0+N13</f>
        <v>0</v>
      </c>
      <c r="P13" s="284"/>
      <c r="Q13" s="285">
        <v>1000</v>
      </c>
    </row>
    <row r="14" spans="1:17" s="175" customFormat="1" ht="12.95">
      <c r="A14" s="240" t="s">
        <v>241</v>
      </c>
      <c r="B14" s="520">
        <v>0</v>
      </c>
      <c r="C14" s="520">
        <v>0</v>
      </c>
      <c r="D14" s="520">
        <v>525.78</v>
      </c>
      <c r="E14" s="520">
        <v>395.98</v>
      </c>
      <c r="F14" s="520">
        <v>0</v>
      </c>
      <c r="G14" s="520">
        <v>4206.4299999999994</v>
      </c>
      <c r="H14" s="520">
        <v>-2151.91</v>
      </c>
      <c r="I14" s="520">
        <v>1172.83</v>
      </c>
      <c r="J14" s="520">
        <v>2857.6</v>
      </c>
      <c r="K14" s="520">
        <v>0</v>
      </c>
      <c r="L14" s="520">
        <v>0</v>
      </c>
      <c r="M14" s="520">
        <v>0</v>
      </c>
      <c r="N14" s="295">
        <f t="shared" si="0"/>
        <v>7006.7099999999991</v>
      </c>
      <c r="O14" s="285">
        <f>46486.35+N14</f>
        <v>53493.06</v>
      </c>
      <c r="P14" s="284"/>
      <c r="Q14" s="285">
        <v>78149</v>
      </c>
    </row>
    <row r="15" spans="1:17" s="175" customFormat="1" ht="15">
      <c r="A15" s="240" t="s">
        <v>242</v>
      </c>
      <c r="B15" s="520">
        <v>0</v>
      </c>
      <c r="C15" s="520">
        <v>4135</v>
      </c>
      <c r="D15" s="520">
        <v>4206.24</v>
      </c>
      <c r="E15" s="520">
        <v>-2362.7199999999998</v>
      </c>
      <c r="F15" s="520">
        <v>351.05</v>
      </c>
      <c r="G15" s="520">
        <v>12537.890000000001</v>
      </c>
      <c r="H15" s="520">
        <v>-4303.83</v>
      </c>
      <c r="I15" s="520">
        <v>5131.1499999999996</v>
      </c>
      <c r="J15" s="520">
        <v>15712.87</v>
      </c>
      <c r="K15" s="520">
        <v>0</v>
      </c>
      <c r="L15" s="520">
        <v>0</v>
      </c>
      <c r="M15" s="520">
        <v>0</v>
      </c>
      <c r="N15" s="295">
        <f t="shared" si="0"/>
        <v>35407.65</v>
      </c>
      <c r="O15" s="285">
        <f>161809.87+N15</f>
        <v>197217.52</v>
      </c>
      <c r="P15" s="284"/>
      <c r="Q15" s="285">
        <f>606299/2</f>
        <v>303149.5</v>
      </c>
    </row>
    <row r="16" spans="1:17" s="175" customFormat="1" ht="12.95">
      <c r="A16" s="240" t="s">
        <v>243</v>
      </c>
      <c r="B16" s="520">
        <v>0</v>
      </c>
      <c r="C16" s="520">
        <v>0</v>
      </c>
      <c r="D16" s="520">
        <v>0</v>
      </c>
      <c r="E16" s="520">
        <v>4608.8</v>
      </c>
      <c r="F16" s="520">
        <v>5019.8500000000004</v>
      </c>
      <c r="G16" s="520">
        <v>21032.22</v>
      </c>
      <c r="H16" s="520">
        <v>-10759.59</v>
      </c>
      <c r="I16" s="520">
        <v>9843.42</v>
      </c>
      <c r="J16" s="520">
        <v>28568.48</v>
      </c>
      <c r="K16" s="520">
        <v>0</v>
      </c>
      <c r="L16" s="520">
        <v>0</v>
      </c>
      <c r="M16" s="520">
        <v>0</v>
      </c>
      <c r="N16" s="295">
        <f t="shared" si="0"/>
        <v>58313.180000000008</v>
      </c>
      <c r="O16" s="285">
        <f>310006.48+N16</f>
        <v>368319.66</v>
      </c>
      <c r="P16" s="284"/>
      <c r="Q16" s="285">
        <v>303150</v>
      </c>
    </row>
    <row r="17" spans="1:122" s="175" customFormat="1" ht="12.95">
      <c r="A17" s="240" t="s">
        <v>244</v>
      </c>
      <c r="B17" s="520">
        <v>43.29</v>
      </c>
      <c r="C17" s="520">
        <v>2752.0299999999997</v>
      </c>
      <c r="D17" s="520">
        <v>6416.59</v>
      </c>
      <c r="E17" s="520">
        <v>1080.95</v>
      </c>
      <c r="F17" s="520">
        <v>475.1</v>
      </c>
      <c r="G17" s="520">
        <v>14601.85</v>
      </c>
      <c r="H17" s="520">
        <v>807.11</v>
      </c>
      <c r="I17" s="520">
        <v>21132.01</v>
      </c>
      <c r="J17" s="520">
        <v>65708.34</v>
      </c>
      <c r="K17" s="520">
        <v>0</v>
      </c>
      <c r="L17" s="520">
        <v>0</v>
      </c>
      <c r="M17" s="520">
        <v>0</v>
      </c>
      <c r="N17" s="295">
        <f t="shared" si="0"/>
        <v>113017.26999999999</v>
      </c>
      <c r="O17" s="285">
        <f>443810.62+N17</f>
        <v>556827.89</v>
      </c>
      <c r="P17" s="284"/>
      <c r="Q17" s="285">
        <v>643043</v>
      </c>
    </row>
    <row r="18" spans="1:122" s="175" customFormat="1" ht="12.95">
      <c r="A18" s="241" t="s">
        <v>245</v>
      </c>
      <c r="B18" s="520">
        <v>0</v>
      </c>
      <c r="C18" s="520">
        <v>0</v>
      </c>
      <c r="D18" s="520">
        <v>3154.68</v>
      </c>
      <c r="E18" s="520">
        <v>71.48</v>
      </c>
      <c r="F18" s="520">
        <v>0</v>
      </c>
      <c r="G18" s="520">
        <v>18697.550000000003</v>
      </c>
      <c r="H18" s="520">
        <v>-7531.71</v>
      </c>
      <c r="I18" s="520">
        <v>9277.98</v>
      </c>
      <c r="J18" s="520">
        <v>28568.47</v>
      </c>
      <c r="K18" s="520">
        <v>0</v>
      </c>
      <c r="L18" s="520">
        <v>0</v>
      </c>
      <c r="M18" s="520">
        <v>0</v>
      </c>
      <c r="N18" s="295">
        <f t="shared" si="0"/>
        <v>52238.450000000004</v>
      </c>
      <c r="O18" s="285">
        <f>222520.28+N18</f>
        <v>274758.73</v>
      </c>
      <c r="P18" s="284"/>
      <c r="Q18" s="285">
        <v>383701</v>
      </c>
    </row>
    <row r="19" spans="1:122" s="175" customFormat="1" ht="12.95">
      <c r="A19" s="241" t="s">
        <v>129</v>
      </c>
      <c r="B19" s="520">
        <v>0</v>
      </c>
      <c r="C19" s="520">
        <v>3327.98</v>
      </c>
      <c r="D19" s="520">
        <v>4206.24</v>
      </c>
      <c r="E19" s="520">
        <v>9835.7800000000007</v>
      </c>
      <c r="F19" s="520">
        <v>51.48</v>
      </c>
      <c r="G19" s="520">
        <v>52739.3</v>
      </c>
      <c r="H19" s="520">
        <v>-26385.26</v>
      </c>
      <c r="I19" s="520">
        <v>19047.810000000001</v>
      </c>
      <c r="J19" s="520">
        <v>105024.31</v>
      </c>
      <c r="K19" s="520">
        <v>0</v>
      </c>
      <c r="L19" s="520">
        <v>0</v>
      </c>
      <c r="M19" s="520">
        <v>0</v>
      </c>
      <c r="N19" s="295">
        <f t="shared" si="0"/>
        <v>167847.64</v>
      </c>
      <c r="O19" s="285">
        <f>877131.2+N19</f>
        <v>1044978.84</v>
      </c>
      <c r="P19" s="284"/>
      <c r="Q19" s="285">
        <v>1102357</v>
      </c>
    </row>
    <row r="20" spans="1:122" s="175" customFormat="1" ht="12.95">
      <c r="A20" s="241" t="s">
        <v>246</v>
      </c>
      <c r="B20" s="520">
        <v>0</v>
      </c>
      <c r="C20" s="520">
        <v>3327.99</v>
      </c>
      <c r="D20" s="520">
        <v>5415.25</v>
      </c>
      <c r="E20" s="520">
        <v>15751.89</v>
      </c>
      <c r="F20" s="520">
        <v>80.13</v>
      </c>
      <c r="G20" s="520">
        <v>83939.900000000009</v>
      </c>
      <c r="H20" s="520">
        <v>-25277.7399999999</v>
      </c>
      <c r="I20" s="520">
        <v>21422.48</v>
      </c>
      <c r="J20" s="520">
        <v>105024.28</v>
      </c>
      <c r="K20" s="520">
        <v>0</v>
      </c>
      <c r="L20" s="520">
        <v>0</v>
      </c>
      <c r="M20" s="520">
        <v>0</v>
      </c>
      <c r="N20" s="295">
        <f t="shared" si="0"/>
        <v>209684.18000000011</v>
      </c>
      <c r="O20" s="285">
        <f>1330368.43+N20</f>
        <v>1540052.61</v>
      </c>
      <c r="P20" s="284"/>
      <c r="Q20" s="285">
        <v>1653537</v>
      </c>
    </row>
    <row r="21" spans="1:122" s="175" customFormat="1" ht="12.95">
      <c r="A21" s="241" t="s">
        <v>247</v>
      </c>
      <c r="B21" s="520">
        <v>0</v>
      </c>
      <c r="C21" s="520">
        <v>0</v>
      </c>
      <c r="D21" s="520">
        <v>7360.92</v>
      </c>
      <c r="E21" s="520">
        <v>26551.08</v>
      </c>
      <c r="F21" s="520">
        <v>33000</v>
      </c>
      <c r="G21" s="520">
        <v>179782.13999999998</v>
      </c>
      <c r="H21" s="520">
        <v>-123124.319999999</v>
      </c>
      <c r="I21" s="520">
        <v>81831.269999999902</v>
      </c>
      <c r="J21" s="520">
        <v>203193.36</v>
      </c>
      <c r="K21" s="520">
        <v>0</v>
      </c>
      <c r="L21" s="520">
        <v>0</v>
      </c>
      <c r="M21" s="520">
        <v>0</v>
      </c>
      <c r="N21" s="295">
        <f t="shared" si="0"/>
        <v>408594.45000000088</v>
      </c>
      <c r="O21" s="285">
        <f>N21</f>
        <v>408594.45000000088</v>
      </c>
      <c r="P21" s="284"/>
      <c r="Q21" s="285">
        <v>0</v>
      </c>
    </row>
    <row r="22" spans="1:122" s="175" customFormat="1" ht="12.95">
      <c r="A22" s="241" t="s">
        <v>248</v>
      </c>
      <c r="B22" s="520">
        <v>0</v>
      </c>
      <c r="C22" s="520">
        <v>0</v>
      </c>
      <c r="D22" s="520">
        <v>0</v>
      </c>
      <c r="E22" s="520">
        <v>0</v>
      </c>
      <c r="F22" s="520">
        <v>0</v>
      </c>
      <c r="G22" s="520">
        <v>0</v>
      </c>
      <c r="H22" s="520">
        <v>0</v>
      </c>
      <c r="I22" s="520">
        <v>0</v>
      </c>
      <c r="J22" s="520">
        <v>0</v>
      </c>
      <c r="K22" s="520">
        <v>0</v>
      </c>
      <c r="L22" s="520">
        <v>0</v>
      </c>
      <c r="M22" s="520">
        <v>0</v>
      </c>
      <c r="N22" s="295">
        <f t="shared" si="0"/>
        <v>0</v>
      </c>
      <c r="O22" s="285">
        <v>2328.7199999999998</v>
      </c>
      <c r="P22" s="284"/>
      <c r="Q22" s="285">
        <v>0</v>
      </c>
    </row>
    <row r="23" spans="1:122" s="175" customFormat="1" ht="12.95">
      <c r="A23" s="241" t="s">
        <v>249</v>
      </c>
      <c r="B23" s="520">
        <v>0</v>
      </c>
      <c r="C23" s="520">
        <v>0</v>
      </c>
      <c r="D23" s="520">
        <v>0</v>
      </c>
      <c r="E23" s="520">
        <v>0</v>
      </c>
      <c r="F23" s="520">
        <v>0</v>
      </c>
      <c r="G23" s="520">
        <v>0</v>
      </c>
      <c r="H23" s="520">
        <v>0</v>
      </c>
      <c r="I23" s="520">
        <v>0</v>
      </c>
      <c r="J23" s="520">
        <v>0</v>
      </c>
      <c r="K23" s="520">
        <v>0</v>
      </c>
      <c r="L23" s="520">
        <v>0</v>
      </c>
      <c r="M23" s="520">
        <v>0</v>
      </c>
      <c r="N23" s="295">
        <f t="shared" si="0"/>
        <v>0</v>
      </c>
      <c r="O23" s="285">
        <v>530.37</v>
      </c>
      <c r="P23" s="284"/>
      <c r="Q23" s="285">
        <v>0</v>
      </c>
    </row>
    <row r="24" spans="1:122" s="175" customFormat="1" ht="15">
      <c r="A24" s="241" t="s">
        <v>250</v>
      </c>
      <c r="B24" s="520">
        <v>264050.84999999998</v>
      </c>
      <c r="C24" s="520">
        <v>0</v>
      </c>
      <c r="D24" s="520">
        <v>0</v>
      </c>
      <c r="E24" s="520">
        <v>266164.06</v>
      </c>
      <c r="F24" s="520">
        <v>0</v>
      </c>
      <c r="G24" s="520">
        <v>594540.99</v>
      </c>
      <c r="H24" s="520">
        <v>0</v>
      </c>
      <c r="I24" s="520">
        <v>0</v>
      </c>
      <c r="J24" s="520">
        <v>0</v>
      </c>
      <c r="K24" s="520">
        <v>0</v>
      </c>
      <c r="L24" s="520">
        <v>0</v>
      </c>
      <c r="M24" s="520">
        <v>0</v>
      </c>
      <c r="N24" s="295">
        <f t="shared" si="0"/>
        <v>1124755.8999999999</v>
      </c>
      <c r="O24" s="285">
        <f>632846.09+N24</f>
        <v>1757601.9899999998</v>
      </c>
      <c r="P24" s="284"/>
      <c r="Q24" s="285">
        <v>0</v>
      </c>
    </row>
    <row r="25" spans="1:122" s="175" customFormat="1" ht="15">
      <c r="A25" s="241" t="s">
        <v>251</v>
      </c>
      <c r="B25" s="520">
        <v>0</v>
      </c>
      <c r="C25" s="520">
        <v>0</v>
      </c>
      <c r="D25" s="520">
        <v>0</v>
      </c>
      <c r="E25" s="520">
        <v>0</v>
      </c>
      <c r="F25" s="520">
        <v>0</v>
      </c>
      <c r="G25" s="520">
        <v>19575</v>
      </c>
      <c r="H25" s="520">
        <v>-6075</v>
      </c>
      <c r="I25" s="520">
        <v>6225</v>
      </c>
      <c r="J25" s="520">
        <v>13200</v>
      </c>
      <c r="K25" s="520">
        <v>0</v>
      </c>
      <c r="L25" s="520">
        <v>0</v>
      </c>
      <c r="M25" s="520">
        <v>0</v>
      </c>
      <c r="N25" s="295">
        <f t="shared" si="0"/>
        <v>32925</v>
      </c>
      <c r="O25" s="285">
        <f>N25</f>
        <v>32925</v>
      </c>
      <c r="P25" s="284"/>
      <c r="Q25" s="285">
        <v>50000</v>
      </c>
    </row>
    <row r="26" spans="1:122" s="179" customFormat="1" ht="15.6">
      <c r="A26" s="465" t="s">
        <v>252</v>
      </c>
      <c r="B26" s="466">
        <f t="shared" ref="B26:O26" si="1">SUM(B11:B25)</f>
        <v>263770.44</v>
      </c>
      <c r="C26" s="466">
        <f t="shared" si="1"/>
        <v>13543</v>
      </c>
      <c r="D26" s="466">
        <f t="shared" si="1"/>
        <v>31811.479999999996</v>
      </c>
      <c r="E26" s="466">
        <f t="shared" si="1"/>
        <v>322032.40000000002</v>
      </c>
      <c r="F26" s="466">
        <f t="shared" si="1"/>
        <v>38977.61</v>
      </c>
      <c r="G26" s="466">
        <f t="shared" si="1"/>
        <v>1003756.51</v>
      </c>
      <c r="H26" s="466">
        <f t="shared" si="1"/>
        <v>-205878.20999999892</v>
      </c>
      <c r="I26" s="466">
        <f t="shared" si="1"/>
        <v>175670.34999999989</v>
      </c>
      <c r="J26" s="466">
        <f t="shared" si="1"/>
        <v>569286.15999999992</v>
      </c>
      <c r="K26" s="466">
        <f t="shared" si="1"/>
        <v>0</v>
      </c>
      <c r="L26" s="466">
        <f t="shared" si="1"/>
        <v>0</v>
      </c>
      <c r="M26" s="466">
        <f t="shared" si="1"/>
        <v>0</v>
      </c>
      <c r="N26" s="595">
        <f t="shared" si="1"/>
        <v>2212969.7400000012</v>
      </c>
      <c r="O26" s="467">
        <f t="shared" si="1"/>
        <v>8037836.8100000024</v>
      </c>
      <c r="P26" s="468"/>
      <c r="Q26" s="467">
        <f>SUM(Q11:Q25)</f>
        <v>7367082.5</v>
      </c>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c r="DD26" s="175"/>
      <c r="DE26" s="175"/>
      <c r="DF26" s="175"/>
      <c r="DG26" s="175"/>
      <c r="DH26" s="175"/>
      <c r="DI26" s="175"/>
      <c r="DJ26" s="175"/>
      <c r="DK26" s="175"/>
      <c r="DL26" s="175"/>
      <c r="DM26" s="175"/>
      <c r="DN26" s="175"/>
      <c r="DO26" s="175"/>
      <c r="DP26" s="175"/>
      <c r="DQ26" s="175"/>
      <c r="DR26" s="175"/>
    </row>
    <row r="27" spans="1:122" s="175" customFormat="1" ht="12.95">
      <c r="A27" s="185"/>
      <c r="B27" s="286"/>
      <c r="C27" s="287"/>
      <c r="D27" s="287"/>
      <c r="E27" s="287"/>
      <c r="F27" s="287"/>
      <c r="G27" s="287"/>
      <c r="H27" s="287"/>
      <c r="I27" s="287"/>
      <c r="J27" s="287"/>
      <c r="K27" s="287"/>
      <c r="L27" s="287"/>
      <c r="M27" s="287"/>
      <c r="N27" s="287"/>
      <c r="O27" s="287"/>
      <c r="P27" s="287"/>
      <c r="Q27" s="288"/>
    </row>
    <row r="28" spans="1:122" s="175" customFormat="1" ht="15.6">
      <c r="A28" s="243" t="s">
        <v>253</v>
      </c>
      <c r="B28" s="286"/>
      <c r="C28" s="287"/>
      <c r="D28" s="287"/>
      <c r="E28" s="287"/>
      <c r="F28" s="287"/>
      <c r="G28" s="287"/>
      <c r="H28" s="287"/>
      <c r="I28" s="287"/>
      <c r="J28" s="287"/>
      <c r="K28" s="287"/>
      <c r="L28" s="287"/>
      <c r="M28" s="287"/>
      <c r="N28" s="289"/>
      <c r="O28" s="287"/>
      <c r="P28" s="287"/>
      <c r="Q28" s="290"/>
    </row>
    <row r="29" spans="1:122" s="175" customFormat="1" ht="12.95">
      <c r="A29" s="241" t="s">
        <v>254</v>
      </c>
      <c r="B29" s="521">
        <v>0</v>
      </c>
      <c r="C29" s="521">
        <v>0</v>
      </c>
      <c r="D29" s="521">
        <v>0</v>
      </c>
      <c r="E29" s="521">
        <v>0</v>
      </c>
      <c r="F29" s="521">
        <v>0</v>
      </c>
      <c r="G29" s="521">
        <v>0</v>
      </c>
      <c r="H29" s="521">
        <v>0</v>
      </c>
      <c r="I29" s="521">
        <v>0</v>
      </c>
      <c r="J29" s="521">
        <v>0</v>
      </c>
      <c r="K29" s="521">
        <v>0</v>
      </c>
      <c r="L29" s="521">
        <v>0</v>
      </c>
      <c r="M29" s="522">
        <v>0</v>
      </c>
      <c r="N29" s="464">
        <f t="shared" ref="N29:N33" si="2">SUM(B29:M29)</f>
        <v>0</v>
      </c>
      <c r="O29" s="464">
        <f>0+N29</f>
        <v>0</v>
      </c>
      <c r="P29" s="287"/>
      <c r="Q29" s="288"/>
    </row>
    <row r="30" spans="1:122" s="175" customFormat="1" ht="12.95">
      <c r="A30" s="240" t="s">
        <v>255</v>
      </c>
      <c r="B30" s="520">
        <v>0</v>
      </c>
      <c r="C30" s="520">
        <v>0</v>
      </c>
      <c r="D30" s="520">
        <v>1209.01</v>
      </c>
      <c r="E30" s="520">
        <v>0</v>
      </c>
      <c r="F30" s="520">
        <v>28.650000000000002</v>
      </c>
      <c r="G30" s="520">
        <v>326.2</v>
      </c>
      <c r="H30" s="520">
        <v>5707.7300000000005</v>
      </c>
      <c r="I30" s="520">
        <v>0</v>
      </c>
      <c r="J30" s="520">
        <v>137.88999999999999</v>
      </c>
      <c r="K30" s="520">
        <v>0</v>
      </c>
      <c r="L30" s="520">
        <v>0</v>
      </c>
      <c r="M30" s="523">
        <v>0</v>
      </c>
      <c r="N30" s="285">
        <f t="shared" si="2"/>
        <v>7409.4800000000005</v>
      </c>
      <c r="O30" s="285">
        <f>250549.97+N30</f>
        <v>257959.45</v>
      </c>
      <c r="P30" s="287"/>
      <c r="Q30" s="288"/>
    </row>
    <row r="31" spans="1:122" s="175" customFormat="1" ht="15">
      <c r="A31" s="240" t="s">
        <v>256</v>
      </c>
      <c r="B31" s="520">
        <v>-323.7</v>
      </c>
      <c r="C31" s="520">
        <v>0</v>
      </c>
      <c r="D31" s="520">
        <v>0</v>
      </c>
      <c r="E31" s="520">
        <v>0</v>
      </c>
      <c r="F31" s="520">
        <v>0</v>
      </c>
      <c r="G31" s="520">
        <v>0</v>
      </c>
      <c r="H31" s="520">
        <v>0</v>
      </c>
      <c r="I31" s="520">
        <v>0</v>
      </c>
      <c r="J31" s="520">
        <v>0</v>
      </c>
      <c r="K31" s="520">
        <v>0</v>
      </c>
      <c r="L31" s="520">
        <v>0</v>
      </c>
      <c r="M31" s="523">
        <v>0</v>
      </c>
      <c r="N31" s="285">
        <f t="shared" si="2"/>
        <v>-323.7</v>
      </c>
      <c r="O31" s="285">
        <f>1158654.99+N31</f>
        <v>1158331.29</v>
      </c>
      <c r="P31" s="287"/>
      <c r="Q31" s="288"/>
    </row>
    <row r="32" spans="1:122" s="175" customFormat="1" ht="15">
      <c r="A32" s="240" t="s">
        <v>257</v>
      </c>
      <c r="B32" s="520">
        <v>264094.13999999996</v>
      </c>
      <c r="C32" s="520">
        <v>13543</v>
      </c>
      <c r="D32" s="520">
        <v>30602.469999999994</v>
      </c>
      <c r="E32" s="520">
        <f>55868.34+266164.06</f>
        <v>322032.40000000002</v>
      </c>
      <c r="F32" s="520">
        <v>38948.959999999999</v>
      </c>
      <c r="G32" s="520">
        <v>984038.76</v>
      </c>
      <c r="H32" s="520">
        <v>-205510.94</v>
      </c>
      <c r="I32" s="520">
        <v>169445.35</v>
      </c>
      <c r="J32" s="520">
        <v>555549.71</v>
      </c>
      <c r="K32" s="520">
        <v>0</v>
      </c>
      <c r="L32" s="520">
        <v>0</v>
      </c>
      <c r="M32" s="523">
        <v>0</v>
      </c>
      <c r="N32" s="285">
        <f t="shared" si="2"/>
        <v>2172743.85</v>
      </c>
      <c r="O32" s="285">
        <f>3762838.63+N32</f>
        <v>5935582.4800000004</v>
      </c>
      <c r="P32" s="287"/>
      <c r="Q32" s="288"/>
    </row>
    <row r="33" spans="1:17" s="175" customFormat="1" ht="12.95">
      <c r="A33" s="240" t="s">
        <v>258</v>
      </c>
      <c r="B33" s="520">
        <v>0</v>
      </c>
      <c r="C33" s="520">
        <v>0</v>
      </c>
      <c r="D33" s="520">
        <v>0</v>
      </c>
      <c r="E33" s="520">
        <v>0</v>
      </c>
      <c r="F33" s="520">
        <v>0</v>
      </c>
      <c r="G33" s="520">
        <v>19391.55</v>
      </c>
      <c r="H33" s="520">
        <v>-6075</v>
      </c>
      <c r="I33" s="520">
        <v>6225</v>
      </c>
      <c r="J33" s="520">
        <v>13598.56</v>
      </c>
      <c r="K33" s="520">
        <v>0</v>
      </c>
      <c r="L33" s="520">
        <v>0</v>
      </c>
      <c r="M33" s="524">
        <v>0</v>
      </c>
      <c r="N33" s="285">
        <f t="shared" si="2"/>
        <v>33140.11</v>
      </c>
      <c r="O33" s="291">
        <f>652823.48+N33</f>
        <v>685963.59</v>
      </c>
      <c r="P33" s="287"/>
      <c r="Q33" s="288"/>
    </row>
    <row r="34" spans="1:17" s="175" customFormat="1" ht="15.6">
      <c r="A34" s="465" t="s">
        <v>259</v>
      </c>
      <c r="B34" s="515">
        <f>SUM(B29:B33)</f>
        <v>263770.43999999994</v>
      </c>
      <c r="C34" s="466">
        <f t="shared" ref="C34:M34" si="3">SUM(C29:C33)</f>
        <v>13543</v>
      </c>
      <c r="D34" s="466">
        <f t="shared" si="3"/>
        <v>31811.479999999992</v>
      </c>
      <c r="E34" s="466">
        <f t="shared" si="3"/>
        <v>322032.40000000002</v>
      </c>
      <c r="F34" s="466">
        <f t="shared" si="3"/>
        <v>38977.61</v>
      </c>
      <c r="G34" s="466">
        <f t="shared" si="3"/>
        <v>1003756.51</v>
      </c>
      <c r="H34" s="466">
        <f t="shared" si="3"/>
        <v>-205878.21</v>
      </c>
      <c r="I34" s="466">
        <f t="shared" si="3"/>
        <v>175670.35</v>
      </c>
      <c r="J34" s="466">
        <f t="shared" si="3"/>
        <v>569286.16</v>
      </c>
      <c r="K34" s="466">
        <f t="shared" si="3"/>
        <v>0</v>
      </c>
      <c r="L34" s="466">
        <f t="shared" si="3"/>
        <v>0</v>
      </c>
      <c r="M34" s="467">
        <f t="shared" si="3"/>
        <v>0</v>
      </c>
      <c r="N34" s="595">
        <f>SUM(N29:N33)</f>
        <v>2212969.7399999998</v>
      </c>
      <c r="O34" s="293">
        <f>SUM(O29:O33)</f>
        <v>8037836.8100000005</v>
      </c>
      <c r="P34" s="468"/>
      <c r="Q34" s="469"/>
    </row>
    <row r="35" spans="1:17" s="175" customFormat="1" ht="12.95">
      <c r="A35" s="470"/>
      <c r="B35" s="471"/>
      <c r="C35" s="472"/>
      <c r="D35" s="472"/>
      <c r="E35" s="472"/>
      <c r="F35" s="472"/>
      <c r="G35" s="472"/>
      <c r="H35" s="472"/>
      <c r="I35" s="472"/>
      <c r="J35" s="472"/>
      <c r="K35" s="472"/>
      <c r="L35" s="472"/>
      <c r="M35" s="472"/>
      <c r="N35" s="472"/>
      <c r="O35" s="472"/>
      <c r="P35" s="294"/>
      <c r="Q35" s="473"/>
    </row>
    <row r="36" spans="1:17" s="175" customFormat="1" ht="15.6">
      <c r="A36" s="243" t="s">
        <v>260</v>
      </c>
      <c r="B36" s="286"/>
      <c r="C36" s="287"/>
      <c r="D36" s="287"/>
      <c r="E36" s="287"/>
      <c r="F36" s="287"/>
      <c r="G36" s="287"/>
      <c r="H36" s="287"/>
      <c r="I36" s="287"/>
      <c r="J36" s="287"/>
      <c r="K36" s="287"/>
      <c r="L36" s="287"/>
      <c r="M36" s="287"/>
      <c r="N36" s="289"/>
      <c r="O36" s="289"/>
      <c r="P36" s="287"/>
      <c r="Q36" s="290"/>
    </row>
    <row r="37" spans="1:17" s="175" customFormat="1" ht="15">
      <c r="A37" s="240" t="s">
        <v>261</v>
      </c>
      <c r="B37" s="525">
        <v>66012.712499999994</v>
      </c>
      <c r="C37" s="521">
        <v>0</v>
      </c>
      <c r="D37" s="521">
        <v>0</v>
      </c>
      <c r="E37" s="521">
        <v>66541.02</v>
      </c>
      <c r="F37" s="521">
        <v>0</v>
      </c>
      <c r="G37" s="521">
        <v>153528.9975</v>
      </c>
      <c r="H37" s="521">
        <v>-1518.75</v>
      </c>
      <c r="I37" s="521">
        <v>1556.25</v>
      </c>
      <c r="J37" s="521">
        <v>3300</v>
      </c>
      <c r="K37" s="521">
        <v>0</v>
      </c>
      <c r="L37" s="521">
        <v>0</v>
      </c>
      <c r="M37" s="522">
        <v>0</v>
      </c>
      <c r="N37" s="464">
        <f t="shared" ref="N37:N40" si="4">SUM(B37:M37)</f>
        <v>289420.23</v>
      </c>
      <c r="O37" s="464">
        <f>158211.52+N37</f>
        <v>447631.75</v>
      </c>
      <c r="P37" s="287"/>
      <c r="Q37" s="288"/>
    </row>
    <row r="38" spans="1:17" s="175" customFormat="1" ht="12.95">
      <c r="A38" s="241" t="s">
        <v>262</v>
      </c>
      <c r="B38" s="526">
        <v>66012.712499999994</v>
      </c>
      <c r="C38" s="520">
        <v>5395.48</v>
      </c>
      <c r="D38" s="520">
        <v>9989.82</v>
      </c>
      <c r="E38" s="520">
        <f>8661+66541.02</f>
        <v>75202.02</v>
      </c>
      <c r="F38" s="520">
        <v>227.01</v>
      </c>
      <c r="G38" s="520">
        <v>233338.00750000001</v>
      </c>
      <c r="H38" s="520">
        <v>-38663.600000000006</v>
      </c>
      <c r="I38" s="520">
        <v>30468.440000000002</v>
      </c>
      <c r="J38" s="520">
        <v>138321.22999999998</v>
      </c>
      <c r="K38" s="520">
        <v>0</v>
      </c>
      <c r="L38" s="520">
        <v>0</v>
      </c>
      <c r="M38" s="523">
        <v>0</v>
      </c>
      <c r="N38" s="285">
        <f t="shared" si="4"/>
        <v>520291.11999999994</v>
      </c>
      <c r="O38" s="285">
        <f>1799700+N38</f>
        <v>2319991.12</v>
      </c>
      <c r="P38" s="287"/>
      <c r="Q38" s="288"/>
    </row>
    <row r="39" spans="1:17" s="175" customFormat="1" ht="14.25" customHeight="1">
      <c r="A39" s="240" t="s">
        <v>263</v>
      </c>
      <c r="B39" s="526">
        <v>65850.862499999988</v>
      </c>
      <c r="C39" s="520">
        <v>3731.5</v>
      </c>
      <c r="D39" s="520">
        <v>4810.74</v>
      </c>
      <c r="E39" s="520">
        <f>6694.58+66541.02</f>
        <v>73235.600000000006</v>
      </c>
      <c r="F39" s="520">
        <v>215.59</v>
      </c>
      <c r="G39" s="520">
        <v>201767.91750000001</v>
      </c>
      <c r="H39" s="520">
        <v>-16309.529999999999</v>
      </c>
      <c r="I39" s="520">
        <v>14833.059999999998</v>
      </c>
      <c r="J39" s="520">
        <v>63668.62999999999</v>
      </c>
      <c r="K39" s="520">
        <v>0</v>
      </c>
      <c r="L39" s="520">
        <v>0</v>
      </c>
      <c r="M39" s="523">
        <v>0</v>
      </c>
      <c r="N39" s="285">
        <f t="shared" si="4"/>
        <v>411804.37000000005</v>
      </c>
      <c r="O39" s="285">
        <f>1432270.28+N39</f>
        <v>1844074.6500000001</v>
      </c>
      <c r="P39" s="287"/>
      <c r="Q39" s="288"/>
    </row>
    <row r="40" spans="1:17" s="175" customFormat="1" ht="15">
      <c r="A40" s="240" t="s">
        <v>264</v>
      </c>
      <c r="B40" s="527">
        <v>65894.152499999997</v>
      </c>
      <c r="C40" s="528">
        <v>4416.0199999999995</v>
      </c>
      <c r="D40" s="528">
        <v>17010.919999999998</v>
      </c>
      <c r="E40" s="528">
        <f>40512.76+66541.02</f>
        <v>107053.78</v>
      </c>
      <c r="F40" s="528">
        <v>38535.01</v>
      </c>
      <c r="G40" s="528">
        <v>415121.58750000002</v>
      </c>
      <c r="H40" s="528">
        <v>-149386.32999999999</v>
      </c>
      <c r="I40" s="528">
        <v>128812.59999999998</v>
      </c>
      <c r="J40" s="528">
        <v>363996.41000000003</v>
      </c>
      <c r="K40" s="528">
        <v>0</v>
      </c>
      <c r="L40" s="528">
        <v>0</v>
      </c>
      <c r="M40" s="524">
        <v>0</v>
      </c>
      <c r="N40" s="285">
        <f t="shared" si="4"/>
        <v>991454.15</v>
      </c>
      <c r="O40" s="291">
        <f>2434685.26+N40</f>
        <v>3426139.4099999997</v>
      </c>
      <c r="P40" s="287"/>
      <c r="Q40" s="288"/>
    </row>
    <row r="41" spans="1:17" s="175" customFormat="1" ht="15.6">
      <c r="A41" s="465" t="s">
        <v>265</v>
      </c>
      <c r="B41" s="292">
        <f t="shared" ref="B41:M41" si="5">SUM(B37:B40)</f>
        <v>263770.43999999994</v>
      </c>
      <c r="C41" s="293">
        <f t="shared" si="5"/>
        <v>13543</v>
      </c>
      <c r="D41" s="293">
        <f>SUM(D37:D40)</f>
        <v>31811.479999999996</v>
      </c>
      <c r="E41" s="293">
        <f t="shared" si="5"/>
        <v>322032.42000000004</v>
      </c>
      <c r="F41" s="293">
        <f t="shared" si="5"/>
        <v>38977.61</v>
      </c>
      <c r="G41" s="293">
        <f>SUM(G37:G40)</f>
        <v>1003756.51</v>
      </c>
      <c r="H41" s="293">
        <f t="shared" si="5"/>
        <v>-205878.21</v>
      </c>
      <c r="I41" s="293">
        <f t="shared" si="5"/>
        <v>175670.34999999998</v>
      </c>
      <c r="J41" s="293">
        <f t="shared" si="5"/>
        <v>569286.27</v>
      </c>
      <c r="K41" s="293">
        <f t="shared" si="5"/>
        <v>0</v>
      </c>
      <c r="L41" s="293">
        <f t="shared" si="5"/>
        <v>0</v>
      </c>
      <c r="M41" s="293">
        <f t="shared" si="5"/>
        <v>0</v>
      </c>
      <c r="N41" s="595">
        <f>SUM(N37:N40)</f>
        <v>2212969.87</v>
      </c>
      <c r="O41" s="466">
        <f>SUM(O37:O40)</f>
        <v>8037836.9299999997</v>
      </c>
      <c r="P41" s="468">
        <f>SUM(P37:P40)</f>
        <v>0</v>
      </c>
      <c r="Q41" s="469"/>
    </row>
    <row r="42" spans="1:17" s="175" customFormat="1" ht="12.95">
      <c r="B42" s="287"/>
      <c r="C42" s="287"/>
      <c r="D42" s="287"/>
      <c r="E42" s="287"/>
      <c r="F42" s="287"/>
      <c r="G42" s="287"/>
      <c r="H42" s="287"/>
      <c r="I42" s="287"/>
      <c r="J42" s="287"/>
      <c r="K42" s="287"/>
      <c r="L42" s="287"/>
      <c r="M42" s="287"/>
      <c r="N42" s="287"/>
      <c r="O42" s="177"/>
      <c r="P42" s="177"/>
      <c r="Q42" s="177"/>
    </row>
    <row r="43" spans="1:17" s="175" customFormat="1" ht="12.95">
      <c r="A43" s="652" t="s">
        <v>68</v>
      </c>
      <c r="B43" s="181"/>
      <c r="C43" s="181"/>
      <c r="D43" s="181"/>
      <c r="E43" s="181"/>
      <c r="F43" s="181"/>
      <c r="G43" s="181"/>
      <c r="H43" s="181"/>
      <c r="I43" s="181"/>
      <c r="J43" s="181"/>
      <c r="K43" s="181"/>
      <c r="L43" s="181"/>
      <c r="M43" s="181"/>
      <c r="N43" s="180"/>
      <c r="O43" s="323"/>
      <c r="P43" s="181"/>
      <c r="Q43" s="181"/>
    </row>
    <row r="44" spans="1:17" s="310" customFormat="1" ht="14.45">
      <c r="A44" s="66" t="s">
        <v>266</v>
      </c>
      <c r="D44" s="311"/>
      <c r="E44" s="312"/>
      <c r="F44" s="311"/>
      <c r="N44" s="681"/>
    </row>
    <row r="45" spans="1:17" ht="15">
      <c r="A45" s="66" t="s">
        <v>267</v>
      </c>
      <c r="D45" s="164"/>
      <c r="E45" s="118"/>
      <c r="F45" s="164"/>
      <c r="N45" s="681"/>
    </row>
    <row r="46" spans="1:17" ht="15">
      <c r="A46" s="66" t="s">
        <v>268</v>
      </c>
      <c r="C46" s="66"/>
      <c r="D46" s="164"/>
      <c r="E46" s="118"/>
      <c r="F46" s="164"/>
      <c r="N46" s="681"/>
    </row>
    <row r="47" spans="1:17" ht="15">
      <c r="A47" s="66" t="s">
        <v>269</v>
      </c>
      <c r="B47" s="66"/>
      <c r="D47" s="164"/>
      <c r="E47" s="118"/>
      <c r="F47" s="164"/>
      <c r="N47" s="681"/>
    </row>
    <row r="48" spans="1:17" ht="15">
      <c r="A48" s="684" t="s">
        <v>270</v>
      </c>
      <c r="D48" s="164"/>
      <c r="E48" s="118"/>
      <c r="F48" s="164"/>
      <c r="N48" s="681"/>
    </row>
    <row r="49" spans="1:15" s="200" customFormat="1" ht="14.25">
      <c r="A49" s="684" t="s">
        <v>271</v>
      </c>
    </row>
    <row r="50" spans="1:15" ht="15">
      <c r="A50" s="684" t="s">
        <v>272</v>
      </c>
      <c r="E50" s="167"/>
      <c r="F50" s="164"/>
      <c r="O50" s="310"/>
    </row>
    <row r="51" spans="1:15" s="66" customFormat="1" ht="13.5" customHeight="1">
      <c r="O51" s="165"/>
    </row>
    <row r="52" spans="1:15" s="66" customFormat="1" ht="13.5" customHeight="1">
      <c r="A52" s="648" t="s">
        <v>216</v>
      </c>
    </row>
    <row r="53" spans="1:15" ht="12.95">
      <c r="A53" s="653" t="s">
        <v>84</v>
      </c>
    </row>
    <row r="54" spans="1:15" ht="14.1">
      <c r="C54" s="313"/>
    </row>
    <row r="55" spans="1:15" ht="14.1">
      <c r="A55" s="66"/>
      <c r="C55" s="315"/>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21088E984398724D8C1DB16B0011A0BF" ma:contentTypeVersion="6273" ma:contentTypeDescription="Create a new document." ma:contentTypeScope="" ma:versionID="f03f3fb50594f1ca4be9b67cacc566f6">
  <xsd:schema xmlns:xsd="http://www.w3.org/2001/XMLSchema" xmlns:xs="http://www.w3.org/2001/XMLSchema" xmlns:p="http://schemas.microsoft.com/office/2006/metadata/properties" xmlns:ns2="9bf079a2-8838-46e4-a25e-754293e27338" xmlns:ns3="3186f035-0cdb-442a-b3b5-e1bf8686ba54" targetNamespace="http://schemas.microsoft.com/office/2006/metadata/properties" ma:root="true" ma:fieldsID="b63f42fbf8a6295edfde7bedbafa4ccd" ns2:_="" ns3:_="">
    <xsd:import namespace="9bf079a2-8838-46e4-a25e-754293e27338"/>
    <xsd:import namespace="3186f035-0cdb-442a-b3b5-e1bf8686ba5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_Flow_SignoffStatu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86f035-0cdb-442a-b3b5-e1bf8686ba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Flow_SignoffStatus" ma:index="15"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Flow_SignoffStatus xmlns="3186f035-0cdb-442a-b3b5-e1bf8686ba54" xsi:nil="true"/>
    <_dlc_DocId xmlns="9bf079a2-8838-46e4-a25e-754293e27338">7RCVYNPDDY4V-1526832976-152</_dlc_DocId>
    <_dlc_DocIdUrl xmlns="9bf079a2-8838-46e4-a25e-754293e27338">
      <Url>https://sempra.sharepoint.com/teams/sdgecp/po/drps/_layouts/15/DocIdRedir.aspx?ID=7RCVYNPDDY4V-1526832976-152</Url>
      <Description>7RCVYNPDDY4V-1526832976-152</Description>
    </_dlc_DocIdUrl>
    <SharedWithUsers xmlns="9bf079a2-8838-46e4-a25e-754293e27338">
      <UserInfo>
        <DisplayName>Valdivieso, Guillermo</DisplayName>
        <AccountId>212</AccountId>
        <AccountType/>
      </UserInfo>
    </SharedWithUsers>
  </documentManagement>
</p:properties>
</file>

<file path=customXml/itemProps1.xml><?xml version="1.0" encoding="utf-8"?>
<ds:datastoreItem xmlns:ds="http://schemas.openxmlformats.org/officeDocument/2006/customXml" ds:itemID="{B9BCF475-1DB9-4419-A429-5743143F8A2F}"/>
</file>

<file path=customXml/itemProps2.xml><?xml version="1.0" encoding="utf-8"?>
<ds:datastoreItem xmlns:ds="http://schemas.openxmlformats.org/officeDocument/2006/customXml" ds:itemID="{680486D6-920A-4B96-82F8-54628C0563E2}"/>
</file>

<file path=customXml/itemProps3.xml><?xml version="1.0" encoding="utf-8"?>
<ds:datastoreItem xmlns:ds="http://schemas.openxmlformats.org/officeDocument/2006/customXml" ds:itemID="{53F042AA-8501-43B8-A0B2-A6DDA6F3779C}"/>
</file>

<file path=customXml/itemProps4.xml><?xml version="1.0" encoding="utf-8"?>
<ds:datastoreItem xmlns:ds="http://schemas.openxmlformats.org/officeDocument/2006/customXml" ds:itemID="{5B9CE5A5-034A-44C5-96B1-1FD952A1C46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
  <cp:revision/>
  <dcterms:created xsi:type="dcterms:W3CDTF">2013-01-03T17:03:43Z</dcterms:created>
  <dcterms:modified xsi:type="dcterms:W3CDTF">2022-10-21T20:09:13Z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0x01010021088E984398724D8C1DB16B0011A0BF</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187231ee-08c8-4c97-99bb-a722b1efc186</vt:lpwstr>
  </property>
  <property fmtid="{D5CDD505-2E9C-101B-9397-08002B2CF9AE}" pid="8" name="SharedWithUsers">
    <vt:lpwstr>212;#Valdivieso, Guillermo</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