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ce\workgroup\CSBU4\TP&amp;S Systems\Event Dispatch\Reporting\2022\Monthly ILP\12 December 2022\"/>
    </mc:Choice>
  </mc:AlternateContent>
  <xr:revisionPtr revIDLastSave="0" documentId="13_ncr:1_{D5F68127-2000-4257-9E17-59F26CAD8796}" xr6:coauthVersionLast="47" xr6:coauthVersionMax="47" xr10:uidLastSave="{00000000-0000-0000-0000-000000000000}"/>
  <bookViews>
    <workbookView xWindow="-120" yWindow="-120" windowWidth="29040" windowHeight="15840" tabRatio="850" firstSheet="1" activeTab="1" xr2:uid="{15BFD274-8CC1-44A9-BD49-57E392709670}"/>
  </bookViews>
  <sheets>
    <sheet name="Program Names" sheetId="1" state="hidden" r:id="rId1"/>
    <sheet name="Program Ex Ante &amp; Ex Post MWs" sheetId="2" r:id="rId2"/>
    <sheet name="Load Impacts (ExPost &amp; ExAnte)" sheetId="10" r:id="rId3"/>
    <sheet name="Auto DR Current Cycle" sheetId="7" r:id="rId4"/>
    <sheet name="Auto DR Carryover Cycles" sheetId="6" r:id="rId5"/>
    <sheet name="2022 DRP Expenditures" sheetId="8" r:id="rId6"/>
    <sheet name="DRP Carryover Expenditures" sheetId="9" r:id="rId7"/>
    <sheet name="Incentives" sheetId="11" r:id="rId8"/>
    <sheet name="Fund Shift Log" sheetId="3" r:id="rId9"/>
    <sheet name="Marketing Monthly" sheetId="12" r:id="rId10"/>
    <sheet name="Marketing Quarterly" sheetId="14" r:id="rId11"/>
    <sheet name="Event Summary" sheetId="13" r:id="rId12"/>
  </sheets>
  <definedNames>
    <definedName name="_xlnm._FilterDatabase" localSheetId="11" hidden="1">'Event Summary'!$A$5:$K$5</definedName>
    <definedName name="_xlnm._FilterDatabase" localSheetId="9" hidden="1">'Marketing Monthly'!$B$1:$Q$10</definedName>
    <definedName name="_xlnm._FilterDatabase" localSheetId="10" hidden="1">'Marketing Quarterly'!$B$1:$I$10</definedName>
    <definedName name="API">'Program Names'!$A$2</definedName>
    <definedName name="API_I">'Program Names'!$A$3</definedName>
    <definedName name="BIP_15">'Program Names'!$A$4</definedName>
    <definedName name="BIP_30">'Program Names'!$A$5</definedName>
    <definedName name="BIP_I">'Program Names'!$A$7</definedName>
    <definedName name="BIPG">'Program Names'!$A$6</definedName>
    <definedName name="CBP_DA">'Program Names'!$A$8</definedName>
    <definedName name="CBP_DO">'Program Names'!$A$9</definedName>
    <definedName name="CBP_I">'Program Names'!$A$11</definedName>
    <definedName name="CBPG">'Program Names'!$A$10</definedName>
    <definedName name="CBPR">'Program Names'!$A$12</definedName>
    <definedName name="CHARG">'Program Names'!$A$13</definedName>
    <definedName name="CHARG_I">'Program Names'!$A$14</definedName>
    <definedName name="CLCP">'Program Names'!$A$15</definedName>
    <definedName name="CLCP_I">'Program Names'!$A$16</definedName>
    <definedName name="CPP">'Program Names'!$A$17</definedName>
    <definedName name="CPP_LG">'Program Names'!$A$20</definedName>
    <definedName name="CPP_MED">'Program Names'!$A$19</definedName>
    <definedName name="CPP_SM">'Program Names'!$A$18</definedName>
    <definedName name="DBP">'Program Names'!$A$21</definedName>
    <definedName name="DRAM">'Program Names'!$A$22</definedName>
    <definedName name="DRPS">'Program Names'!$A$23</definedName>
    <definedName name="DRR_24">'Program Names'!$A$24</definedName>
    <definedName name="DRST">'Program Names'!$A$25</definedName>
    <definedName name="ELRP">'Program Names'!$A$26</definedName>
    <definedName name="ELRP_I">'Program Names'!$A$27</definedName>
    <definedName name="EMT">'Program Names'!$A$28</definedName>
    <definedName name="EMV">'Program Names'!$A$29</definedName>
    <definedName name="ExAnteData">'Load Impacts (ExPost &amp; ExAnte)'!$D$32:$O$46</definedName>
    <definedName name="ExAnteMo">'Load Impacts (ExPost &amp; ExAnte)'!$D$30:$O$30</definedName>
    <definedName name="ExAnteProg">'Load Impacts (ExPost &amp; ExAnte)'!$B$32:$B$46</definedName>
    <definedName name="ExPostData">'Load Impacts (ExPost &amp; ExAnte)'!$D$8:$O$22</definedName>
    <definedName name="ExPostMo">'Load Impacts (ExPost &amp; ExAnte)'!$D$6:$O$6</definedName>
    <definedName name="ExPostProg">'Load Impacts (ExPost &amp; ExAnte)'!$B$8:$B$22</definedName>
    <definedName name="IDSM_NR">'Program Names'!$A$30</definedName>
    <definedName name="IDSM_R">'Program Names'!$A$31</definedName>
    <definedName name="OBMC">'Program Names'!$A$33</definedName>
    <definedName name="OLM">'Program Names'!$A$32</definedName>
    <definedName name="_xlnm.Print_Area" localSheetId="5">'2022 DRP Expenditures'!$B$1:$X$81</definedName>
    <definedName name="_xlnm.Print_Area" localSheetId="6">'DRP Carryover Expenditures'!$B$1:$U$77</definedName>
    <definedName name="_xlnm.Print_Area" localSheetId="8">'Fund Shift Log'!$B$1:$G$27</definedName>
    <definedName name="_xlnm.Print_Area" localSheetId="7">Incentives!$B$1:$V$28</definedName>
    <definedName name="_xlnm.Print_Area" localSheetId="2">'Load Impacts (ExPost &amp; ExAnte)'!$B$1:$Q$51</definedName>
    <definedName name="_xlnm.Print_Area" localSheetId="9">'Marketing Monthly'!$B$1:$R$133</definedName>
    <definedName name="_xlnm.Print_Area" localSheetId="10">'Marketing Quarterly'!$A$1:$J$133</definedName>
    <definedName name="_xlnm.Print_Area" localSheetId="1">'Program Ex Ante &amp; Ex Post MWs'!$B$1:$V$50</definedName>
    <definedName name="ROTO">'Program Names'!$A$35</definedName>
    <definedName name="RTP">'Program Names'!$A$34</definedName>
    <definedName name="SCT">'Program Names'!$A$37</definedName>
    <definedName name="SDP_I">'Program Names'!$A$44</definedName>
    <definedName name="SDPC">'Program Names'!$A$41</definedName>
    <definedName name="SDPG">'Program Names'!$A$43</definedName>
    <definedName name="SDPR">'Program Names'!$A$42</definedName>
    <definedName name="SEP">'Program Names'!$A$38</definedName>
    <definedName name="SEP_I">'Program Names'!$A$39</definedName>
    <definedName name="SLRP">'Program Names'!$A$36</definedName>
    <definedName name="SWMEO">'Program Names'!$A$40</definedName>
    <definedName name="TIP">'Program Names'!$A$45</definedName>
    <definedName name="VPP">'Program Names'!$A$46</definedName>
    <definedName name="VPP_I">'Program Names'!$A$47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3" i="11" l="1"/>
  <c r="N51" i="12"/>
  <c r="N111" i="12"/>
  <c r="N125" i="12"/>
  <c r="N126" i="12"/>
  <c r="F9" i="14"/>
  <c r="F8" i="14"/>
  <c r="F126" i="14"/>
  <c r="F125" i="14"/>
  <c r="N124" i="12"/>
  <c r="F124" i="14"/>
  <c r="N123" i="12"/>
  <c r="F123" i="14"/>
  <c r="F109" i="14"/>
  <c r="F108" i="14"/>
  <c r="F107" i="14"/>
  <c r="F106" i="14"/>
  <c r="F105" i="14"/>
  <c r="F102" i="14"/>
  <c r="F101" i="14"/>
  <c r="F100" i="14"/>
  <c r="F99" i="14"/>
  <c r="F98" i="14"/>
  <c r="F95" i="14"/>
  <c r="F94" i="14"/>
  <c r="F93" i="14"/>
  <c r="F92" i="14"/>
  <c r="F91" i="14"/>
  <c r="F88" i="14"/>
  <c r="F87" i="14"/>
  <c r="F86" i="14"/>
  <c r="F85" i="14"/>
  <c r="F84" i="14"/>
  <c r="F81" i="14"/>
  <c r="F80" i="14"/>
  <c r="F79" i="14"/>
  <c r="F78" i="14"/>
  <c r="F77" i="14"/>
  <c r="F74" i="14"/>
  <c r="F73" i="14"/>
  <c r="F72" i="14"/>
  <c r="F71" i="14"/>
  <c r="F70" i="14"/>
  <c r="F67" i="14"/>
  <c r="F66" i="14"/>
  <c r="F65" i="14"/>
  <c r="F64" i="14"/>
  <c r="F63" i="14"/>
  <c r="F60" i="14"/>
  <c r="F59" i="14"/>
  <c r="F58" i="14"/>
  <c r="F57" i="14"/>
  <c r="F56" i="14"/>
  <c r="F49" i="14"/>
  <c r="F48" i="14"/>
  <c r="F47" i="14"/>
  <c r="F44" i="14"/>
  <c r="F43" i="14"/>
  <c r="F40" i="14"/>
  <c r="F39" i="14"/>
  <c r="F38" i="14"/>
  <c r="F37" i="14"/>
  <c r="F36" i="14"/>
  <c r="F33" i="14"/>
  <c r="F32" i="14"/>
  <c r="F29" i="14"/>
  <c r="F26" i="14"/>
  <c r="F25" i="14"/>
  <c r="F24" i="14"/>
  <c r="F21" i="14"/>
  <c r="F20" i="14"/>
  <c r="F19" i="14"/>
  <c r="F18" i="14"/>
  <c r="F17" i="14"/>
  <c r="C25" i="3"/>
  <c r="U36" i="2"/>
  <c r="T35" i="2"/>
  <c r="U34" i="2"/>
  <c r="T31" i="2"/>
  <c r="T30" i="2"/>
  <c r="U30" i="2"/>
  <c r="U31" i="2"/>
  <c r="T34" i="2"/>
  <c r="U35" i="2"/>
  <c r="T36" i="2"/>
  <c r="E11" i="14"/>
  <c r="D11" i="14"/>
  <c r="C11" i="14"/>
  <c r="C11" i="12"/>
  <c r="E109" i="14"/>
  <c r="E108" i="14"/>
  <c r="E107" i="14"/>
  <c r="E106" i="14"/>
  <c r="E105" i="14"/>
  <c r="E102" i="14"/>
  <c r="E101" i="14"/>
  <c r="E100" i="14"/>
  <c r="E99" i="14"/>
  <c r="E98" i="14"/>
  <c r="E95" i="14"/>
  <c r="E94" i="14"/>
  <c r="E93" i="14"/>
  <c r="E92" i="14"/>
  <c r="E91" i="14"/>
  <c r="E88" i="14"/>
  <c r="E87" i="14"/>
  <c r="E86" i="14"/>
  <c r="E85" i="14"/>
  <c r="E84" i="14"/>
  <c r="E81" i="14"/>
  <c r="E80" i="14"/>
  <c r="E79" i="14"/>
  <c r="E78" i="14"/>
  <c r="E77" i="14"/>
  <c r="E74" i="14"/>
  <c r="E73" i="14"/>
  <c r="E72" i="14"/>
  <c r="E71" i="14"/>
  <c r="E70" i="14"/>
  <c r="E67" i="14"/>
  <c r="E66" i="14"/>
  <c r="E65" i="14"/>
  <c r="E64" i="14"/>
  <c r="E63" i="14"/>
  <c r="E60" i="14"/>
  <c r="E59" i="14"/>
  <c r="E58" i="14"/>
  <c r="E57" i="14"/>
  <c r="E56" i="14"/>
  <c r="E49" i="14"/>
  <c r="E48" i="14"/>
  <c r="E47" i="14"/>
  <c r="E44" i="14"/>
  <c r="E43" i="14"/>
  <c r="E40" i="14"/>
  <c r="E39" i="14"/>
  <c r="E38" i="14"/>
  <c r="E37" i="14"/>
  <c r="E36" i="14"/>
  <c r="E33" i="14"/>
  <c r="E32" i="14"/>
  <c r="E29" i="14"/>
  <c r="E26" i="14"/>
  <c r="E25" i="14"/>
  <c r="E24" i="14"/>
  <c r="E21" i="14"/>
  <c r="E20" i="14"/>
  <c r="E19" i="14"/>
  <c r="E18" i="14"/>
  <c r="E17" i="14"/>
  <c r="E9" i="14"/>
  <c r="E8" i="14"/>
  <c r="K331" i="13"/>
  <c r="K315" i="13"/>
  <c r="K316" i="13"/>
  <c r="K317" i="13"/>
  <c r="K318" i="13"/>
  <c r="K319" i="13"/>
  <c r="K320" i="13"/>
  <c r="K321" i="13"/>
  <c r="K10" i="13"/>
  <c r="K11" i="13"/>
  <c r="K12" i="13"/>
  <c r="K6" i="13"/>
  <c r="K7" i="13"/>
  <c r="K8" i="13"/>
  <c r="N32" i="8"/>
  <c r="N59" i="8"/>
  <c r="N16" i="11"/>
  <c r="N16" i="8"/>
  <c r="U42" i="2"/>
  <c r="T42" i="2"/>
  <c r="U41" i="2"/>
  <c r="T41" i="2"/>
  <c r="R42" i="2"/>
  <c r="Q42" i="2"/>
  <c r="R41" i="2"/>
  <c r="Q41" i="2"/>
  <c r="O42" i="2"/>
  <c r="N42" i="2"/>
  <c r="O41" i="2"/>
  <c r="N41" i="2"/>
  <c r="L42" i="2"/>
  <c r="K42" i="2"/>
  <c r="L41" i="2"/>
  <c r="K41" i="2"/>
  <c r="I42" i="2"/>
  <c r="H42" i="2"/>
  <c r="I41" i="2"/>
  <c r="H41" i="2"/>
  <c r="U29" i="2"/>
  <c r="T29" i="2"/>
  <c r="R36" i="2"/>
  <c r="Q36" i="2"/>
  <c r="R35" i="2"/>
  <c r="Q35" i="2"/>
  <c r="R34" i="2"/>
  <c r="Q34" i="2"/>
  <c r="R31" i="2"/>
  <c r="Q31" i="2"/>
  <c r="R30" i="2"/>
  <c r="Q30" i="2"/>
  <c r="R29" i="2"/>
  <c r="Q29" i="2"/>
  <c r="O36" i="2"/>
  <c r="N36" i="2"/>
  <c r="O35" i="2"/>
  <c r="N35" i="2"/>
  <c r="O34" i="2"/>
  <c r="N34" i="2"/>
  <c r="O33" i="2"/>
  <c r="N33" i="2"/>
  <c r="O32" i="2"/>
  <c r="N32" i="2"/>
  <c r="O31" i="2"/>
  <c r="N31" i="2"/>
  <c r="O30" i="2"/>
  <c r="N30" i="2"/>
  <c r="O29" i="2"/>
  <c r="N29" i="2"/>
  <c r="L36" i="2"/>
  <c r="K36" i="2"/>
  <c r="L35" i="2"/>
  <c r="K35" i="2"/>
  <c r="L34" i="2"/>
  <c r="K34" i="2"/>
  <c r="L33" i="2"/>
  <c r="K33" i="2"/>
  <c r="L32" i="2"/>
  <c r="K32" i="2"/>
  <c r="L31" i="2"/>
  <c r="K31" i="2"/>
  <c r="L30" i="2"/>
  <c r="K30" i="2"/>
  <c r="L29" i="2"/>
  <c r="K29" i="2"/>
  <c r="I36" i="2"/>
  <c r="H36" i="2"/>
  <c r="I35" i="2"/>
  <c r="H35" i="2"/>
  <c r="I34" i="2"/>
  <c r="H34" i="2"/>
  <c r="I33" i="2"/>
  <c r="H33" i="2"/>
  <c r="I32" i="2"/>
  <c r="H32" i="2"/>
  <c r="I31" i="2"/>
  <c r="H31" i="2"/>
  <c r="I30" i="2"/>
  <c r="H30" i="2"/>
  <c r="I29" i="2"/>
  <c r="H29" i="2"/>
  <c r="F42" i="2"/>
  <c r="F41" i="2"/>
  <c r="F36" i="2"/>
  <c r="F35" i="2"/>
  <c r="F34" i="2"/>
  <c r="F33" i="2"/>
  <c r="F32" i="2"/>
  <c r="F31" i="2"/>
  <c r="F30" i="2"/>
  <c r="F29" i="2"/>
  <c r="E42" i="2"/>
  <c r="E41" i="2"/>
  <c r="E36" i="2"/>
  <c r="E35" i="2"/>
  <c r="E34" i="2"/>
  <c r="E33" i="2"/>
  <c r="E32" i="2"/>
  <c r="E31" i="2"/>
  <c r="E30" i="2"/>
  <c r="E29" i="2"/>
  <c r="D109" i="14"/>
  <c r="D108" i="14"/>
  <c r="D107" i="14"/>
  <c r="D106" i="14"/>
  <c r="D105" i="14"/>
  <c r="D102" i="14"/>
  <c r="G102" i="14"/>
  <c r="D101" i="14"/>
  <c r="G101" i="14"/>
  <c r="D100" i="14"/>
  <c r="G100" i="14"/>
  <c r="D99" i="14"/>
  <c r="D98" i="14"/>
  <c r="D95" i="14"/>
  <c r="D94" i="14"/>
  <c r="D93" i="14"/>
  <c r="D92" i="14"/>
  <c r="G92" i="14"/>
  <c r="D91" i="14"/>
  <c r="G91" i="14"/>
  <c r="D88" i="14"/>
  <c r="G88" i="14"/>
  <c r="D87" i="14"/>
  <c r="G87" i="14"/>
  <c r="D86" i="14"/>
  <c r="D85" i="14"/>
  <c r="D84" i="14"/>
  <c r="D81" i="14"/>
  <c r="D80" i="14"/>
  <c r="D79" i="14"/>
  <c r="D78" i="14"/>
  <c r="G78" i="14"/>
  <c r="D77" i="14"/>
  <c r="D74" i="14"/>
  <c r="D73" i="14"/>
  <c r="D72" i="14"/>
  <c r="D71" i="14"/>
  <c r="D70" i="14"/>
  <c r="D67" i="14"/>
  <c r="D66" i="14"/>
  <c r="D65" i="14"/>
  <c r="D64" i="14"/>
  <c r="D63" i="14"/>
  <c r="D60" i="14"/>
  <c r="D59" i="14"/>
  <c r="D58" i="14"/>
  <c r="D57" i="14"/>
  <c r="D56" i="14"/>
  <c r="G56" i="14"/>
  <c r="D49" i="14"/>
  <c r="D48" i="14"/>
  <c r="D47" i="14"/>
  <c r="D44" i="14"/>
  <c r="D43" i="14"/>
  <c r="D40" i="14"/>
  <c r="D39" i="14"/>
  <c r="D38" i="14"/>
  <c r="G38" i="14"/>
  <c r="I38" i="14"/>
  <c r="D37" i="14"/>
  <c r="D36" i="14"/>
  <c r="D33" i="14"/>
  <c r="D32" i="14"/>
  <c r="D29" i="14"/>
  <c r="D26" i="14"/>
  <c r="D25" i="14"/>
  <c r="D24" i="14"/>
  <c r="D21" i="14"/>
  <c r="D20" i="14"/>
  <c r="D19" i="14"/>
  <c r="D18" i="14"/>
  <c r="D17" i="14"/>
  <c r="D9" i="14"/>
  <c r="D8" i="14"/>
  <c r="K457" i="13"/>
  <c r="K458" i="13"/>
  <c r="K459" i="13"/>
  <c r="K460" i="13"/>
  <c r="K461" i="13"/>
  <c r="K450" i="13"/>
  <c r="K451" i="13"/>
  <c r="K452" i="13"/>
  <c r="K453" i="13"/>
  <c r="K442" i="13"/>
  <c r="K443" i="13"/>
  <c r="K444" i="13"/>
  <c r="K445" i="13"/>
  <c r="K446" i="13"/>
  <c r="K434" i="13"/>
  <c r="K435" i="13"/>
  <c r="K436" i="13"/>
  <c r="K437" i="13"/>
  <c r="K438" i="13"/>
  <c r="K426" i="13"/>
  <c r="K427" i="13"/>
  <c r="K428" i="13"/>
  <c r="K429" i="13"/>
  <c r="K430" i="13"/>
  <c r="K418" i="13"/>
  <c r="K419" i="13"/>
  <c r="K420" i="13"/>
  <c r="K421" i="13"/>
  <c r="K422" i="13"/>
  <c r="K410" i="13"/>
  <c r="K411" i="13"/>
  <c r="K412" i="13"/>
  <c r="K413" i="13"/>
  <c r="K414" i="13"/>
  <c r="K402" i="13"/>
  <c r="K403" i="13"/>
  <c r="K404" i="13"/>
  <c r="K405" i="13"/>
  <c r="K406" i="13"/>
  <c r="K394" i="13"/>
  <c r="K395" i="13"/>
  <c r="K396" i="13"/>
  <c r="K397" i="13"/>
  <c r="K398" i="13"/>
  <c r="K386" i="13"/>
  <c r="K387" i="13"/>
  <c r="K388" i="13"/>
  <c r="K389" i="13"/>
  <c r="K390" i="13"/>
  <c r="K378" i="13"/>
  <c r="K379" i="13"/>
  <c r="K380" i="13"/>
  <c r="K381" i="13"/>
  <c r="K382" i="13"/>
  <c r="K371" i="13"/>
  <c r="K372" i="13"/>
  <c r="K373" i="13"/>
  <c r="K374" i="13"/>
  <c r="K363" i="13"/>
  <c r="K364" i="13"/>
  <c r="K365" i="13"/>
  <c r="K366" i="13"/>
  <c r="K367" i="13"/>
  <c r="K355" i="13"/>
  <c r="K356" i="13"/>
  <c r="K357" i="13"/>
  <c r="K358" i="13"/>
  <c r="K359" i="13"/>
  <c r="K347" i="13"/>
  <c r="K348" i="13"/>
  <c r="K349" i="13"/>
  <c r="K350" i="13"/>
  <c r="K351" i="13"/>
  <c r="K352" i="13"/>
  <c r="K353" i="13"/>
  <c r="K339" i="13"/>
  <c r="K340" i="13"/>
  <c r="K341" i="13"/>
  <c r="K342" i="13"/>
  <c r="K343" i="13"/>
  <c r="K332" i="13"/>
  <c r="K333" i="13"/>
  <c r="K334" i="13"/>
  <c r="K335" i="13"/>
  <c r="K323" i="13"/>
  <c r="K324" i="13"/>
  <c r="K325" i="13"/>
  <c r="K326" i="13"/>
  <c r="K327" i="13"/>
  <c r="K307" i="13"/>
  <c r="K308" i="13"/>
  <c r="K309" i="13"/>
  <c r="K310" i="13"/>
  <c r="K311" i="13"/>
  <c r="K534" i="13"/>
  <c r="K535" i="13"/>
  <c r="K536" i="13"/>
  <c r="K537" i="13"/>
  <c r="K538" i="13"/>
  <c r="K539" i="13"/>
  <c r="K540" i="13"/>
  <c r="K541" i="13"/>
  <c r="K542" i="13"/>
  <c r="K543" i="13"/>
  <c r="K544" i="13"/>
  <c r="K545" i="13"/>
  <c r="K546" i="13"/>
  <c r="K521" i="13"/>
  <c r="K522" i="13"/>
  <c r="K523" i="13"/>
  <c r="K524" i="13"/>
  <c r="K525" i="13"/>
  <c r="K526" i="13"/>
  <c r="K527" i="13"/>
  <c r="K528" i="13"/>
  <c r="K529" i="13"/>
  <c r="K530" i="13"/>
  <c r="K531" i="13"/>
  <c r="K532" i="13"/>
  <c r="K507" i="13"/>
  <c r="K508" i="13"/>
  <c r="K509" i="13"/>
  <c r="K510" i="13"/>
  <c r="K511" i="13"/>
  <c r="K512" i="13"/>
  <c r="K513" i="13"/>
  <c r="K514" i="13"/>
  <c r="K515" i="13"/>
  <c r="K516" i="13"/>
  <c r="K517" i="13"/>
  <c r="K518" i="13"/>
  <c r="K519" i="13"/>
  <c r="K493" i="13"/>
  <c r="K494" i="13"/>
  <c r="K495" i="13"/>
  <c r="K496" i="13"/>
  <c r="K497" i="13"/>
  <c r="K498" i="13"/>
  <c r="K499" i="13"/>
  <c r="K500" i="13"/>
  <c r="K501" i="13"/>
  <c r="K502" i="13"/>
  <c r="K503" i="13"/>
  <c r="K504" i="13"/>
  <c r="K505" i="13"/>
  <c r="K479" i="13"/>
  <c r="K480" i="13"/>
  <c r="K481" i="13"/>
  <c r="K482" i="13"/>
  <c r="K483" i="13"/>
  <c r="K484" i="13"/>
  <c r="K485" i="13"/>
  <c r="K486" i="13"/>
  <c r="K487" i="13"/>
  <c r="K488" i="13"/>
  <c r="K489" i="13"/>
  <c r="K490" i="13"/>
  <c r="K491" i="13"/>
  <c r="K465" i="13"/>
  <c r="K466" i="13"/>
  <c r="K467" i="13"/>
  <c r="K468" i="13"/>
  <c r="K469" i="13"/>
  <c r="K470" i="13"/>
  <c r="K471" i="13"/>
  <c r="K472" i="13"/>
  <c r="K473" i="13"/>
  <c r="K474" i="13"/>
  <c r="K475" i="13"/>
  <c r="K476" i="13"/>
  <c r="K477" i="13"/>
  <c r="K548" i="13"/>
  <c r="K549" i="13"/>
  <c r="K550" i="13"/>
  <c r="K551" i="13"/>
  <c r="K552" i="13"/>
  <c r="K553" i="13"/>
  <c r="K554" i="13"/>
  <c r="K555" i="13"/>
  <c r="K556" i="13"/>
  <c r="K557" i="13"/>
  <c r="K558" i="13"/>
  <c r="K559" i="13"/>
  <c r="K560" i="13"/>
  <c r="K561" i="13"/>
  <c r="K562" i="13"/>
  <c r="K268" i="13"/>
  <c r="K269" i="13"/>
  <c r="K270" i="13"/>
  <c r="K271" i="13"/>
  <c r="K272" i="13"/>
  <c r="K273" i="13"/>
  <c r="K274" i="13"/>
  <c r="K275" i="13"/>
  <c r="K276" i="13"/>
  <c r="K277" i="13"/>
  <c r="K278" i="13"/>
  <c r="K279" i="13"/>
  <c r="K280" i="13"/>
  <c r="K281" i="13"/>
  <c r="K282" i="13"/>
  <c r="K283" i="13"/>
  <c r="K284" i="13"/>
  <c r="K285" i="13"/>
  <c r="K286" i="13"/>
  <c r="K287" i="13"/>
  <c r="K288" i="13"/>
  <c r="K289" i="13"/>
  <c r="K290" i="13"/>
  <c r="K291" i="13"/>
  <c r="K292" i="13"/>
  <c r="K293" i="13"/>
  <c r="K294" i="13"/>
  <c r="K295" i="13"/>
  <c r="K296" i="13"/>
  <c r="K297" i="13"/>
  <c r="K298" i="13"/>
  <c r="K299" i="13"/>
  <c r="K300" i="13"/>
  <c r="K301" i="13"/>
  <c r="K302" i="13"/>
  <c r="K303" i="13"/>
  <c r="K304" i="13"/>
  <c r="K305" i="13"/>
  <c r="K243" i="13"/>
  <c r="K244" i="13"/>
  <c r="K245" i="13"/>
  <c r="K246" i="13"/>
  <c r="K247" i="13"/>
  <c r="K248" i="13"/>
  <c r="K249" i="13"/>
  <c r="K250" i="13"/>
  <c r="K251" i="13"/>
  <c r="K252" i="13"/>
  <c r="K253" i="13"/>
  <c r="K254" i="13"/>
  <c r="K255" i="13"/>
  <c r="K256" i="13"/>
  <c r="K257" i="13"/>
  <c r="K258" i="13"/>
  <c r="K259" i="13"/>
  <c r="K260" i="13"/>
  <c r="K261" i="13"/>
  <c r="K262" i="13"/>
  <c r="K263" i="13"/>
  <c r="K264" i="13"/>
  <c r="K265" i="13"/>
  <c r="K266" i="13"/>
  <c r="K194" i="13"/>
  <c r="K195" i="13"/>
  <c r="K196" i="13"/>
  <c r="K197" i="13"/>
  <c r="K198" i="13"/>
  <c r="K199" i="13"/>
  <c r="K200" i="13"/>
  <c r="K201" i="13"/>
  <c r="K202" i="13"/>
  <c r="K203" i="13"/>
  <c r="K204" i="13"/>
  <c r="K205" i="13"/>
  <c r="K206" i="13"/>
  <c r="K207" i="13"/>
  <c r="K208" i="13"/>
  <c r="K209" i="13"/>
  <c r="K210" i="13"/>
  <c r="K211" i="13"/>
  <c r="K212" i="13"/>
  <c r="K213" i="13"/>
  <c r="K214" i="13"/>
  <c r="K215" i="13"/>
  <c r="K216" i="13"/>
  <c r="K217" i="13"/>
  <c r="K218" i="13"/>
  <c r="K219" i="13"/>
  <c r="K220" i="13"/>
  <c r="K221" i="13"/>
  <c r="K222" i="13"/>
  <c r="K223" i="13"/>
  <c r="K224" i="13"/>
  <c r="K225" i="13"/>
  <c r="K226" i="13"/>
  <c r="K227" i="13"/>
  <c r="K228" i="13"/>
  <c r="K229" i="13"/>
  <c r="K230" i="13"/>
  <c r="K231" i="13"/>
  <c r="K232" i="13"/>
  <c r="K233" i="13"/>
  <c r="K234" i="13"/>
  <c r="K235" i="13"/>
  <c r="K236" i="13"/>
  <c r="K237" i="13"/>
  <c r="K238" i="13"/>
  <c r="K239" i="13"/>
  <c r="K240" i="13"/>
  <c r="K241" i="13"/>
  <c r="K171" i="13"/>
  <c r="K172" i="13"/>
  <c r="K173" i="13"/>
  <c r="K174" i="13"/>
  <c r="K175" i="13"/>
  <c r="K176" i="13"/>
  <c r="K177" i="13"/>
  <c r="K178" i="13"/>
  <c r="K179" i="13"/>
  <c r="K180" i="13"/>
  <c r="K181" i="13"/>
  <c r="K182" i="13"/>
  <c r="K183" i="13"/>
  <c r="K184" i="13"/>
  <c r="K185" i="13"/>
  <c r="K186" i="13"/>
  <c r="K187" i="13"/>
  <c r="K188" i="13"/>
  <c r="K189" i="13"/>
  <c r="K190" i="13"/>
  <c r="K191" i="13"/>
  <c r="K192" i="13"/>
  <c r="K130" i="13"/>
  <c r="K131" i="13"/>
  <c r="K132" i="13"/>
  <c r="K133" i="13"/>
  <c r="K134" i="13"/>
  <c r="K135" i="13"/>
  <c r="K136" i="13"/>
  <c r="K137" i="13"/>
  <c r="K138" i="13"/>
  <c r="K139" i="13"/>
  <c r="K140" i="13"/>
  <c r="K141" i="13"/>
  <c r="K142" i="13"/>
  <c r="K143" i="13"/>
  <c r="K144" i="13"/>
  <c r="K145" i="13"/>
  <c r="K146" i="13"/>
  <c r="K147" i="13"/>
  <c r="K148" i="13"/>
  <c r="K149" i="13"/>
  <c r="K150" i="13"/>
  <c r="K151" i="13"/>
  <c r="K152" i="13"/>
  <c r="K153" i="13"/>
  <c r="K154" i="13"/>
  <c r="K155" i="13"/>
  <c r="K156" i="13"/>
  <c r="K157" i="13"/>
  <c r="K158" i="13"/>
  <c r="K159" i="13"/>
  <c r="K160" i="13"/>
  <c r="K161" i="13"/>
  <c r="K162" i="13"/>
  <c r="K163" i="13"/>
  <c r="K164" i="13"/>
  <c r="K165" i="13"/>
  <c r="K166" i="13"/>
  <c r="K167" i="13"/>
  <c r="K168" i="13"/>
  <c r="K169" i="13"/>
  <c r="K108" i="13"/>
  <c r="K109" i="13"/>
  <c r="K110" i="13"/>
  <c r="K111" i="13"/>
  <c r="K112" i="13"/>
  <c r="K113" i="13"/>
  <c r="K114" i="13"/>
  <c r="K115" i="13"/>
  <c r="K116" i="13"/>
  <c r="K117" i="13"/>
  <c r="K118" i="13"/>
  <c r="K119" i="13"/>
  <c r="K120" i="13"/>
  <c r="K121" i="13"/>
  <c r="K122" i="13"/>
  <c r="K123" i="13"/>
  <c r="K124" i="13"/>
  <c r="K125" i="13"/>
  <c r="K126" i="13"/>
  <c r="K127" i="13"/>
  <c r="K128" i="13"/>
  <c r="K88" i="13"/>
  <c r="K89" i="13"/>
  <c r="K90" i="13"/>
  <c r="K91" i="13"/>
  <c r="K92" i="13"/>
  <c r="K93" i="13"/>
  <c r="K94" i="13"/>
  <c r="K95" i="13"/>
  <c r="K96" i="13"/>
  <c r="K97" i="13"/>
  <c r="K98" i="13"/>
  <c r="K99" i="13"/>
  <c r="K100" i="13"/>
  <c r="K101" i="13"/>
  <c r="K102" i="13"/>
  <c r="K103" i="13"/>
  <c r="K104" i="13"/>
  <c r="K105" i="13"/>
  <c r="K106" i="13"/>
  <c r="K63" i="13"/>
  <c r="K64" i="13"/>
  <c r="K65" i="13"/>
  <c r="K66" i="13"/>
  <c r="K67" i="13"/>
  <c r="K68" i="13"/>
  <c r="K69" i="13"/>
  <c r="K70" i="13"/>
  <c r="K71" i="13"/>
  <c r="K72" i="13"/>
  <c r="K73" i="13"/>
  <c r="K74" i="13"/>
  <c r="K75" i="13"/>
  <c r="K76" i="13"/>
  <c r="K77" i="13"/>
  <c r="K78" i="13"/>
  <c r="K79" i="13"/>
  <c r="K80" i="13"/>
  <c r="K81" i="13"/>
  <c r="K82" i="13"/>
  <c r="K83" i="13"/>
  <c r="K84" i="13"/>
  <c r="K85" i="13"/>
  <c r="K86" i="13"/>
  <c r="K41" i="13"/>
  <c r="K42" i="13"/>
  <c r="K43" i="13"/>
  <c r="K44" i="13"/>
  <c r="K45" i="13"/>
  <c r="K46" i="13"/>
  <c r="K47" i="13"/>
  <c r="K48" i="13"/>
  <c r="K49" i="13"/>
  <c r="K50" i="13"/>
  <c r="K51" i="13"/>
  <c r="K52" i="13"/>
  <c r="K53" i="13"/>
  <c r="K54" i="13"/>
  <c r="K55" i="13"/>
  <c r="K56" i="13"/>
  <c r="K57" i="13"/>
  <c r="K58" i="13"/>
  <c r="K59" i="13"/>
  <c r="K60" i="13"/>
  <c r="K61"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T21" i="2"/>
  <c r="T13" i="2"/>
  <c r="U11" i="2"/>
  <c r="S16" i="2"/>
  <c r="G59" i="8"/>
  <c r="L9" i="8"/>
  <c r="L11" i="8"/>
  <c r="L13" i="8"/>
  <c r="L15" i="8"/>
  <c r="L17" i="8"/>
  <c r="G43" i="8"/>
  <c r="K16" i="11"/>
  <c r="V17" i="8"/>
  <c r="V16" i="8"/>
  <c r="K16" i="8"/>
  <c r="O37" i="12"/>
  <c r="Q37" i="12"/>
  <c r="C37" i="14"/>
  <c r="G37" i="14"/>
  <c r="I37" i="14"/>
  <c r="B37" i="14"/>
  <c r="B37" i="12"/>
  <c r="E51" i="14"/>
  <c r="E119" i="14"/>
  <c r="F51" i="14"/>
  <c r="G51" i="12"/>
  <c r="G111" i="12"/>
  <c r="G10" i="12"/>
  <c r="G11" i="12"/>
  <c r="J18" i="11"/>
  <c r="K18" i="11"/>
  <c r="L18" i="11"/>
  <c r="M18" i="11"/>
  <c r="N18" i="11"/>
  <c r="O18" i="11"/>
  <c r="P18" i="11"/>
  <c r="Q18" i="11"/>
  <c r="R18" i="11"/>
  <c r="S18" i="11"/>
  <c r="I18" i="11"/>
  <c r="P16" i="2"/>
  <c r="U15" i="2"/>
  <c r="T15" i="2"/>
  <c r="U14" i="2"/>
  <c r="T14" i="2"/>
  <c r="U13" i="2"/>
  <c r="U12" i="2"/>
  <c r="T12" i="2"/>
  <c r="T11" i="2"/>
  <c r="U10" i="2"/>
  <c r="T10" i="2"/>
  <c r="U9" i="2"/>
  <c r="T9" i="2"/>
  <c r="U8" i="2"/>
  <c r="T8" i="2"/>
  <c r="R15" i="2"/>
  <c r="Q15" i="2"/>
  <c r="R14" i="2"/>
  <c r="Q14" i="2"/>
  <c r="R13" i="2"/>
  <c r="Q13" i="2"/>
  <c r="R12" i="2"/>
  <c r="Q12" i="2"/>
  <c r="R11" i="2"/>
  <c r="Q11" i="2"/>
  <c r="R10" i="2"/>
  <c r="Q10" i="2"/>
  <c r="R9" i="2"/>
  <c r="Q9" i="2"/>
  <c r="R8" i="2"/>
  <c r="Q8" i="2"/>
  <c r="O15" i="2"/>
  <c r="N15" i="2"/>
  <c r="O14" i="2"/>
  <c r="N14" i="2"/>
  <c r="O13" i="2"/>
  <c r="N13" i="2"/>
  <c r="O10" i="2"/>
  <c r="N10" i="2"/>
  <c r="O9" i="2"/>
  <c r="N9" i="2"/>
  <c r="O8" i="2"/>
  <c r="N8" i="2"/>
  <c r="L15" i="2"/>
  <c r="K15" i="2"/>
  <c r="L14" i="2"/>
  <c r="K14" i="2"/>
  <c r="L13" i="2"/>
  <c r="K13" i="2"/>
  <c r="L10" i="2"/>
  <c r="K10" i="2"/>
  <c r="L9" i="2"/>
  <c r="K9" i="2"/>
  <c r="L8" i="2"/>
  <c r="K8" i="2"/>
  <c r="U20" i="2"/>
  <c r="T20" i="2"/>
  <c r="R21" i="2"/>
  <c r="Q21" i="2"/>
  <c r="R20" i="2"/>
  <c r="Q20" i="2"/>
  <c r="O21" i="2"/>
  <c r="N21" i="2"/>
  <c r="O20" i="2"/>
  <c r="N20" i="2"/>
  <c r="L21" i="2"/>
  <c r="K21" i="2"/>
  <c r="L20" i="2"/>
  <c r="K20" i="2"/>
  <c r="I21" i="2"/>
  <c r="H21" i="2"/>
  <c r="I20" i="2"/>
  <c r="H20" i="2"/>
  <c r="I15" i="2"/>
  <c r="I14" i="2"/>
  <c r="I13" i="2"/>
  <c r="I10" i="2"/>
  <c r="I9" i="2"/>
  <c r="I8" i="2"/>
  <c r="H15" i="2"/>
  <c r="H14" i="2"/>
  <c r="H13" i="2"/>
  <c r="H10" i="2"/>
  <c r="H9" i="2"/>
  <c r="H8" i="2"/>
  <c r="D51" i="12"/>
  <c r="E51" i="12"/>
  <c r="F51" i="12"/>
  <c r="H51" i="12"/>
  <c r="H119" i="12"/>
  <c r="I51" i="12"/>
  <c r="I111" i="12"/>
  <c r="I126" i="12"/>
  <c r="J51" i="12"/>
  <c r="J111" i="12"/>
  <c r="J123" i="12"/>
  <c r="K51" i="12"/>
  <c r="K111" i="12"/>
  <c r="L51" i="12"/>
  <c r="L119" i="12"/>
  <c r="M51" i="12"/>
  <c r="M111" i="12"/>
  <c r="M125" i="12"/>
  <c r="X33" i="8"/>
  <c r="B33" i="8"/>
  <c r="O44" i="12"/>
  <c r="C51" i="12"/>
  <c r="C109" i="14"/>
  <c r="C108" i="14"/>
  <c r="C107" i="14"/>
  <c r="C106" i="14"/>
  <c r="C105" i="14"/>
  <c r="C102" i="14"/>
  <c r="C101" i="14"/>
  <c r="C100" i="14"/>
  <c r="C99" i="14"/>
  <c r="C98" i="14"/>
  <c r="C95" i="14"/>
  <c r="C94" i="14"/>
  <c r="C93" i="14"/>
  <c r="C92" i="14"/>
  <c r="C91" i="14"/>
  <c r="C88" i="14"/>
  <c r="C87" i="14"/>
  <c r="C86" i="14"/>
  <c r="C85" i="14"/>
  <c r="C84" i="14"/>
  <c r="C81" i="14"/>
  <c r="C80" i="14"/>
  <c r="C79" i="14"/>
  <c r="C78" i="14"/>
  <c r="C77" i="14"/>
  <c r="G77" i="14"/>
  <c r="C74" i="14"/>
  <c r="G74" i="14"/>
  <c r="C73" i="14"/>
  <c r="G73" i="14"/>
  <c r="C72" i="14"/>
  <c r="G72" i="14"/>
  <c r="C71" i="14"/>
  <c r="C70" i="14"/>
  <c r="C67" i="14"/>
  <c r="C66" i="14"/>
  <c r="C65" i="14"/>
  <c r="G65" i="14"/>
  <c r="C64" i="14"/>
  <c r="G64" i="14"/>
  <c r="C63" i="14"/>
  <c r="G63" i="14"/>
  <c r="C60" i="14"/>
  <c r="C59" i="14"/>
  <c r="C58" i="14"/>
  <c r="C57" i="14"/>
  <c r="C56" i="14"/>
  <c r="C49" i="14"/>
  <c r="C48" i="14"/>
  <c r="C47" i="14"/>
  <c r="C44" i="14"/>
  <c r="C43" i="14"/>
  <c r="C40" i="14"/>
  <c r="C39" i="14"/>
  <c r="C38" i="14"/>
  <c r="C36" i="14"/>
  <c r="G36" i="14"/>
  <c r="I36" i="14"/>
  <c r="C33" i="14"/>
  <c r="C32" i="14"/>
  <c r="G32" i="14"/>
  <c r="I32" i="14"/>
  <c r="C29" i="14"/>
  <c r="C26" i="14"/>
  <c r="C25" i="14"/>
  <c r="C24" i="14"/>
  <c r="C21" i="14"/>
  <c r="C20" i="14"/>
  <c r="G20" i="14"/>
  <c r="I20" i="14"/>
  <c r="C19" i="14"/>
  <c r="C18" i="14"/>
  <c r="C17" i="14"/>
  <c r="C9" i="14"/>
  <c r="C8" i="14"/>
  <c r="H51" i="14"/>
  <c r="B44" i="14"/>
  <c r="G40" i="14"/>
  <c r="I40" i="14"/>
  <c r="B38" i="14"/>
  <c r="P51" i="12"/>
  <c r="B44" i="12"/>
  <c r="O40" i="12"/>
  <c r="Q40" i="12"/>
  <c r="O39" i="12"/>
  <c r="Q39" i="12"/>
  <c r="O38" i="12"/>
  <c r="Q38" i="12"/>
  <c r="B38" i="12"/>
  <c r="H18" i="11"/>
  <c r="T12" i="11"/>
  <c r="U12" i="11"/>
  <c r="I48" i="8"/>
  <c r="J48" i="8"/>
  <c r="K48" i="8"/>
  <c r="L48" i="8"/>
  <c r="M48" i="8"/>
  <c r="N48" i="8"/>
  <c r="O48" i="8"/>
  <c r="P48" i="8"/>
  <c r="Q48" i="8"/>
  <c r="R48" i="8"/>
  <c r="S48" i="8"/>
  <c r="I44" i="8"/>
  <c r="J44" i="8"/>
  <c r="K44" i="8"/>
  <c r="L44" i="8"/>
  <c r="M44" i="8"/>
  <c r="N44" i="8"/>
  <c r="O44" i="8"/>
  <c r="P44" i="8"/>
  <c r="Q44" i="8"/>
  <c r="R44" i="8"/>
  <c r="S44" i="8"/>
  <c r="I42" i="8"/>
  <c r="J42" i="8"/>
  <c r="K42" i="8"/>
  <c r="L42" i="8"/>
  <c r="M42" i="8"/>
  <c r="N42" i="8"/>
  <c r="O42" i="8"/>
  <c r="P42" i="8"/>
  <c r="Q42" i="8"/>
  <c r="R42" i="8"/>
  <c r="S42" i="8"/>
  <c r="I40" i="8"/>
  <c r="J40" i="8"/>
  <c r="K40" i="8"/>
  <c r="L40" i="8"/>
  <c r="M40" i="8"/>
  <c r="N40" i="8"/>
  <c r="O40" i="8"/>
  <c r="O49" i="8"/>
  <c r="P40" i="8"/>
  <c r="Q40" i="8"/>
  <c r="R40" i="8"/>
  <c r="S40" i="8"/>
  <c r="H40" i="8"/>
  <c r="H42" i="8"/>
  <c r="B12" i="11"/>
  <c r="H44" i="8"/>
  <c r="H48" i="8"/>
  <c r="I17" i="8"/>
  <c r="J17" i="8"/>
  <c r="K17" i="8"/>
  <c r="M17" i="8"/>
  <c r="N17" i="8"/>
  <c r="O17" i="8"/>
  <c r="P17" i="8"/>
  <c r="Q17" i="8"/>
  <c r="R17" i="8"/>
  <c r="S17" i="8"/>
  <c r="H17" i="8"/>
  <c r="I15" i="8"/>
  <c r="J15" i="8"/>
  <c r="K15" i="8"/>
  <c r="M15" i="8"/>
  <c r="N15" i="8"/>
  <c r="O15" i="8"/>
  <c r="P15" i="8"/>
  <c r="Q15" i="8"/>
  <c r="R15" i="8"/>
  <c r="S15" i="8"/>
  <c r="H15" i="8"/>
  <c r="I13" i="8"/>
  <c r="J13" i="8"/>
  <c r="K13" i="8"/>
  <c r="M13" i="8"/>
  <c r="N13" i="8"/>
  <c r="O13" i="8"/>
  <c r="P13" i="8"/>
  <c r="Q13" i="8"/>
  <c r="R13" i="8"/>
  <c r="S13" i="8"/>
  <c r="H13" i="8"/>
  <c r="I11" i="8"/>
  <c r="J11" i="8"/>
  <c r="K11" i="8"/>
  <c r="M11" i="8"/>
  <c r="M18" i="8"/>
  <c r="N11" i="8"/>
  <c r="O11" i="8"/>
  <c r="P11" i="8"/>
  <c r="Q11" i="8"/>
  <c r="R11" i="8"/>
  <c r="S11" i="8"/>
  <c r="H11" i="8"/>
  <c r="I9" i="8"/>
  <c r="J9" i="8"/>
  <c r="K9" i="8"/>
  <c r="M9" i="8"/>
  <c r="N9" i="8"/>
  <c r="O9" i="8"/>
  <c r="P9" i="8"/>
  <c r="Q9" i="8"/>
  <c r="R9" i="8"/>
  <c r="S9" i="8"/>
  <c r="H9" i="8"/>
  <c r="D68" i="8"/>
  <c r="C22" i="7"/>
  <c r="C22" i="6"/>
  <c r="N22" i="6"/>
  <c r="M22" i="6"/>
  <c r="L22" i="6"/>
  <c r="K22" i="6"/>
  <c r="J22" i="6"/>
  <c r="I22" i="6"/>
  <c r="G22" i="6"/>
  <c r="F22" i="6"/>
  <c r="E22" i="6"/>
  <c r="D22" i="6"/>
  <c r="N22" i="7"/>
  <c r="M22" i="7"/>
  <c r="L22" i="7"/>
  <c r="K22" i="7"/>
  <c r="J22" i="7"/>
  <c r="I22" i="7"/>
  <c r="G22" i="7"/>
  <c r="F22" i="7"/>
  <c r="E22" i="7"/>
  <c r="D22" i="7"/>
  <c r="T68" i="9"/>
  <c r="U68" i="9"/>
  <c r="T65" i="9"/>
  <c r="T66" i="9"/>
  <c r="T61" i="9"/>
  <c r="U61" i="9"/>
  <c r="T60" i="9"/>
  <c r="U60" i="9"/>
  <c r="T59" i="9"/>
  <c r="U59" i="9"/>
  <c r="T58" i="9"/>
  <c r="U58" i="9"/>
  <c r="T57" i="9"/>
  <c r="U57" i="9"/>
  <c r="T56" i="9"/>
  <c r="U56" i="9"/>
  <c r="T55" i="9"/>
  <c r="U55" i="9"/>
  <c r="T54" i="9"/>
  <c r="U54" i="9"/>
  <c r="T53" i="9"/>
  <c r="U53" i="9"/>
  <c r="T52" i="9"/>
  <c r="U52" i="9"/>
  <c r="T51" i="9"/>
  <c r="U51" i="9"/>
  <c r="T50" i="9"/>
  <c r="U50" i="9"/>
  <c r="T45" i="9"/>
  <c r="U45" i="9"/>
  <c r="T41" i="9"/>
  <c r="U41" i="9"/>
  <c r="U42" i="9"/>
  <c r="T37" i="9"/>
  <c r="U37" i="9"/>
  <c r="T36" i="9"/>
  <c r="U36" i="9"/>
  <c r="T32" i="9"/>
  <c r="U32" i="9"/>
  <c r="U33" i="9"/>
  <c r="T28" i="9"/>
  <c r="U28" i="9"/>
  <c r="T27" i="9"/>
  <c r="U27" i="9"/>
  <c r="T23" i="9"/>
  <c r="T24" i="9"/>
  <c r="T19" i="9"/>
  <c r="U19" i="9"/>
  <c r="T18" i="9"/>
  <c r="U18" i="9"/>
  <c r="T17" i="9"/>
  <c r="U17" i="9"/>
  <c r="T16" i="9"/>
  <c r="T9" i="9"/>
  <c r="U9" i="9"/>
  <c r="T10" i="9"/>
  <c r="U10" i="9"/>
  <c r="T11" i="9"/>
  <c r="U11" i="9"/>
  <c r="T12" i="9"/>
  <c r="U12" i="9"/>
  <c r="T8" i="9"/>
  <c r="U8" i="9"/>
  <c r="E18" i="11"/>
  <c r="F18" i="11"/>
  <c r="G18" i="11"/>
  <c r="D18" i="11"/>
  <c r="T17" i="11"/>
  <c r="U17" i="11"/>
  <c r="T60" i="8"/>
  <c r="U60" i="8"/>
  <c r="T59" i="8"/>
  <c r="U59" i="8"/>
  <c r="X59" i="8"/>
  <c r="T58" i="8"/>
  <c r="U58" i="8"/>
  <c r="T54" i="8"/>
  <c r="U54" i="8"/>
  <c r="X54" i="8"/>
  <c r="T53" i="8"/>
  <c r="U53" i="8"/>
  <c r="X53" i="8"/>
  <c r="T52" i="8"/>
  <c r="U52" i="8"/>
  <c r="T47" i="8"/>
  <c r="U47" i="8"/>
  <c r="X47" i="8"/>
  <c r="T46" i="8"/>
  <c r="U46" i="8"/>
  <c r="X46" i="8"/>
  <c r="T45" i="8"/>
  <c r="U45" i="8"/>
  <c r="X45" i="8"/>
  <c r="T43" i="8"/>
  <c r="U43" i="8"/>
  <c r="X43" i="8"/>
  <c r="T41" i="8"/>
  <c r="U41" i="8"/>
  <c r="X41" i="8"/>
  <c r="T39" i="8"/>
  <c r="U39" i="8"/>
  <c r="X39" i="8"/>
  <c r="T38" i="8"/>
  <c r="U38" i="8"/>
  <c r="X38" i="8"/>
  <c r="T34" i="8"/>
  <c r="U34" i="8"/>
  <c r="X34" i="8"/>
  <c r="T32" i="8"/>
  <c r="U32" i="8"/>
  <c r="T28" i="8"/>
  <c r="U28" i="8"/>
  <c r="T27" i="8"/>
  <c r="U27" i="8"/>
  <c r="X27" i="8"/>
  <c r="T22" i="8"/>
  <c r="U22" i="8"/>
  <c r="X22" i="8"/>
  <c r="T23" i="8"/>
  <c r="U23" i="8"/>
  <c r="X23" i="8"/>
  <c r="T21" i="8"/>
  <c r="U21" i="8"/>
  <c r="T8" i="8"/>
  <c r="U8" i="8"/>
  <c r="X8" i="8"/>
  <c r="T10" i="8"/>
  <c r="U10" i="8"/>
  <c r="X10" i="8"/>
  <c r="T12" i="8"/>
  <c r="U12" i="8"/>
  <c r="X12" i="8"/>
  <c r="T14" i="8"/>
  <c r="U14" i="8"/>
  <c r="X14" i="8"/>
  <c r="T16" i="8"/>
  <c r="U16" i="8"/>
  <c r="X16" i="8"/>
  <c r="E66" i="9"/>
  <c r="F66" i="9"/>
  <c r="G66" i="9"/>
  <c r="H66" i="9"/>
  <c r="I66" i="9"/>
  <c r="J66" i="9"/>
  <c r="K66" i="9"/>
  <c r="L66" i="9"/>
  <c r="M66" i="9"/>
  <c r="N66" i="9"/>
  <c r="O66" i="9"/>
  <c r="P66" i="9"/>
  <c r="Q66" i="9"/>
  <c r="R66" i="9"/>
  <c r="S66" i="9"/>
  <c r="D66" i="9"/>
  <c r="E62" i="9"/>
  <c r="F62" i="9"/>
  <c r="G62" i="9"/>
  <c r="H62" i="9"/>
  <c r="I62" i="9"/>
  <c r="J62" i="9"/>
  <c r="K62" i="9"/>
  <c r="L62" i="9"/>
  <c r="M62" i="9"/>
  <c r="N62" i="9"/>
  <c r="O62" i="9"/>
  <c r="P62" i="9"/>
  <c r="Q62" i="9"/>
  <c r="R62" i="9"/>
  <c r="S62" i="9"/>
  <c r="E47" i="9"/>
  <c r="F47" i="9"/>
  <c r="G47" i="9"/>
  <c r="I47" i="9"/>
  <c r="J47" i="9"/>
  <c r="K47" i="9"/>
  <c r="L47" i="9"/>
  <c r="M47" i="9"/>
  <c r="N47" i="9"/>
  <c r="O47" i="9"/>
  <c r="P47" i="9"/>
  <c r="Q47" i="9"/>
  <c r="R47" i="9"/>
  <c r="S47" i="9"/>
  <c r="E42" i="9"/>
  <c r="F42" i="9"/>
  <c r="G42" i="9"/>
  <c r="H42" i="9"/>
  <c r="I42" i="9"/>
  <c r="J42" i="9"/>
  <c r="K42" i="9"/>
  <c r="L42" i="9"/>
  <c r="M42" i="9"/>
  <c r="N42" i="9"/>
  <c r="O42" i="9"/>
  <c r="P42" i="9"/>
  <c r="Q42" i="9"/>
  <c r="R42" i="9"/>
  <c r="S42" i="9"/>
  <c r="E38" i="9"/>
  <c r="F38" i="9"/>
  <c r="G38" i="9"/>
  <c r="H38" i="9"/>
  <c r="I38" i="9"/>
  <c r="J38" i="9"/>
  <c r="K38" i="9"/>
  <c r="L38" i="9"/>
  <c r="M38" i="9"/>
  <c r="N38" i="9"/>
  <c r="O38" i="9"/>
  <c r="P38" i="9"/>
  <c r="Q38" i="9"/>
  <c r="R38" i="9"/>
  <c r="S38" i="9"/>
  <c r="E33" i="9"/>
  <c r="F33" i="9"/>
  <c r="G33" i="9"/>
  <c r="H33" i="9"/>
  <c r="I33" i="9"/>
  <c r="J33" i="9"/>
  <c r="K33" i="9"/>
  <c r="L33" i="9"/>
  <c r="M33" i="9"/>
  <c r="N33" i="9"/>
  <c r="O33" i="9"/>
  <c r="P33" i="9"/>
  <c r="Q33" i="9"/>
  <c r="R33" i="9"/>
  <c r="S33" i="9"/>
  <c r="E29" i="9"/>
  <c r="F29" i="9"/>
  <c r="G29" i="9"/>
  <c r="H29" i="9"/>
  <c r="I29" i="9"/>
  <c r="J29" i="9"/>
  <c r="K29" i="9"/>
  <c r="L29" i="9"/>
  <c r="M29" i="9"/>
  <c r="N29" i="9"/>
  <c r="O29" i="9"/>
  <c r="P29" i="9"/>
  <c r="Q29" i="9"/>
  <c r="R29" i="9"/>
  <c r="S29" i="9"/>
  <c r="E24" i="9"/>
  <c r="F24" i="9"/>
  <c r="G24" i="9"/>
  <c r="H24" i="9"/>
  <c r="I24" i="9"/>
  <c r="J24" i="9"/>
  <c r="K24" i="9"/>
  <c r="L24" i="9"/>
  <c r="M24" i="9"/>
  <c r="N24" i="9"/>
  <c r="O24" i="9"/>
  <c r="P24" i="9"/>
  <c r="Q24" i="9"/>
  <c r="R24" i="9"/>
  <c r="S24" i="9"/>
  <c r="E20" i="9"/>
  <c r="F20" i="9"/>
  <c r="G20" i="9"/>
  <c r="H20" i="9"/>
  <c r="I20" i="9"/>
  <c r="J20" i="9"/>
  <c r="K20" i="9"/>
  <c r="L20" i="9"/>
  <c r="M20" i="9"/>
  <c r="N20" i="9"/>
  <c r="O20" i="9"/>
  <c r="P20" i="9"/>
  <c r="Q20" i="9"/>
  <c r="R20" i="9"/>
  <c r="S20" i="9"/>
  <c r="D20" i="9"/>
  <c r="E13" i="9"/>
  <c r="E69" i="9"/>
  <c r="F13" i="9"/>
  <c r="F69" i="9"/>
  <c r="G13" i="9"/>
  <c r="H13" i="9"/>
  <c r="I13" i="9"/>
  <c r="J13" i="9"/>
  <c r="J69" i="9"/>
  <c r="K13" i="9"/>
  <c r="L13" i="9"/>
  <c r="L69" i="9"/>
  <c r="M13" i="9"/>
  <c r="N13" i="9"/>
  <c r="O13" i="9"/>
  <c r="P13" i="9"/>
  <c r="P69" i="9"/>
  <c r="Q13" i="9"/>
  <c r="R13" i="9"/>
  <c r="S13" i="9"/>
  <c r="S69" i="9"/>
  <c r="H49" i="8"/>
  <c r="I49" i="8"/>
  <c r="J49" i="8"/>
  <c r="K49" i="8"/>
  <c r="L49" i="8"/>
  <c r="Q49" i="8"/>
  <c r="V49" i="8"/>
  <c r="G49" i="8"/>
  <c r="K69" i="9"/>
  <c r="I69" i="9"/>
  <c r="G69" i="9"/>
  <c r="B54" i="8"/>
  <c r="B53" i="8"/>
  <c r="E49" i="8"/>
  <c r="F49" i="8"/>
  <c r="D49" i="8"/>
  <c r="B46" i="8"/>
  <c r="B45" i="8"/>
  <c r="B42" i="8"/>
  <c r="F61" i="8"/>
  <c r="F55" i="8"/>
  <c r="F35" i="8"/>
  <c r="F29" i="8"/>
  <c r="F24" i="8"/>
  <c r="F18" i="8"/>
  <c r="F118" i="14"/>
  <c r="F117" i="14"/>
  <c r="F116" i="14"/>
  <c r="F115" i="14"/>
  <c r="F114" i="14"/>
  <c r="G109" i="14"/>
  <c r="G108" i="14"/>
  <c r="G107" i="14"/>
  <c r="G106" i="14"/>
  <c r="G105" i="14"/>
  <c r="G99" i="14"/>
  <c r="G98" i="14"/>
  <c r="G95" i="14"/>
  <c r="G94" i="14"/>
  <c r="G93" i="14"/>
  <c r="G86" i="14"/>
  <c r="G85" i="14"/>
  <c r="G84" i="14"/>
  <c r="G71" i="14"/>
  <c r="G58" i="14"/>
  <c r="H111" i="14"/>
  <c r="H127" i="14"/>
  <c r="F111" i="14"/>
  <c r="G43" i="14"/>
  <c r="I43" i="14"/>
  <c r="G26" i="14"/>
  <c r="I26" i="14"/>
  <c r="G25" i="14"/>
  <c r="I25" i="14"/>
  <c r="G24" i="14"/>
  <c r="I24" i="14"/>
  <c r="H10" i="14"/>
  <c r="F10" i="14"/>
  <c r="C10" i="14"/>
  <c r="F63" i="8"/>
  <c r="E118" i="14"/>
  <c r="E114" i="14"/>
  <c r="E10" i="14"/>
  <c r="H120" i="14"/>
  <c r="E116" i="14"/>
  <c r="F119" i="14"/>
  <c r="F120" i="14"/>
  <c r="E115" i="14"/>
  <c r="E117" i="14"/>
  <c r="N118" i="12"/>
  <c r="M118" i="12"/>
  <c r="L118" i="12"/>
  <c r="K118" i="12"/>
  <c r="J118" i="12"/>
  <c r="I118" i="12"/>
  <c r="H118" i="12"/>
  <c r="G118" i="12"/>
  <c r="F118" i="12"/>
  <c r="E118" i="12"/>
  <c r="N117" i="12"/>
  <c r="M117" i="12"/>
  <c r="L117" i="12"/>
  <c r="K117" i="12"/>
  <c r="J117" i="12"/>
  <c r="I117" i="12"/>
  <c r="H117" i="12"/>
  <c r="G117" i="12"/>
  <c r="F117" i="12"/>
  <c r="E117" i="12"/>
  <c r="N116" i="12"/>
  <c r="M116" i="12"/>
  <c r="L116" i="12"/>
  <c r="K116" i="12"/>
  <c r="J116" i="12"/>
  <c r="I116" i="12"/>
  <c r="H116" i="12"/>
  <c r="G116" i="12"/>
  <c r="F116" i="12"/>
  <c r="E116" i="12"/>
  <c r="N115" i="12"/>
  <c r="M115" i="12"/>
  <c r="L115" i="12"/>
  <c r="K115" i="12"/>
  <c r="J115" i="12"/>
  <c r="I115" i="12"/>
  <c r="H115" i="12"/>
  <c r="G115" i="12"/>
  <c r="F115" i="12"/>
  <c r="E115" i="12"/>
  <c r="N114" i="12"/>
  <c r="M114" i="12"/>
  <c r="L114" i="12"/>
  <c r="K114" i="12"/>
  <c r="J114" i="12"/>
  <c r="I114" i="12"/>
  <c r="H114" i="12"/>
  <c r="G114" i="12"/>
  <c r="F114" i="12"/>
  <c r="E114" i="12"/>
  <c r="O109" i="12"/>
  <c r="O108" i="12"/>
  <c r="O107" i="12"/>
  <c r="O106" i="12"/>
  <c r="O105" i="12"/>
  <c r="O102" i="12"/>
  <c r="O101" i="12"/>
  <c r="O100" i="12"/>
  <c r="O99" i="12"/>
  <c r="O98" i="12"/>
  <c r="O95" i="12"/>
  <c r="O94" i="12"/>
  <c r="O93" i="12"/>
  <c r="O92" i="12"/>
  <c r="O91" i="12"/>
  <c r="O88" i="12"/>
  <c r="O87" i="12"/>
  <c r="O86" i="12"/>
  <c r="O85" i="12"/>
  <c r="O84" i="12"/>
  <c r="O81" i="12"/>
  <c r="O80" i="12"/>
  <c r="O79" i="12"/>
  <c r="O78" i="12"/>
  <c r="O77" i="12"/>
  <c r="O74" i="12"/>
  <c r="O73" i="12"/>
  <c r="O72" i="12"/>
  <c r="O71" i="12"/>
  <c r="O70" i="12"/>
  <c r="D116" i="12"/>
  <c r="O67" i="12"/>
  <c r="O66" i="12"/>
  <c r="O65" i="12"/>
  <c r="O64" i="12"/>
  <c r="O63" i="12"/>
  <c r="D118" i="12"/>
  <c r="O60" i="12"/>
  <c r="O59" i="12"/>
  <c r="O58" i="12"/>
  <c r="O57" i="12"/>
  <c r="O56" i="12"/>
  <c r="P111" i="12"/>
  <c r="P127" i="12"/>
  <c r="G119" i="12"/>
  <c r="F111" i="12"/>
  <c r="F126" i="12"/>
  <c r="E111" i="12"/>
  <c r="E125" i="12"/>
  <c r="D119" i="12"/>
  <c r="C119" i="12"/>
  <c r="O49" i="12"/>
  <c r="Q49" i="12"/>
  <c r="O48" i="12"/>
  <c r="Q48" i="12"/>
  <c r="O47" i="12"/>
  <c r="Q47" i="12"/>
  <c r="O43" i="12"/>
  <c r="Q43" i="12"/>
  <c r="O36" i="12"/>
  <c r="Q36" i="12"/>
  <c r="O33" i="12"/>
  <c r="Q33" i="12"/>
  <c r="O32" i="12"/>
  <c r="Q32" i="12"/>
  <c r="O29" i="12"/>
  <c r="Q29" i="12"/>
  <c r="O26" i="12"/>
  <c r="Q26" i="12"/>
  <c r="O25" i="12"/>
  <c r="Q25" i="12"/>
  <c r="O24" i="12"/>
  <c r="Q24" i="12"/>
  <c r="O21" i="12"/>
  <c r="Q21" i="12"/>
  <c r="O20" i="12"/>
  <c r="Q20" i="12"/>
  <c r="O19" i="12"/>
  <c r="Q19" i="12"/>
  <c r="O18" i="12"/>
  <c r="Q18" i="12"/>
  <c r="O17" i="12"/>
  <c r="Q17" i="12"/>
  <c r="P10" i="12"/>
  <c r="N10" i="12"/>
  <c r="N11" i="12"/>
  <c r="M10" i="12"/>
  <c r="M11" i="12"/>
  <c r="L10" i="12"/>
  <c r="L11" i="12"/>
  <c r="K10" i="12"/>
  <c r="K11" i="12"/>
  <c r="J10" i="12"/>
  <c r="J11" i="12"/>
  <c r="I10" i="12"/>
  <c r="I11" i="12"/>
  <c r="H10" i="12"/>
  <c r="H11" i="12"/>
  <c r="F10" i="12"/>
  <c r="F11" i="12"/>
  <c r="E10" i="12"/>
  <c r="E11" i="12"/>
  <c r="D10" i="12"/>
  <c r="D11" i="12"/>
  <c r="C10" i="12"/>
  <c r="O9" i="12"/>
  <c r="Q9" i="12"/>
  <c r="O8" i="12"/>
  <c r="Q8" i="12"/>
  <c r="T13" i="11"/>
  <c r="U13" i="11"/>
  <c r="T20" i="11"/>
  <c r="U20" i="11"/>
  <c r="T16" i="11"/>
  <c r="U16" i="11"/>
  <c r="T15" i="11"/>
  <c r="U15" i="11"/>
  <c r="T14" i="11"/>
  <c r="U14" i="11"/>
  <c r="T11" i="11"/>
  <c r="U11" i="11"/>
  <c r="T10" i="11"/>
  <c r="U10" i="11"/>
  <c r="T9" i="11"/>
  <c r="U9" i="11"/>
  <c r="T8" i="11"/>
  <c r="U8" i="11"/>
  <c r="F124" i="12"/>
  <c r="E126" i="12"/>
  <c r="E124" i="12"/>
  <c r="E123" i="12"/>
  <c r="F127" i="14"/>
  <c r="D111" i="12"/>
  <c r="D124" i="12"/>
  <c r="C111" i="12"/>
  <c r="C125" i="12"/>
  <c r="D115" i="12"/>
  <c r="D120" i="12"/>
  <c r="C116" i="12"/>
  <c r="C117" i="12"/>
  <c r="C117" i="14"/>
  <c r="E119" i="12"/>
  <c r="C114" i="12"/>
  <c r="D117" i="12"/>
  <c r="C118" i="12"/>
  <c r="C118" i="14"/>
  <c r="F119" i="12"/>
  <c r="N119" i="12"/>
  <c r="D114" i="12"/>
  <c r="C115" i="12"/>
  <c r="C120" i="12"/>
  <c r="C116" i="14"/>
  <c r="O37" i="2"/>
  <c r="N37" i="2"/>
  <c r="M37" i="2"/>
  <c r="L37" i="2"/>
  <c r="K37" i="2"/>
  <c r="J37" i="2"/>
  <c r="I37" i="2"/>
  <c r="H37" i="2"/>
  <c r="G37" i="2"/>
  <c r="F37" i="2"/>
  <c r="E37" i="2"/>
  <c r="D37" i="2"/>
  <c r="R16" i="2"/>
  <c r="Q16" i="2"/>
  <c r="B46" i="10"/>
  <c r="B45" i="10"/>
  <c r="B44" i="10"/>
  <c r="B43" i="10"/>
  <c r="B42" i="10"/>
  <c r="B41" i="10"/>
  <c r="B39" i="10"/>
  <c r="B38" i="10"/>
  <c r="B37" i="10"/>
  <c r="B36" i="10"/>
  <c r="B35" i="10"/>
  <c r="B34" i="10"/>
  <c r="B33" i="10"/>
  <c r="B32" i="10"/>
  <c r="B19" i="10"/>
  <c r="B18" i="10"/>
  <c r="B17" i="10"/>
  <c r="B22" i="10"/>
  <c r="B21" i="10"/>
  <c r="B20" i="10"/>
  <c r="B15" i="10"/>
  <c r="B14" i="10"/>
  <c r="B13" i="10"/>
  <c r="B12" i="10"/>
  <c r="B11" i="10"/>
  <c r="B10" i="10"/>
  <c r="B9" i="10"/>
  <c r="B8" i="10"/>
  <c r="D62" i="9"/>
  <c r="B46" i="9"/>
  <c r="B41" i="9"/>
  <c r="B18" i="9"/>
  <c r="B17" i="9"/>
  <c r="B12" i="9"/>
  <c r="B11" i="9"/>
  <c r="B10" i="9"/>
  <c r="D47" i="9"/>
  <c r="D42" i="9"/>
  <c r="D38" i="9"/>
  <c r="D33" i="9"/>
  <c r="D29" i="9"/>
  <c r="D24" i="9"/>
  <c r="D13" i="9"/>
  <c r="D69" i="9"/>
  <c r="B9" i="9"/>
  <c r="E61" i="8"/>
  <c r="G61" i="8"/>
  <c r="H61" i="8"/>
  <c r="I61" i="8"/>
  <c r="J61" i="8"/>
  <c r="K61" i="8"/>
  <c r="L61" i="8"/>
  <c r="M61" i="8"/>
  <c r="N61" i="8"/>
  <c r="O61" i="8"/>
  <c r="P61" i="8"/>
  <c r="Q61" i="8"/>
  <c r="R61" i="8"/>
  <c r="S61" i="8"/>
  <c r="V61" i="8"/>
  <c r="D61" i="8"/>
  <c r="E55" i="8"/>
  <c r="G55" i="8"/>
  <c r="H55" i="8"/>
  <c r="I55" i="8"/>
  <c r="J55" i="8"/>
  <c r="K55" i="8"/>
  <c r="L55" i="8"/>
  <c r="M55" i="8"/>
  <c r="N55" i="8"/>
  <c r="O55" i="8"/>
  <c r="P55" i="8"/>
  <c r="Q55" i="8"/>
  <c r="R55" i="8"/>
  <c r="S55" i="8"/>
  <c r="V55" i="8"/>
  <c r="D55" i="8"/>
  <c r="E35" i="8"/>
  <c r="G35" i="8"/>
  <c r="H35" i="8"/>
  <c r="I35" i="8"/>
  <c r="J35" i="8"/>
  <c r="K35" i="8"/>
  <c r="L35" i="8"/>
  <c r="M35" i="8"/>
  <c r="N35" i="8"/>
  <c r="O35" i="8"/>
  <c r="P35" i="8"/>
  <c r="Q35" i="8"/>
  <c r="R35" i="8"/>
  <c r="S35" i="8"/>
  <c r="V35" i="8"/>
  <c r="D35" i="8"/>
  <c r="E29" i="8"/>
  <c r="G29" i="8"/>
  <c r="H29" i="8"/>
  <c r="I29" i="8"/>
  <c r="J29" i="8"/>
  <c r="K29" i="8"/>
  <c r="L29" i="8"/>
  <c r="M29" i="8"/>
  <c r="N29" i="8"/>
  <c r="O29" i="8"/>
  <c r="P29" i="8"/>
  <c r="Q29" i="8"/>
  <c r="R29" i="8"/>
  <c r="S29" i="8"/>
  <c r="V29" i="8"/>
  <c r="D29" i="8"/>
  <c r="E24" i="8"/>
  <c r="G24" i="8"/>
  <c r="H24" i="8"/>
  <c r="I24" i="8"/>
  <c r="J24" i="8"/>
  <c r="K24" i="8"/>
  <c r="L24" i="8"/>
  <c r="M24" i="8"/>
  <c r="N24" i="8"/>
  <c r="O24" i="8"/>
  <c r="P24" i="8"/>
  <c r="Q24" i="8"/>
  <c r="R24" i="8"/>
  <c r="S24" i="8"/>
  <c r="V24" i="8"/>
  <c r="D24" i="8"/>
  <c r="E18" i="8"/>
  <c r="E63" i="8"/>
  <c r="G18" i="8"/>
  <c r="H18" i="8"/>
  <c r="I18" i="8"/>
  <c r="J18" i="8"/>
  <c r="K18" i="8"/>
  <c r="L18" i="8"/>
  <c r="V18" i="8"/>
  <c r="D18" i="8"/>
  <c r="B60" i="8"/>
  <c r="B59" i="8"/>
  <c r="B58" i="8"/>
  <c r="B52" i="8"/>
  <c r="B41" i="8"/>
  <c r="B39" i="8"/>
  <c r="B38" i="8"/>
  <c r="B34" i="8"/>
  <c r="B32" i="8"/>
  <c r="B28" i="8"/>
  <c r="B27" i="8"/>
  <c r="B23" i="8"/>
  <c r="B22" i="8"/>
  <c r="B21" i="8"/>
  <c r="B17" i="8"/>
  <c r="B16" i="8"/>
  <c r="B15" i="8"/>
  <c r="B14" i="8"/>
  <c r="B13" i="8"/>
  <c r="B12" i="8"/>
  <c r="B11" i="8"/>
  <c r="B10" i="8"/>
  <c r="B9" i="8"/>
  <c r="B8" i="8"/>
  <c r="K63" i="8"/>
  <c r="J63" i="8"/>
  <c r="T46" i="9"/>
  <c r="U46" i="9"/>
  <c r="H47" i="9"/>
  <c r="H69" i="9"/>
  <c r="H63" i="8"/>
  <c r="I63" i="8"/>
  <c r="D63" i="8"/>
  <c r="G63" i="8"/>
  <c r="L63" i="8"/>
  <c r="V63" i="8"/>
  <c r="N18" i="7"/>
  <c r="M18" i="7"/>
  <c r="L18" i="7"/>
  <c r="K18" i="7"/>
  <c r="J18" i="7"/>
  <c r="I18" i="7"/>
  <c r="G18" i="7"/>
  <c r="F18" i="7"/>
  <c r="E18" i="7"/>
  <c r="D18" i="7"/>
  <c r="C18" i="7"/>
  <c r="B17" i="7"/>
  <c r="N14" i="7"/>
  <c r="M14" i="7"/>
  <c r="L14" i="7"/>
  <c r="K14" i="7"/>
  <c r="J14" i="7"/>
  <c r="I14" i="7"/>
  <c r="G14" i="7"/>
  <c r="F14" i="7"/>
  <c r="E14" i="7"/>
  <c r="D14" i="7"/>
  <c r="C14" i="7"/>
  <c r="B13" i="7"/>
  <c r="B12" i="7"/>
  <c r="N9" i="7"/>
  <c r="M9" i="7"/>
  <c r="L9" i="7"/>
  <c r="K9" i="7"/>
  <c r="J9" i="7"/>
  <c r="I9" i="7"/>
  <c r="I24" i="7"/>
  <c r="G9" i="7"/>
  <c r="F9" i="7"/>
  <c r="E9" i="7"/>
  <c r="D9" i="7"/>
  <c r="C9" i="7"/>
  <c r="B8" i="7"/>
  <c r="D18" i="6"/>
  <c r="E18" i="6"/>
  <c r="F18" i="6"/>
  <c r="G18" i="6"/>
  <c r="I18" i="6"/>
  <c r="I24" i="6"/>
  <c r="J18" i="6"/>
  <c r="K18" i="6"/>
  <c r="L18" i="6"/>
  <c r="M18" i="6"/>
  <c r="N18" i="6"/>
  <c r="C18" i="6"/>
  <c r="D14" i="6"/>
  <c r="E14" i="6"/>
  <c r="F14" i="6"/>
  <c r="G14" i="6"/>
  <c r="I14" i="6"/>
  <c r="J14" i="6"/>
  <c r="K14" i="6"/>
  <c r="L14" i="6"/>
  <c r="M14" i="6"/>
  <c r="N14" i="6"/>
  <c r="C14" i="6"/>
  <c r="D9" i="6"/>
  <c r="E9" i="6"/>
  <c r="F9" i="6"/>
  <c r="G9" i="6"/>
  <c r="H24" i="6"/>
  <c r="I9" i="6"/>
  <c r="J9" i="6"/>
  <c r="K9" i="6"/>
  <c r="L9" i="6"/>
  <c r="M9" i="6"/>
  <c r="M24" i="6"/>
  <c r="N9" i="6"/>
  <c r="C9" i="6"/>
  <c r="B17" i="6"/>
  <c r="B13" i="6"/>
  <c r="B12" i="6"/>
  <c r="B8" i="6"/>
  <c r="G24" i="7"/>
  <c r="H24" i="7"/>
  <c r="G24" i="6"/>
  <c r="F24" i="6"/>
  <c r="F24" i="7"/>
  <c r="E24" i="6"/>
  <c r="E24" i="7"/>
  <c r="D24" i="6"/>
  <c r="D24" i="7"/>
  <c r="C24" i="7"/>
  <c r="C24" i="6"/>
  <c r="B42" i="2"/>
  <c r="B41" i="2"/>
  <c r="B40" i="2"/>
  <c r="B39" i="2"/>
  <c r="B36" i="2"/>
  <c r="B35" i="2"/>
  <c r="B34" i="2"/>
  <c r="B33" i="2"/>
  <c r="B32" i="2"/>
  <c r="B31" i="2"/>
  <c r="B30" i="2"/>
  <c r="B29" i="2"/>
  <c r="B21" i="2"/>
  <c r="B20" i="2"/>
  <c r="B19" i="2"/>
  <c r="B18" i="2"/>
  <c r="B15" i="2"/>
  <c r="B14" i="2"/>
  <c r="B13" i="2"/>
  <c r="B12" i="2"/>
  <c r="B11" i="2"/>
  <c r="B10" i="2"/>
  <c r="B9" i="2"/>
  <c r="B8" i="2"/>
  <c r="F9" i="2"/>
  <c r="E9" i="2"/>
  <c r="F20" i="2"/>
  <c r="E20" i="2"/>
  <c r="F21" i="2"/>
  <c r="E21" i="2"/>
  <c r="F10" i="2"/>
  <c r="E10" i="2"/>
  <c r="F14" i="2"/>
  <c r="E14" i="2"/>
  <c r="E8" i="2"/>
  <c r="F8" i="2"/>
  <c r="E15" i="2"/>
  <c r="F15" i="2"/>
  <c r="F13" i="2"/>
  <c r="E13" i="2"/>
  <c r="S49" i="8"/>
  <c r="N24" i="6"/>
  <c r="N24" i="7"/>
  <c r="S18" i="8"/>
  <c r="S63" i="8"/>
  <c r="M119" i="12"/>
  <c r="M120" i="12"/>
  <c r="R69" i="9"/>
  <c r="U23" i="9"/>
  <c r="U24" i="9"/>
  <c r="R49" i="8"/>
  <c r="R18" i="8"/>
  <c r="M24" i="7"/>
  <c r="Q69" i="9"/>
  <c r="Q18" i="8"/>
  <c r="Q63" i="8"/>
  <c r="L24" i="6"/>
  <c r="L24" i="7"/>
  <c r="E120" i="14"/>
  <c r="E111" i="14"/>
  <c r="K119" i="12"/>
  <c r="K120" i="12"/>
  <c r="T33" i="9"/>
  <c r="T42" i="9"/>
  <c r="T20" i="9"/>
  <c r="P49" i="8"/>
  <c r="K462" i="13"/>
  <c r="K463" i="13"/>
  <c r="K454" i="13"/>
  <c r="K455" i="13"/>
  <c r="K447" i="13"/>
  <c r="K448" i="13"/>
  <c r="K439" i="13"/>
  <c r="K440" i="13"/>
  <c r="K431" i="13"/>
  <c r="K432" i="13"/>
  <c r="K423" i="13"/>
  <c r="K424" i="13"/>
  <c r="K415" i="13"/>
  <c r="K416" i="13"/>
  <c r="K407" i="13"/>
  <c r="K408" i="13"/>
  <c r="K399" i="13"/>
  <c r="K400" i="13"/>
  <c r="K391" i="13"/>
  <c r="K392" i="13"/>
  <c r="K383" i="13"/>
  <c r="K384" i="13"/>
  <c r="K375" i="13"/>
  <c r="K376" i="13"/>
  <c r="K368" i="13"/>
  <c r="K369" i="13"/>
  <c r="K360" i="13"/>
  <c r="K361" i="13"/>
  <c r="K344" i="13"/>
  <c r="K345" i="13"/>
  <c r="K336" i="13"/>
  <c r="K337" i="13"/>
  <c r="K328" i="13"/>
  <c r="K329" i="13"/>
  <c r="K312" i="13"/>
  <c r="K313" i="13"/>
  <c r="K24" i="7"/>
  <c r="P18" i="8"/>
  <c r="K24" i="6"/>
  <c r="J119" i="12"/>
  <c r="U65" i="9"/>
  <c r="U66" i="9"/>
  <c r="O69" i="9"/>
  <c r="T44" i="8"/>
  <c r="U44" i="8"/>
  <c r="X44" i="8"/>
  <c r="O18" i="8"/>
  <c r="O63" i="8"/>
  <c r="T17" i="8"/>
  <c r="U17" i="8"/>
  <c r="X17" i="8"/>
  <c r="T15" i="8"/>
  <c r="U15" i="8"/>
  <c r="X15" i="8"/>
  <c r="T9" i="8"/>
  <c r="U9" i="8"/>
  <c r="X9" i="8"/>
  <c r="T13" i="8"/>
  <c r="U13" i="8"/>
  <c r="X13" i="8"/>
  <c r="T42" i="8"/>
  <c r="U42" i="8"/>
  <c r="X42" i="8"/>
  <c r="J24" i="6"/>
  <c r="J24" i="7"/>
  <c r="J120" i="12"/>
  <c r="F120" i="12"/>
  <c r="C51" i="14"/>
  <c r="C124" i="12"/>
  <c r="C124" i="14"/>
  <c r="C126" i="12"/>
  <c r="L120" i="12"/>
  <c r="D116" i="14"/>
  <c r="G116" i="14"/>
  <c r="N120" i="12"/>
  <c r="G59" i="14"/>
  <c r="C123" i="12"/>
  <c r="C114" i="14"/>
  <c r="G44" i="14"/>
  <c r="I44" i="14"/>
  <c r="G39" i="14"/>
  <c r="I39" i="14"/>
  <c r="G120" i="12"/>
  <c r="C115" i="14"/>
  <c r="G8" i="14"/>
  <c r="D10" i="14"/>
  <c r="C111" i="14"/>
  <c r="C119" i="14"/>
  <c r="K123" i="12"/>
  <c r="E123" i="14"/>
  <c r="K124" i="12"/>
  <c r="E124" i="14"/>
  <c r="K125" i="12"/>
  <c r="E125" i="14"/>
  <c r="K126" i="12"/>
  <c r="E126" i="14"/>
  <c r="C126" i="14"/>
  <c r="E127" i="12"/>
  <c r="G125" i="12"/>
  <c r="G126" i="12"/>
  <c r="G124" i="12"/>
  <c r="G123" i="12"/>
  <c r="G127" i="12"/>
  <c r="C120" i="14"/>
  <c r="G66" i="14"/>
  <c r="D126" i="12"/>
  <c r="P120" i="12"/>
  <c r="F123" i="12"/>
  <c r="D118" i="14"/>
  <c r="G118" i="14"/>
  <c r="M124" i="12"/>
  <c r="J125" i="12"/>
  <c r="G57" i="14"/>
  <c r="G67" i="14"/>
  <c r="G79" i="14"/>
  <c r="G33" i="14"/>
  <c r="I33" i="14"/>
  <c r="F125" i="12"/>
  <c r="N127" i="12"/>
  <c r="D125" i="12"/>
  <c r="C125" i="14"/>
  <c r="G70" i="14"/>
  <c r="G80" i="14"/>
  <c r="M126" i="12"/>
  <c r="G17" i="14"/>
  <c r="I17" i="14"/>
  <c r="G29" i="14"/>
  <c r="I29" i="14"/>
  <c r="G81" i="14"/>
  <c r="G19" i="14"/>
  <c r="I19" i="14"/>
  <c r="D123" i="12"/>
  <c r="D127" i="12"/>
  <c r="E120" i="12"/>
  <c r="L111" i="12"/>
  <c r="M123" i="12"/>
  <c r="J124" i="12"/>
  <c r="G18" i="14"/>
  <c r="I18" i="14"/>
  <c r="G60" i="14"/>
  <c r="G47" i="14"/>
  <c r="I47" i="14"/>
  <c r="G48" i="14"/>
  <c r="I48" i="14"/>
  <c r="J126" i="12"/>
  <c r="D117" i="14"/>
  <c r="G117" i="14"/>
  <c r="G21" i="14"/>
  <c r="I21" i="14"/>
  <c r="G49" i="14"/>
  <c r="I49" i="14"/>
  <c r="I119" i="12"/>
  <c r="I120" i="12"/>
  <c r="O114" i="12"/>
  <c r="O115" i="12"/>
  <c r="I125" i="12"/>
  <c r="I124" i="12"/>
  <c r="I123" i="12"/>
  <c r="U38" i="9"/>
  <c r="N69" i="9"/>
  <c r="T29" i="9"/>
  <c r="T40" i="8"/>
  <c r="U40" i="8"/>
  <c r="X40" i="8"/>
  <c r="T62" i="9"/>
  <c r="T38" i="9"/>
  <c r="U16" i="9"/>
  <c r="U20" i="9"/>
  <c r="T13" i="9"/>
  <c r="U62" i="9"/>
  <c r="U47" i="9"/>
  <c r="T47" i="9"/>
  <c r="M69" i="9"/>
  <c r="U29" i="9"/>
  <c r="U13" i="9"/>
  <c r="T24" i="8"/>
  <c r="T61" i="8"/>
  <c r="X60" i="8"/>
  <c r="X61" i="8"/>
  <c r="T35" i="8"/>
  <c r="T29" i="8"/>
  <c r="U29" i="8"/>
  <c r="X29" i="8"/>
  <c r="U61" i="8"/>
  <c r="X58" i="8"/>
  <c r="X63" i="8"/>
  <c r="U55" i="8"/>
  <c r="X52" i="8"/>
  <c r="T55" i="8"/>
  <c r="U35" i="8"/>
  <c r="X32" i="8"/>
  <c r="X21" i="8"/>
  <c r="U24" i="8"/>
  <c r="X24" i="8"/>
  <c r="D114" i="14"/>
  <c r="O117" i="12"/>
  <c r="O116" i="12"/>
  <c r="D115" i="14"/>
  <c r="G115" i="14"/>
  <c r="O118" i="12"/>
  <c r="D51" i="14"/>
  <c r="D111" i="14"/>
  <c r="H120" i="12"/>
  <c r="D119" i="14"/>
  <c r="H111" i="12"/>
  <c r="O51" i="12"/>
  <c r="O111" i="12"/>
  <c r="G9" i="14"/>
  <c r="I9" i="14"/>
  <c r="O10" i="12"/>
  <c r="Q10" i="12"/>
  <c r="I8" i="14"/>
  <c r="N49" i="8"/>
  <c r="N18" i="8"/>
  <c r="M49" i="8"/>
  <c r="M63" i="8"/>
  <c r="T11" i="8"/>
  <c r="T48" i="8"/>
  <c r="U48" i="8"/>
  <c r="X48" i="8"/>
  <c r="U18" i="11"/>
  <c r="T18" i="11"/>
  <c r="T16" i="2"/>
  <c r="U16" i="2"/>
  <c r="U21" i="2"/>
  <c r="R63" i="8"/>
  <c r="E127" i="14"/>
  <c r="P63" i="8"/>
  <c r="X49" i="8"/>
  <c r="X55" i="8"/>
  <c r="X35" i="8"/>
  <c r="C127" i="12"/>
  <c r="J127" i="12"/>
  <c r="G114" i="14"/>
  <c r="F127" i="12"/>
  <c r="G51" i="14"/>
  <c r="G111" i="14"/>
  <c r="M127" i="12"/>
  <c r="K127" i="12"/>
  <c r="C123" i="14"/>
  <c r="C127" i="14"/>
  <c r="L125" i="12"/>
  <c r="L123" i="12"/>
  <c r="L126" i="12"/>
  <c r="L124" i="12"/>
  <c r="N63" i="8"/>
  <c r="O119" i="12"/>
  <c r="O120" i="12"/>
  <c r="I127" i="12"/>
  <c r="T69" i="9"/>
  <c r="U69" i="9"/>
  <c r="H126" i="12"/>
  <c r="H123" i="12"/>
  <c r="H124" i="12"/>
  <c r="H125" i="12"/>
  <c r="G119" i="14"/>
  <c r="D120" i="14"/>
  <c r="G10" i="14"/>
  <c r="I10" i="14"/>
  <c r="T49" i="8"/>
  <c r="U49" i="8"/>
  <c r="U11" i="8"/>
  <c r="T18" i="8"/>
  <c r="G120" i="14"/>
  <c r="L127" i="12"/>
  <c r="O124" i="12"/>
  <c r="D124" i="14"/>
  <c r="G124" i="14"/>
  <c r="D125" i="14"/>
  <c r="G125" i="14"/>
  <c r="O125" i="12"/>
  <c r="O123" i="12"/>
  <c r="H127" i="12"/>
  <c r="D123" i="14"/>
  <c r="D126" i="14"/>
  <c r="G126" i="14"/>
  <c r="O126" i="12"/>
  <c r="T63" i="8"/>
  <c r="X11" i="8"/>
  <c r="U18" i="8"/>
  <c r="O127" i="12"/>
  <c r="D127" i="14"/>
  <c r="G123" i="14"/>
  <c r="G127" i="14"/>
  <c r="X18" i="8"/>
  <c r="U63" i="8"/>
</calcChain>
</file>

<file path=xl/sharedStrings.xml><?xml version="1.0" encoding="utf-8"?>
<sst xmlns="http://schemas.openxmlformats.org/spreadsheetml/2006/main" count="2863" uniqueCount="334">
  <si>
    <t>Program Names</t>
  </si>
  <si>
    <t>Agricultural &amp; Pumping Interruptible (API)</t>
  </si>
  <si>
    <t>Agricultural &amp; Pumping Interruptible (API) Incentives</t>
  </si>
  <si>
    <t>Base Interruptible Program (BIP) 15 Minute Option</t>
  </si>
  <si>
    <t>Base Interruptible Program (BIP) 30 Minute Option</t>
  </si>
  <si>
    <t>Base Interruptible Program (BIP)</t>
  </si>
  <si>
    <t>Base Interruptible Program (BIP) Incentives</t>
  </si>
  <si>
    <t>Capacity Bidding Program (CBP)</t>
  </si>
  <si>
    <t>Capacity Bidding Program (CBP) Day Ahead</t>
  </si>
  <si>
    <t>Capacity Bidding Program (CBP) Day Of</t>
  </si>
  <si>
    <t>Capacity Bidding Program (CBP) Incentives</t>
  </si>
  <si>
    <t>CBP Residential Pilot</t>
  </si>
  <si>
    <t>Charge Ready Pilot</t>
  </si>
  <si>
    <t>Constrained Local Capacity Planning Areas &amp; Disadvantaged Communities Pilot</t>
  </si>
  <si>
    <t>Critical Peak Pricing (CPP)</t>
  </si>
  <si>
    <t>Critical Peak Pricing - Small 0 to 20 kW</t>
  </si>
  <si>
    <t>Critical Peak Pricing - Med 20 to 199.99 kW</t>
  </si>
  <si>
    <t>Critical Peak Pricing - Large 20 kW and Above</t>
  </si>
  <si>
    <t>Demand Bidding Program (DBP)</t>
  </si>
  <si>
    <t>Demand Response Auction Mechanism (DRAM)</t>
  </si>
  <si>
    <t>DR Potential Study</t>
  </si>
  <si>
    <t>DR Rule 24</t>
  </si>
  <si>
    <t>DR Systems &amp; Technology Support</t>
  </si>
  <si>
    <t>Emerging Markets and Technology</t>
  </si>
  <si>
    <t>Evaluation, Measurement &amp; Verification (EM&amp;V)</t>
  </si>
  <si>
    <t>IDSM Non Residential</t>
  </si>
  <si>
    <t>IDSM Residential</t>
  </si>
  <si>
    <t>Other Local Marketing</t>
  </si>
  <si>
    <t>Optional Binding Mandatory Curtailment (OBMC)</t>
  </si>
  <si>
    <t>Real Time Pricing (RTP)</t>
  </si>
  <si>
    <t>Rotating Outages</t>
  </si>
  <si>
    <t>Scheduled Load Reduction Program (SLRP)</t>
  </si>
  <si>
    <t>Smart Energy Program Incentives</t>
  </si>
  <si>
    <t>Statewide ME&amp;O</t>
  </si>
  <si>
    <t>Summer Discount Plan Program (SDP)</t>
  </si>
  <si>
    <t>Summer Discount Plan Program (SDP) - Commercial</t>
  </si>
  <si>
    <t>Summer Discount Plan Program (SDP) - Residential</t>
  </si>
  <si>
    <t>Summer Discount Plan Program (SDP) Incentives</t>
  </si>
  <si>
    <t>Technology Incentive Program (AutoDR-TI)</t>
  </si>
  <si>
    <t>Program EX Ante &amp; Ex Post MWs</t>
  </si>
  <si>
    <t>Load Impacts (ExPost &amp; ExAnte)</t>
  </si>
  <si>
    <t>2021 DRP Expenditures</t>
  </si>
  <si>
    <t>Sub-Total</t>
  </si>
  <si>
    <t>Service Accounts</t>
  </si>
  <si>
    <t>January</t>
  </si>
  <si>
    <t>February</t>
  </si>
  <si>
    <t>March</t>
  </si>
  <si>
    <t>April</t>
  </si>
  <si>
    <t>May</t>
  </si>
  <si>
    <t>June</t>
  </si>
  <si>
    <t>Load Modifying Demand Response Programs</t>
  </si>
  <si>
    <t>Total All Programs</t>
  </si>
  <si>
    <t>July</t>
  </si>
  <si>
    <t>August</t>
  </si>
  <si>
    <t>September</t>
  </si>
  <si>
    <t>October</t>
  </si>
  <si>
    <t>November</t>
  </si>
  <si>
    <t>December</t>
  </si>
  <si>
    <t>Southern California Edison</t>
  </si>
  <si>
    <t xml:space="preserve">OP 4: </t>
  </si>
  <si>
    <t>OP 6:</t>
  </si>
  <si>
    <t>Program Category</t>
  </si>
  <si>
    <t>Fund Shift</t>
  </si>
  <si>
    <t>Programs Impacted</t>
  </si>
  <si>
    <t>Date</t>
  </si>
  <si>
    <t>Rationale for Fundshift</t>
  </si>
  <si>
    <t>Total</t>
  </si>
  <si>
    <t>Notes:</t>
  </si>
  <si>
    <t>The Utilities may not shift funds between categories with two exceptions as stated in OP 4 and 5;</t>
  </si>
  <si>
    <t>The Utilities may shift funds in category 4 (Enabling &amp; Emerging Technologies) into the Permanent Load Shifting program with a Tier 2 Advice Letter.</t>
  </si>
  <si>
    <t>Fund Shifting Documentation Per Decision 12-04-045 Ordering Paragraphs 4 and 6.</t>
  </si>
  <si>
    <t>The Utilities may shift funds for pilots in the Enabling or Emerging Technologies category;</t>
  </si>
  <si>
    <t>The Utilities shall submit a Tier 2 Advice Letter before shifting more than 50% of a program's budget to a different program within the same budget category;</t>
  </si>
  <si>
    <t>Year-to-Date Program Expenditures</t>
  </si>
  <si>
    <t>Cost Item</t>
  </si>
  <si>
    <t>Category 1: Reliability Programs</t>
  </si>
  <si>
    <t>Agricultural Pumping Interruptible (API)</t>
  </si>
  <si>
    <t>Category 2: Price Responsive Programs</t>
  </si>
  <si>
    <t>AC Cycling: Summer Discount Plan (SDP)</t>
  </si>
  <si>
    <t>Save Power Day (SPD/PTR)</t>
  </si>
  <si>
    <t>Category 2 Total</t>
  </si>
  <si>
    <t>Category 7 Total</t>
  </si>
  <si>
    <t>Residential</t>
  </si>
  <si>
    <t>Supply-Side Demand Response Programs</t>
  </si>
  <si>
    <t>Detailed Breakdown of MW To Date in Auto DR Programs</t>
  </si>
  <si>
    <t>Auto DR Verified MW</t>
  </si>
  <si>
    <t>General Program</t>
  </si>
  <si>
    <t>Demand Response Auction Mechanism (DRAM) and Direct Participation Electric Rule 24</t>
  </si>
  <si>
    <t>MW Funded by Auto DR but not enrolled in qualifying DR Program</t>
  </si>
  <si>
    <t>Category 2: Load Modifying Demand Response Programs</t>
  </si>
  <si>
    <t>Category 3 Total</t>
  </si>
  <si>
    <t>Fundshift Adjustments</t>
  </si>
  <si>
    <t>Percent Funding</t>
  </si>
  <si>
    <t>Category 4: Emerging and Enabling Technology Programs</t>
  </si>
  <si>
    <t>Category 4 Total</t>
  </si>
  <si>
    <t>Category 5: Pilots</t>
  </si>
  <si>
    <t>Category 5 Total</t>
  </si>
  <si>
    <t>Category 6: Marketing, Education, and Outreach (ME&amp;O)</t>
  </si>
  <si>
    <t>Category 6 Total</t>
  </si>
  <si>
    <t>Total Incremental Cost</t>
  </si>
  <si>
    <t>AMP Contracts/DR Contracts (AMP)</t>
  </si>
  <si>
    <t>Category 4: Emerging &amp; Enabling Technologies</t>
  </si>
  <si>
    <t>Auto DR/Technology Incentives (AutoDR-TI)</t>
  </si>
  <si>
    <t>Emerging Markets &amp; Technologies</t>
  </si>
  <si>
    <t>Over Generation Pilot Program</t>
  </si>
  <si>
    <t>Category 6: Evaluation, Measurement, and Verification</t>
  </si>
  <si>
    <t>DR Research Studies (CPUC)</t>
  </si>
  <si>
    <t>Measurement and Evaluation</t>
  </si>
  <si>
    <t>Category 7: Marketing, Education, &amp; Outreach</t>
  </si>
  <si>
    <t>Category 8: DR  System Support Activities</t>
  </si>
  <si>
    <t>DR Systems &amp; Technology (S&amp;T)</t>
  </si>
  <si>
    <t>Category 8 Total</t>
  </si>
  <si>
    <t>Category 9: Integrated Programs and  Activities (Including Technical Assistance)</t>
  </si>
  <si>
    <t>Commercial New Construction</t>
  </si>
  <si>
    <t>DR Energy Leadership Partnership (ELP)</t>
  </si>
  <si>
    <t>DR Technology Resource Incubator Program (TRIO)</t>
  </si>
  <si>
    <t>IDSM Food Processing Pilot</t>
  </si>
  <si>
    <t>Integrated DSM Marketing</t>
  </si>
  <si>
    <t>Residential New Construction Pilot</t>
  </si>
  <si>
    <t>Statewide IDSM</t>
  </si>
  <si>
    <t>Technical Assistance (TA)</t>
  </si>
  <si>
    <t>Third Party Programs</t>
  </si>
  <si>
    <t>Workforce Education &amp; Training Smart Students (Smartstudents)</t>
  </si>
  <si>
    <t>Category 9 Total</t>
  </si>
  <si>
    <t>Category 10: Special Projects</t>
  </si>
  <si>
    <t>Category 10 Total</t>
  </si>
  <si>
    <t>Permanent Load Shift (PLS)</t>
  </si>
  <si>
    <t>Program Support Costs</t>
  </si>
  <si>
    <t>Program Eligibility and Average Load Impacts</t>
  </si>
  <si>
    <t>Average Ex Post Load Impact kW / Service Accounts</t>
  </si>
  <si>
    <t>Average Ex Ante Load Impact kW / Service Accounts</t>
  </si>
  <si>
    <t xml:space="preserve">Notes: </t>
  </si>
  <si>
    <t>Annual Total Cost</t>
  </si>
  <si>
    <r>
      <t xml:space="preserve">Total Embedded Cost and Revenues </t>
    </r>
    <r>
      <rPr>
        <vertAlign val="superscript"/>
        <sz val="10"/>
        <color theme="1"/>
        <rFont val="Calibri"/>
        <family val="2"/>
        <scheme val="minor"/>
      </rPr>
      <t>(1) (2)</t>
    </r>
  </si>
  <si>
    <t>Year-to-Date Total</t>
  </si>
  <si>
    <t>Program Incentives</t>
  </si>
  <si>
    <t>(3) (4)</t>
  </si>
  <si>
    <t>(3)</t>
  </si>
  <si>
    <t>Total Cost Of Incentives</t>
  </si>
  <si>
    <r>
      <t xml:space="preserve">Revenues from Excess Energy Charges </t>
    </r>
    <r>
      <rPr>
        <b/>
        <vertAlign val="superscript"/>
        <sz val="10"/>
        <color theme="1"/>
        <rFont val="Calibri"/>
        <family val="2"/>
        <scheme val="minor"/>
      </rPr>
      <t>(4) (5)</t>
    </r>
  </si>
  <si>
    <t>Charge Ready Incentives</t>
  </si>
  <si>
    <t>Year-to-Date Marketing Expenditures</t>
  </si>
  <si>
    <t>I. Statewide Marketing</t>
  </si>
  <si>
    <t>IOU Administrative Costs</t>
  </si>
  <si>
    <t>Statewide ME&amp;O Contract</t>
  </si>
  <si>
    <t>I. Total Statewide Marketing</t>
  </si>
  <si>
    <r>
      <t xml:space="preserve">II. Utility Marketing By Activity </t>
    </r>
    <r>
      <rPr>
        <b/>
        <vertAlign val="superscript"/>
        <sz val="10"/>
        <color theme="1"/>
        <rFont val="Calibri"/>
        <family val="2"/>
        <scheme val="minor"/>
      </rPr>
      <t>(1)</t>
    </r>
  </si>
  <si>
    <t>Total Authorized Marketing Budget</t>
  </si>
  <si>
    <t>PROGRAMS, RATES &amp; ACTIVITIES WHICH DO NOT REQUIRE ITEMIZED</t>
  </si>
  <si>
    <t xml:space="preserve"> </t>
  </si>
  <si>
    <r>
      <t xml:space="preserve">Category 6: Marketing, Education, and Outreach (ME&amp;O) </t>
    </r>
    <r>
      <rPr>
        <b/>
        <i/>
        <vertAlign val="superscript"/>
        <sz val="10"/>
        <color theme="1"/>
        <rFont val="Calibri"/>
        <family val="2"/>
        <scheme val="minor"/>
      </rPr>
      <t>(2)</t>
    </r>
  </si>
  <si>
    <t>SUBTOTAL</t>
  </si>
  <si>
    <t>PROGRAMS &amp; RATES WHICH REQUIRE ITEMIZED ACCOUNTING</t>
  </si>
  <si>
    <t>Customer Research</t>
  </si>
  <si>
    <t>Collateral-Development, Printing, Distribution, etc… (all non-labor costs)</t>
  </si>
  <si>
    <t>Labor</t>
  </si>
  <si>
    <t>Paid Media</t>
  </si>
  <si>
    <t>Other Costs</t>
  </si>
  <si>
    <t>Third Party</t>
  </si>
  <si>
    <t>II. TOTAL UTILITY MARKETING BY ACTIVITY</t>
  </si>
  <si>
    <t xml:space="preserve">III. UTILITY MARKETING BY ITEMIZED COST </t>
  </si>
  <si>
    <t>Total from Program, Rates &amp; Activities that do not require itemized accounting</t>
  </si>
  <si>
    <t xml:space="preserve">III. TOTAL UTILITY MARKETING BY ITEMIZED COST </t>
  </si>
  <si>
    <r>
      <t xml:space="preserve">IV. UTILITY MARKETING BY CUSTOMER SEGMENT  </t>
    </r>
    <r>
      <rPr>
        <b/>
        <vertAlign val="superscript"/>
        <sz val="10"/>
        <color theme="1"/>
        <rFont val="Calibri"/>
        <family val="2"/>
        <scheme val="minor"/>
      </rPr>
      <t>(3)</t>
    </r>
  </si>
  <si>
    <t>Agricultural / Pumping</t>
  </si>
  <si>
    <t>Large Commercial and Industrial</t>
  </si>
  <si>
    <t>Small and Medium Commercial</t>
  </si>
  <si>
    <t>IV. TOTAL UTILITY MARKETING BY CUSTOMER SEGMENT</t>
  </si>
  <si>
    <t xml:space="preserve">(1) Utility Marketing includes all activities to market individual utility programs or rates, demand response concepts, and customer tools,  that were approved or directed by Decision 12-04-045, 14-05-025 and 17-12-003 whether or not the marketing budget was approved as a line item in the Decision. For example, PG&amp;E should not include marketing for TOU and PDP because funding was authorized in another proceeding. However, PG&amp;E must document all amounts spent on marketing individual demand response programs such as Peak Choice even though a specific marketing budget was not approved for the program.  This example applies to all of the utilities. The programs and activities listed in item II of the template are meant as examples, and may not be exhaustive. However, the utilities must include all programs or rates that meet this description.  The totals for Items II, III and IV should be equal.    </t>
  </si>
  <si>
    <t>(2) Other Local Marketing is part of Itemized Accounting in section: II</t>
  </si>
  <si>
    <t>(3) Cost split by customer segment is estimated.</t>
  </si>
  <si>
    <t>(4) Integrated Programs and Activities section was updated to align with the funding approved SCE's EE Rolling Portfolio Business Plan for 2018-2025 in D.18-05-041 and resulted in the consolidation of 11 activities into 2.</t>
  </si>
  <si>
    <t>Year-to-Date Event Summary</t>
  </si>
  <si>
    <t>Program</t>
  </si>
  <si>
    <t>Event No.</t>
  </si>
  <si>
    <r>
      <t xml:space="preserve">Event Trigger </t>
    </r>
    <r>
      <rPr>
        <b/>
        <vertAlign val="superscript"/>
        <sz val="10"/>
        <color theme="1"/>
        <rFont val="Calibri"/>
        <family val="2"/>
        <scheme val="minor"/>
      </rPr>
      <t>(1)</t>
    </r>
  </si>
  <si>
    <r>
      <t xml:space="preserve">Load Reduction MW </t>
    </r>
    <r>
      <rPr>
        <b/>
        <vertAlign val="superscript"/>
        <sz val="10"/>
        <color theme="1"/>
        <rFont val="Calibri"/>
        <family val="2"/>
        <scheme val="minor"/>
      </rPr>
      <t>(2) (3)</t>
    </r>
  </si>
  <si>
    <r>
      <t xml:space="preserve">Load Reduction Based Upon </t>
    </r>
    <r>
      <rPr>
        <b/>
        <vertAlign val="superscript"/>
        <sz val="10"/>
        <color theme="1"/>
        <rFont val="Calibri"/>
        <family val="2"/>
        <scheme val="minor"/>
      </rPr>
      <t>(2) (3)</t>
    </r>
  </si>
  <si>
    <t>Area Called</t>
  </si>
  <si>
    <r>
      <t xml:space="preserve">Event Beginning Time </t>
    </r>
    <r>
      <rPr>
        <b/>
        <vertAlign val="superscript"/>
        <sz val="10"/>
        <color theme="1"/>
        <rFont val="Calibri"/>
        <family val="2"/>
        <scheme val="minor"/>
      </rPr>
      <t>(4)</t>
    </r>
  </si>
  <si>
    <r>
      <t xml:space="preserve">Event End Time </t>
    </r>
    <r>
      <rPr>
        <b/>
        <vertAlign val="superscript"/>
        <sz val="10"/>
        <color theme="1"/>
        <rFont val="Calibri"/>
        <family val="2"/>
        <scheme val="minor"/>
      </rPr>
      <t>(4)</t>
    </r>
  </si>
  <si>
    <r>
      <t xml:space="preserve">Program Total Hours (Annual) </t>
    </r>
    <r>
      <rPr>
        <b/>
        <vertAlign val="superscript"/>
        <sz val="10"/>
        <color theme="1"/>
        <rFont val="Calibri"/>
        <family val="2"/>
        <scheme val="minor"/>
      </rPr>
      <t>(5)</t>
    </r>
  </si>
  <si>
    <t>Table I-5
SCE Demand Response Programs and Activities
2021 Customer Communications, Marketing and Outreach</t>
  </si>
  <si>
    <t>2018-2022 Funding Cycle Customer Communication, Marketing, and Outreach</t>
  </si>
  <si>
    <t>Q1</t>
  </si>
  <si>
    <t>Q2</t>
  </si>
  <si>
    <t>Q3</t>
  </si>
  <si>
    <t>Q4</t>
  </si>
  <si>
    <t>Constrained Local Capacity Planning Areas &amp; Disadvantaged Communities Pilot Incentives</t>
  </si>
  <si>
    <t>Table I-1
SCE Supply-Side Demand &amp; Load-Modifying Response Programs
Subscription Statistic - Program Estimated Ex Ante and Ex Post MWs
2022</t>
  </si>
  <si>
    <t>Table I-1A
Average Load Impact kW / Service Accounts
2022</t>
  </si>
  <si>
    <t>Table I-2
SCE Demand Response Programs and Activities
Expenditures and Funding
2018-2022</t>
  </si>
  <si>
    <t>2022 Expenditures</t>
  </si>
  <si>
    <t>2018
 Total
 Expenditures</t>
  </si>
  <si>
    <t>2019
 Total
 Expenditures</t>
  </si>
  <si>
    <t>2020
 Total
 Expenditures</t>
  </si>
  <si>
    <t>2021
 Total
 Expenditures</t>
  </si>
  <si>
    <t>Smart Energy Program (SEP)</t>
  </si>
  <si>
    <t>N/A</t>
  </si>
  <si>
    <r>
      <t xml:space="preserve">Table I-2A
SCE Demand Response Programs and Activities
Carry-Over Expenditures and Funding
</t>
    </r>
    <r>
      <rPr>
        <b/>
        <sz val="10"/>
        <rFont val="Calibri"/>
        <family val="2"/>
        <scheme val="minor"/>
      </rPr>
      <t>2018-2022</t>
    </r>
  </si>
  <si>
    <t>Year-to-Date 2022 Expenditures</t>
  </si>
  <si>
    <t>Program-to-Date Total Expenditures 2018-2022</t>
  </si>
  <si>
    <t>5-Year Funding 2018-2022</t>
  </si>
  <si>
    <t>2018 Total Incentives</t>
  </si>
  <si>
    <t>2019 Total Incentives</t>
  </si>
  <si>
    <t>2020 Total Incentives</t>
  </si>
  <si>
    <t>2021 Total Incentives</t>
  </si>
  <si>
    <t>Table I-3
SCE Demand Response Programs
Customer Program Incentives
2022</t>
  </si>
  <si>
    <t>Table I-5
SCE Demand Response Programs and Activities
2022 Customer Communications, Marketing and Outreach</t>
  </si>
  <si>
    <t>2022 Authorized Budget (If Applicable)</t>
  </si>
  <si>
    <t>Table I-6
SCE Supply-Side Demand &amp; Load-Modifying Response Programs
2022 Event Summary</t>
  </si>
  <si>
    <t>Virtual Power Plant (VPP) Pilot</t>
  </si>
  <si>
    <t>Virtual Power Plant (VPP) Pilot Incentives</t>
  </si>
  <si>
    <t>Emergency Load Reduction Program (ELRP)</t>
  </si>
  <si>
    <t>Emergency Load Reduction Program (ELRP) Incentives</t>
  </si>
  <si>
    <t>Charge Ready Pilot Incentives</t>
  </si>
  <si>
    <t>Program-to-Date Incentives 2018-2022</t>
  </si>
  <si>
    <t>CBP- Capacity Bidding Program- Day of (1-6)</t>
  </si>
  <si>
    <t>Energy Prices</t>
  </si>
  <si>
    <t>Preliminary</t>
  </si>
  <si>
    <t>SLAP_SCEC</t>
  </si>
  <si>
    <t>SLAP_SCEW</t>
  </si>
  <si>
    <t>All non-residential customers who can reduce circuit load by 15%.</t>
  </si>
  <si>
    <t xml:space="preserve">All non-residential bundled service customers </t>
  </si>
  <si>
    <t>(1) Readers should exercise caution in interpreting or using the estimated MW values found in this report in either the ex post or ex ante columns. Ex post estimates reflects historic event(s) that have taken place during specific time periods and actual weather conditions by a mix of customers that participated on event day(s). Ex ante forecasts account for variables not included in the ex post estimate such as normalized weather conditions, expected customer mix during events, expected time of day which events occur, expected days of the week which events occur, and other lesser effects etc.  An ex ante forecast reflects forecast impact estimates that would occur between 4 pm and 9pm during a specific DR program’s operating season, based on CAISO 1-in-2  weather conditions.  The ex ante and ex post load impacts presented in this report are based on the IOUs' annual April 1st Compliance Filings pursuant to Decision D.08-04-050.  SCE provides reports to various other agencies (CAISO, FERC, NERC, etc.) which may differ from the load impact estimates in this report but are still based on the April 1st Compliance Filing.  The differences are attributed to the use of average values over specific load impact hours and other factors.</t>
  </si>
  <si>
    <t>(2) Ex Ante Estimated MW = The monthly ex ante average load impact per customer; (reported in the annual April 1 DR Load Impact Studies filed in compliance with D. 08-04-050 , Ordering Paragraph 4), multiplied by the number of currently enrolled service accounts for the reporting month.  The ex ante average load impact is the average hourly load impact for an event that would occur from 4-9pm on the system peak day of the month.  Monthly ex ante estimates are indicated only for programs which can be called for events that reporting month. For programs that are not available that month or do not have a positive load impact, a value of zero is reported. SDP Residential is available year-round, however, due to no events being called during certain months in previous years, no ex ante data is available.</t>
  </si>
  <si>
    <t>(3) Ex Post Estimated MW = The monthly ex post average load impact per customer; (reported in the annual April 1 DR Load Impact Studies filed in compliance with D. 08-04-050 , Ordering Paragraph 4), multiplied by the number of currently enrolled service accounts for the reporting month.  The annual ex post average load impact is the average hourly load impact per customer for those customers that may have participated in an event(s) between 4-9pm on event days in the preceding year when or if events occurred. Ex Post OBMC Load Impacts are based on program year 2008.</t>
  </si>
  <si>
    <t>(4) CBP service accounts reflect monthly nomination counts, not total program enrollment.</t>
  </si>
  <si>
    <r>
      <t xml:space="preserve">Monthly Program Enrollment and Estimated Load Impacts </t>
    </r>
    <r>
      <rPr>
        <b/>
        <vertAlign val="superscript"/>
        <sz val="10"/>
        <color theme="1"/>
        <rFont val="Calibri"/>
        <family val="2"/>
        <scheme val="minor"/>
      </rPr>
      <t>(1)</t>
    </r>
  </si>
  <si>
    <r>
      <t xml:space="preserve">Ex Ante Estimated MW </t>
    </r>
    <r>
      <rPr>
        <b/>
        <vertAlign val="superscript"/>
        <sz val="10"/>
        <color theme="1"/>
        <rFont val="Calibri"/>
        <family val="2"/>
        <scheme val="minor"/>
      </rPr>
      <t>(2)</t>
    </r>
  </si>
  <si>
    <r>
      <t xml:space="preserve">Ex Post Estimated MW </t>
    </r>
    <r>
      <rPr>
        <b/>
        <vertAlign val="superscript"/>
        <sz val="10"/>
        <color theme="1"/>
        <rFont val="Calibri"/>
        <family val="2"/>
        <scheme val="minor"/>
      </rPr>
      <t>(3)</t>
    </r>
  </si>
  <si>
    <t>(4)</t>
  </si>
  <si>
    <t>(1) Estimated Average Ex Post Load Impact kW / Customer = Average kW / Customer service account over actual event hours during the 4-9pm window for the preceding year if events occurred omitting 0 and negative load values if program was available, but not dispatched.  Some programs may experience no events or few events while other programs may operate regularly depending on event triggers.  For existing programs, the Average Ex Post Load Impact per customer service account remains constant across all months with the exception of RTP. Ex Post for OBMC Load Impacts are based on reports filed in 2008 and all remaining ex post values are from the DR Load Impact Studies annual compliance filing on April 1, 2020 (PY2019) for Jan-Mar, April 1, 2021 (PY2020) for Apr-Dec.</t>
  </si>
  <si>
    <t>(2) CBP Day Ahead Ex-Post value is the Day-Ahead 1-6 Hour Load Impact value.</t>
  </si>
  <si>
    <t>(4)The accounts eligible to participate in OBMC are not available because the number of customers who can reduce 15% of their entire circuit load during every rotating outage cannot be reasonably estimated.</t>
  </si>
  <si>
    <t>(2)</t>
  </si>
  <si>
    <t>(2) MWs reported on this page are not excluded from and are not directly related to the MWs on the Program Ex Ante &amp; Ex Post tab.</t>
  </si>
  <si>
    <t>(3) Auto DR Verified MW - Represents verified/tested MW for service accounts that participate in Auto DR</t>
  </si>
  <si>
    <t>(4) Total Technology MW - Represents the sum of verified MW associated with the service accounts in the Auto DR programs</t>
  </si>
  <si>
    <t>(1) ) Activity Reflects projects installed 2018-2022 and still active (no closed accounts)</t>
  </si>
  <si>
    <t>(1) Activity Reflects projects installed 2009-2017 and still active (no closed accounts)</t>
  </si>
  <si>
    <t>(1) 2018 - 2020 Expenditures include incentive amounts paid to customers</t>
  </si>
  <si>
    <t>(2) Funding for DR programs and activities are approved in D.17-12-003 and D.21-03-056 and are recorded in SCE's Demand Response Program Balancing Account (DRPBA) unless otherwise noted.</t>
  </si>
  <si>
    <t>(3) Incentives are for programs in Category 1 and 5 only.</t>
  </si>
  <si>
    <t xml:space="preserve">(4) DRAM activities are approved in D.17-10-017, D.19-07-009, and E-4817 and settled to BRRBA.  Expenditures represent Resource Adequacy (RA) payments to demand response providers (DRP) based on the Demonstrated Capacity for each applicable Showing (Delivery) Month, in the month that the payments were paid. Payments are calculated as the product of the Contract Price of the RA Product and Demonstrated Capacity (kW) as defined in the DRAM Purchase Agreement, Section 1.6. </t>
  </si>
  <si>
    <t>(6) Integrated Programs and Activities were updated in July 2018 to align with the funding approved in SCE's EE Rolling Portfolio Business Plan for 2018-2025 in D.18-05-041 and resulted in the consolidation of 11 activities to 2.  In order to align with the DR program cycle defined in D.17-12-003, only funding through 2022 is included.  SCE will continue with the consolidated budget approach from last year. IDSM Programs moved to Category 5 (Pilots) per D.18-05-041, OP 10.</t>
  </si>
  <si>
    <t>(7)Total Expenditures for BIP includes BIP Aggregation incentives and Excess Energy Charges. This is consistent with table I-3.</t>
  </si>
  <si>
    <t>(8) Funding for ELRP was authorized in D.21-03-056 and records to the Emergency Load Reduction Program Balancing Account (ELRPBA)</t>
  </si>
  <si>
    <t>(9) Incremental Critical Peak Pricing (CPP) funding was approved in D.21-03-056 and records to DRPBA.  Reporting excludes activities funded in the General Rate Case.</t>
  </si>
  <si>
    <t>(5) Flex Alert funding authorized in D.21-03-056.  Expenditures are recorded to the SWMEOBA.</t>
  </si>
  <si>
    <t>(1) Carryover program costs, for funding cycles prior to 2018, are reported here and are recorded in SCE's Demand Response Program Balancing Account (DRPBA), unless otherwise noted.  SCE seeks Commission authorization to carryover program costs in its ERRA proceeding.</t>
  </si>
  <si>
    <t>(3) Category 3 expenses are recorded to BRRBA and/or PAACBA</t>
  </si>
  <si>
    <t>(4) Statewide ME&amp;O and Demand Response Auction Mechanism (DRAM) are funded outside of the DR Application process, 2018-2019 spend amounts were moved to the 2020 DRP Expenditures tab for ease of tracking.</t>
  </si>
  <si>
    <t>(5) Expenditures exclude incentives</t>
  </si>
  <si>
    <t>(2) Incentives are reported in month of settlement and not necessarily based on the month in which they were earned.  Due to SCE’s launch of CSRP billing system in April 2021, incentive payments may be delayed.</t>
  </si>
  <si>
    <t>(3) BIP represents net of incentives and Excess Energy Charges. CBP represents net of aggregator payment and penalties.</t>
  </si>
  <si>
    <t>(4) Total for BIP includes BIP Aggregation incentives and Excess Energy Charges.</t>
  </si>
  <si>
    <t xml:space="preserve">(5) Revenues from Excess Energy Charges, assessed for BIP participants, are for failure to reduce load when requested during curtailment events.   </t>
  </si>
  <si>
    <t xml:space="preserve">(1) Emergency programs' load reductions are normally requested by the ISO. The ISO does not call for load reductions by program. OBMC is activated by SCE concurrent with the ISO's request for firm load curtailment (rotating outages) to the minimum % level required to meet the ISO's firm load curtailment request. Other programs are triggered according to the terms of the tariff associated with the program. </t>
  </si>
  <si>
    <t>(2) Preliminary event data is estimated based on the below criteria and subject to change based on billing records and verification.</t>
  </si>
  <si>
    <t>CBP: Reported to SCE in aggregate by portfolio and by product nominations by APX.</t>
  </si>
  <si>
    <t xml:space="preserve">(3) Final event data for customer's load reduction (MW) is measured as follows: </t>
  </si>
  <si>
    <t>CBP:  Aggregated load reduction using billing data and the settlement baselines and calculations in accordance with the CBP tariff.</t>
  </si>
  <si>
    <t>(4) Event times are based on CAISO award start and end times or SCE determined start and end times.</t>
  </si>
  <si>
    <t>(5) Hours listed represent the number of hours for the event by individual SLAPs.</t>
  </si>
  <si>
    <t>TableI-1B
SCE Auto DR Program Subscription Statistics
2022</t>
  </si>
  <si>
    <t>2018-2022 Customized</t>
  </si>
  <si>
    <t>2018-2022 Express</t>
  </si>
  <si>
    <t>Table I-4
SCE Demand Response Programs and Activities Fund Shifting
2022</t>
  </si>
  <si>
    <t>Smart Communicating Thermostat Program (SCT)</t>
  </si>
  <si>
    <t>Year-to-Date 2022Expenditures</t>
  </si>
  <si>
    <t>SLAP_SCNW</t>
  </si>
  <si>
    <t>Estimated Eligible Accounts as of Jan 1, 2022</t>
  </si>
  <si>
    <t>All customers &gt; 37kW or connected load of 50 horsepower or greater on a TOU Ag &amp; Pump rate excluding DRAM, CBP, CPP, LCR, and customers on any Third Party DR Program</t>
  </si>
  <si>
    <t>All C &amp; I customers &gt; 200kW, excluding those on  SDP, CPP, CBP, LCR, and any Third Party DR Program</t>
  </si>
  <si>
    <t>All C &amp; I customers &gt; 200kW, excluding those on SDP, CPP, CBP, LCR, and any Third Party DR Program</t>
  </si>
  <si>
    <t>All customers (Residential and Commercial) with an IDR or Smart Connect Meter (excluding customers on any Third Party DR Program, and non-residential customers under any streetlight, area Lighting, traffic control or wireless technology rate)</t>
  </si>
  <si>
    <t>All bundled service residential customers with Smart Meters excluding those on the following programs or rates: DM, DMS-1, DMS-2, DMS-3, SDP, DRAM,  DRC, Registered with 3rd Party DRP, CPP, CBP, and Medical Baseline Allocation for A/C. (AC penetration = 0.5)</t>
  </si>
  <si>
    <t>All commercial customers with central air conditioning, excluding those on CBP, CPP, BIP, or any third party programs (AC penetration = 0.77)</t>
  </si>
  <si>
    <t>All residential customers with Smart Meters excluding those on rates DM, DMS-1, DMS-2, DMS-3, Medical Baseline with A/C, CPP, SEP, or any third party programs (AC penetration = 0.5)</t>
  </si>
  <si>
    <t xml:space="preserve">All bundled service customers with an IDR or Smart Connect Meter excluding those on rates DM, DMS-1, DMS-2, DMS-3, D-S, SLRP, TOU-GS-1 (Option B,C, D), TOU-EV, and customers under any streetlight, area Lighting, and traffic control.  Not eligible to dually enroll  in any other demand response program.  </t>
  </si>
  <si>
    <t xml:space="preserve">All bundled service customers with an IDR or Smart Connect Meter excluding those on rates DMS-2, DMS-3, S, SLRP, TOU-EV, TOU-GS-2 (Option A, E R, ), TOU-PA-2 (Option E, E5 to 8), customers under any streetlight, area Lighting, and traffic control. Not eligible to dually  enroll  in  any other demand  response  program.  </t>
  </si>
  <si>
    <t xml:space="preserve">All bundled service customers with an IDR or Smart Connect Meter excluding those on rates DMS-3, S, SLRP, TOU-EV, TOU-GS-3 (Option E, R), TOU-8 (Option A, E, R), TOU-PA-3 (Option A, E, E 5 to 8), customers under any streetlight, area Lighting, and traffic control. Not eligible to dually  enroll  in  any other demand  response  program.  </t>
  </si>
  <si>
    <t>All non-residential bundled service customers &gt; 100kW, excluding customers on any Third Party DR Program</t>
  </si>
  <si>
    <t>(6) Jan and Feb General Program numbers updated on March Report due to a revised process that resulted from a system enhancement.</t>
  </si>
  <si>
    <t>(5) General Program Category - Represents MW of participants who have received Auto DR incentives but are not currently enrolled in a qualifying Demand Response Program</t>
  </si>
  <si>
    <t>Category 1: Supply-Side Demand Response Programs</t>
  </si>
  <si>
    <t>Category 1 Total</t>
  </si>
  <si>
    <t>Category 3: Demand Response Auction Mechanism (DRAM and Direct Participation Electric Rule 24</t>
  </si>
  <si>
    <t>Category 7: Portfolio Support (Includes EM&amp;V, System Support, and Notifications)</t>
  </si>
  <si>
    <t>Category 3: DR Provider/Aggregated Managed Programs</t>
  </si>
  <si>
    <t>DR Institutional Partnership</t>
  </si>
  <si>
    <t>IDSM Continuous Improvement</t>
  </si>
  <si>
    <t>(3) Average Ex Ante Load Impact kW/Customer = Average kW / Customer, Program Level Impact, under CAISO 1-in-2 weather conditions, of an event that would occur from  4-9pm on the system peak day of the month, as reported in the DR load impact studies annual compliance filing on April 1, 2021 (PY2020) for Jan-Mar, April 1, 2022 (PY2021) for Apr-Dec, except where noted.  For programs that are not active outside of the summer season a zero load impact value is reported.  For programs available outside of the summer season, estimated Average Ex Ante Load Impacts for November through March are used depending on available data and reflect a typical event that would occur from 4-9pm under the same conditions. Ex Ante load for OBMC load impacts are based on reports filed in 2008.</t>
  </si>
  <si>
    <t>(10) Amounts reflected in totals may be corrected in subsequent periods and/or may reflect corrections from previous periods.</t>
  </si>
  <si>
    <t>(2) Amounts reflected in totals may be corrected in subsequent periods and/or may reflect corrections from previous periods.</t>
  </si>
  <si>
    <t>(6) SDP-R incentive expenditures include $50 bonus payments offered to new participants in 2022.  Per D 21-03-056 SCE was approved for incremental funding associated with the $50 bonus offereing in the amount of $1.5M each year in 2021 and 2022.</t>
  </si>
  <si>
    <t>(6)</t>
  </si>
  <si>
    <t>CBP- Capacity Bidding Program- Day Ahead (1-6)</t>
  </si>
  <si>
    <t>SLAP_SCEN</t>
  </si>
  <si>
    <t>SLAP_SCHD</t>
  </si>
  <si>
    <t>(11) 2021 spend updated to include ~$16k for ELRP and ~$45k for DR Systems &amp; Technology Support that settled to the DR balancing account post 2021 close.</t>
  </si>
  <si>
    <t>High System Demand</t>
  </si>
  <si>
    <t>Final</t>
  </si>
  <si>
    <t>Full Territory</t>
  </si>
  <si>
    <t>Self-Scheduled DAM</t>
  </si>
  <si>
    <t>SLAP_SCLD</t>
  </si>
  <si>
    <t>SDP-C - Summer Discount Plan Commercial</t>
  </si>
  <si>
    <t>SLAP_SCEC  1</t>
  </si>
  <si>
    <t>SLAP_SCEC  2</t>
  </si>
  <si>
    <t>SLAP_SCEC  3</t>
  </si>
  <si>
    <t>SLAP_SCEC  4</t>
  </si>
  <si>
    <t>SLAP_SCEW 1</t>
  </si>
  <si>
    <t>SLAP_SCEW 2</t>
  </si>
  <si>
    <t>SDP-R - Summer Discount Plan Residential</t>
  </si>
  <si>
    <t>Reliability</t>
  </si>
  <si>
    <t>(6) Emerging Markets &amp; Technologies Aug-Oct Carryover amounts corrected on November Report due to Dynamic Rate Pilot expenses inadvertently being reported on both "2022 DRP Expenditures" and "DRP Carryover Expenditures".</t>
  </si>
  <si>
    <t>Auto-DR Technology Incentives (AutoDR TI) Commitments Outstanding as of 12/31/2022</t>
  </si>
  <si>
    <t>Auto DR/Technology Incentives (AutoDR-TI) &amp; Emerging Markets &amp; Technologies</t>
  </si>
  <si>
    <t>This fund shift corrects the 2012-2014 EM&amp;T program cycle carryover expenses for projects initiated during that program cycle but did not sufficient carryover funds in later years.</t>
  </si>
  <si>
    <t>This fund shift corrects the 2015-2016 EM&amp;T program cycle carryover expenses for projects initiated during that program cycle but did not have sufficient carryover funds in later years.</t>
  </si>
  <si>
    <t xml:space="preserve">This fund shift allows for additional large commercial and industrial electric end use customer technologies to participate in the Dynamic Rate Pilot through 2024 which is currently limited to residential and mass market sites </t>
  </si>
  <si>
    <t xml:space="preserve">(12) ELRP Incentive amounts include charges to be recovered in Summer Reliability Demand Response Program Memorandum Account (SRDRPMA) as authorized in D.21-03-056 and D.21-03-056. </t>
  </si>
  <si>
    <t xml:space="preserve">(13) Spend excludes ~$23k in charges recorded to SRDRPMA for D.21-03-056 and D.21-03-056 approved activities. </t>
  </si>
  <si>
    <t>(1) Amounts reported are for incentives costs that are recovered in the Demand Response Program Balancing Account (DRPBA) with the exception of ELRP which is recovered by Emergency Load Reduction Program Balancing Account (ELRPBA) and/or Summer Reliability Demand Response Program Memorandum Account (SRDRPMA)</t>
  </si>
  <si>
    <t>Fund shift for 2017 EM&amp;T program cycle carryover expenses for projects initiated during that program cycle but did not have sufficient carryover funds in later years.</t>
  </si>
  <si>
    <t>D.20-05-009</t>
  </si>
  <si>
    <t>OP 3:</t>
  </si>
  <si>
    <t>Reaffirmed findings in D.09-08-027 as well as D.12-04-045</t>
  </si>
  <si>
    <t xml:space="preserve">The Utilities may submit a request via a Tier 3 advice letter to shift funds between budget categories during this demand response budget cycle. </t>
  </si>
  <si>
    <t>The Utilities may shift up to 50% of a program's funds to another program within the same budget category, with proper monthly reporting;</t>
  </si>
  <si>
    <t>The Utilities shall not shift funds within the "Pilots"or "Special Projects" budget categories without a Tier 2 Advice Letter;</t>
  </si>
  <si>
    <t>The Utilities shall continue to submit a Tier 2 Advice Letter to eliminate a Demand Response program;</t>
  </si>
  <si>
    <t>The Utilities shall not eliminate a program through multiple fund shifting
events or for any other reason without prior authorization from
the Commission;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</si>
</sst>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quot;$&quot;#,##0"/>
    <numFmt numFmtId="165" formatCode="0.0"/>
    <numFmt numFmtId="166" formatCode="[$-409]h:mm\ AM/PM;@"/>
    <numFmt numFmtId="167" formatCode="[h]:mm;@"/>
    <numFmt numFmtId="168" formatCode="mm/dd/yy;@"/>
    <numFmt numFmtId="169" formatCode="_(* #,##0_);_(* \(#,##0\);_(* &quot;-&quot;??_);_(@_)"/>
    <numFmt numFmtId="170" formatCode="_(&quot;$&quot;* #,##0_);_(&quot;$&quot;* \(#,##0\);_(&quot;$&quot;* &quot;-&quot;??_);_(@_)"/>
  </numFmts>
  <fonts count="15"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sz val="11"/>
      <color theme="0"/>
      <name val="Calibri"/>
      <family val="2"/>
      <scheme val="minor"/>
    </font>
    <font>
      <vertAlign val="superscript"/>
      <sz val="10"/>
      <color theme="1"/>
      <name val="Calibri"/>
      <family val="2"/>
      <scheme val="minor"/>
    </font>
    <font>
      <sz val="10"/>
      <name val="Calibri"/>
      <family val="2"/>
      <scheme val="minor"/>
    </font>
    <font>
      <b/>
      <vertAlign val="superscript"/>
      <sz val="10"/>
      <color theme="1"/>
      <name val="Calibri"/>
      <family val="2"/>
      <scheme val="minor"/>
    </font>
    <font>
      <sz val="10"/>
      <color theme="0"/>
      <name val="Calibri"/>
      <family val="2"/>
      <scheme val="minor"/>
    </font>
    <font>
      <b/>
      <i/>
      <vertAlign val="superscript"/>
      <sz val="10"/>
      <color theme="1"/>
      <name val="Calibri"/>
      <family val="2"/>
      <scheme val="minor"/>
    </font>
    <font>
      <i/>
      <sz val="10"/>
      <color theme="1"/>
      <name val="Calibri"/>
      <family val="2"/>
      <scheme val="minor"/>
    </font>
    <font>
      <sz val="11"/>
      <color theme="1"/>
      <name val="Calibri"/>
      <family val="2"/>
      <scheme val="minor"/>
    </font>
    <font>
      <b/>
      <sz val="10"/>
      <name val="Calibri"/>
      <family val="2"/>
      <scheme val="minor"/>
    </font>
    <font>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5">
    <xf numFmtId="0" fontId="0" fillId="0" borderId="0"/>
    <xf numFmtId="43" fontId="12" fillId="0" borderId="0" applyFont="0" applyFill="0" applyBorder="0" applyAlignment="0" applyProtection="0"/>
    <xf numFmtId="0" fontId="14" fillId="0" borderId="0"/>
    <xf numFmtId="0" fontId="14" fillId="0" borderId="0"/>
    <xf numFmtId="44" fontId="14" fillId="0" borderId="0" applyFont="0" applyFill="0" applyBorder="0" applyAlignment="0" applyProtection="0"/>
  </cellStyleXfs>
  <cellXfs count="290">
    <xf numFmtId="0" fontId="0" fillId="0" borderId="0" xfId="0"/>
    <xf numFmtId="0" fontId="2" fillId="0" borderId="0" xfId="0" applyFont="1"/>
    <xf numFmtId="0" fontId="3" fillId="0" borderId="0" xfId="0" applyFont="1"/>
    <xf numFmtId="0" fontId="2" fillId="0" borderId="0" xfId="0" applyFont="1" applyAlignment="1">
      <alignment wrapText="1"/>
    </xf>
    <xf numFmtId="0" fontId="3" fillId="0" borderId="0" xfId="0" applyFont="1" applyAlignment="1">
      <alignment horizontal="center" wrapText="1"/>
    </xf>
    <xf numFmtId="0" fontId="0" fillId="2" borderId="5" xfId="0" applyFill="1" applyBorder="1"/>
    <xf numFmtId="0" fontId="0" fillId="2" borderId="7" xfId="0" applyFill="1" applyBorder="1"/>
    <xf numFmtId="0" fontId="0" fillId="2" borderId="8" xfId="0" applyFill="1" applyBorder="1"/>
    <xf numFmtId="0" fontId="0" fillId="0" borderId="9" xfId="0" applyBorder="1"/>
    <xf numFmtId="0" fontId="0" fillId="0" borderId="0" xfId="0" applyBorder="1"/>
    <xf numFmtId="0" fontId="0" fillId="0" borderId="10" xfId="0" applyBorder="1"/>
    <xf numFmtId="0" fontId="0" fillId="0" borderId="11" xfId="0" applyBorder="1"/>
    <xf numFmtId="0" fontId="0" fillId="0" borderId="12" xfId="0" applyBorder="1"/>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0" xfId="0" applyFont="1" applyBorder="1" applyAlignment="1">
      <alignment horizontal="center" wrapText="1"/>
    </xf>
    <xf numFmtId="0" fontId="3" fillId="2" borderId="17" xfId="0" applyFont="1" applyFill="1" applyBorder="1"/>
    <xf numFmtId="0" fontId="2" fillId="0" borderId="18" xfId="0" applyFont="1" applyBorder="1"/>
    <xf numFmtId="0" fontId="0" fillId="0" borderId="18" xfId="0" applyBorder="1"/>
    <xf numFmtId="0" fontId="3" fillId="0" borderId="1" xfId="0" applyFont="1" applyFill="1" applyBorder="1" applyAlignment="1">
      <alignment horizontal="center" wrapText="1"/>
    </xf>
    <xf numFmtId="0" fontId="0" fillId="0" borderId="17" xfId="0" applyBorder="1"/>
    <xf numFmtId="0" fontId="1" fillId="0" borderId="0" xfId="0" applyFont="1"/>
    <xf numFmtId="0" fontId="2" fillId="0" borderId="23" xfId="0" applyFont="1" applyBorder="1" applyAlignment="1">
      <alignment horizontal="center" vertical="top"/>
    </xf>
    <xf numFmtId="0" fontId="2" fillId="0" borderId="24" xfId="0" applyFont="1" applyBorder="1" applyAlignment="1">
      <alignment horizontal="center" vertical="top"/>
    </xf>
    <xf numFmtId="0" fontId="2" fillId="0" borderId="25" xfId="0" applyFont="1" applyBorder="1" applyAlignment="1">
      <alignment horizontal="center" vertical="top"/>
    </xf>
    <xf numFmtId="0" fontId="3" fillId="0" borderId="20" xfId="0" applyFont="1" applyBorder="1" applyAlignment="1">
      <alignment horizontal="center" vertical="top"/>
    </xf>
    <xf numFmtId="0" fontId="2" fillId="0" borderId="21" xfId="0" applyFont="1" applyBorder="1" applyAlignment="1">
      <alignment horizontal="center" vertical="top"/>
    </xf>
    <xf numFmtId="0" fontId="2" fillId="0" borderId="22" xfId="0" applyFont="1" applyBorder="1" applyAlignment="1">
      <alignment horizontal="center" vertical="top"/>
    </xf>
    <xf numFmtId="164" fontId="3" fillId="0" borderId="21" xfId="0" applyNumberFormat="1" applyFont="1" applyBorder="1" applyAlignment="1">
      <alignment horizontal="center" vertical="top"/>
    </xf>
    <xf numFmtId="0" fontId="4" fillId="0" borderId="0" xfId="0" applyFont="1"/>
    <xf numFmtId="0" fontId="2" fillId="0" borderId="3" xfId="0" applyFont="1" applyBorder="1"/>
    <xf numFmtId="0" fontId="3" fillId="0" borderId="3" xfId="0" applyFont="1" applyBorder="1"/>
    <xf numFmtId="0" fontId="2" fillId="0" borderId="4" xfId="0" applyFont="1" applyBorder="1"/>
    <xf numFmtId="0" fontId="2" fillId="0" borderId="7" xfId="0" applyFont="1" applyBorder="1"/>
    <xf numFmtId="0" fontId="2" fillId="0" borderId="11" xfId="0" applyFont="1" applyBorder="1"/>
    <xf numFmtId="0" fontId="2" fillId="0" borderId="12" xfId="0" applyFont="1" applyBorder="1"/>
    <xf numFmtId="0" fontId="3" fillId="3" borderId="2" xfId="0" applyFont="1" applyFill="1" applyBorder="1"/>
    <xf numFmtId="0" fontId="2" fillId="0" borderId="9" xfId="0" applyFont="1" applyBorder="1"/>
    <xf numFmtId="0" fontId="2" fillId="0" borderId="0" xfId="0" applyFont="1" applyBorder="1"/>
    <xf numFmtId="0" fontId="3" fillId="0" borderId="2" xfId="0" applyFont="1" applyBorder="1"/>
    <xf numFmtId="0" fontId="2" fillId="0" borderId="19" xfId="0" applyFont="1" applyBorder="1"/>
    <xf numFmtId="0" fontId="3" fillId="2" borderId="7" xfId="0" applyFont="1" applyFill="1" applyBorder="1"/>
    <xf numFmtId="0" fontId="2" fillId="2" borderId="8" xfId="0" applyFont="1" applyFill="1" applyBorder="1"/>
    <xf numFmtId="0" fontId="2" fillId="2" borderId="7" xfId="0" applyFont="1" applyFill="1" applyBorder="1"/>
    <xf numFmtId="0" fontId="2" fillId="2" borderId="5" xfId="0" applyFont="1" applyFill="1" applyBorder="1"/>
    <xf numFmtId="0" fontId="3" fillId="0" borderId="0" xfId="0" applyFont="1" applyAlignment="1">
      <alignment horizontal="center"/>
    </xf>
    <xf numFmtId="0" fontId="3" fillId="2" borderId="8" xfId="0" applyFont="1" applyFill="1" applyBorder="1"/>
    <xf numFmtId="0" fontId="3" fillId="0" borderId="0" xfId="0" applyFont="1" applyBorder="1"/>
    <xf numFmtId="0" fontId="3" fillId="0" borderId="10" xfId="0" applyFont="1" applyBorder="1"/>
    <xf numFmtId="0" fontId="3" fillId="0" borderId="9" xfId="0" applyFont="1" applyBorder="1"/>
    <xf numFmtId="0" fontId="3" fillId="2" borderId="15" xfId="0" applyFont="1" applyFill="1" applyBorder="1"/>
    <xf numFmtId="0" fontId="1" fillId="2" borderId="17" xfId="0" applyFont="1" applyFill="1" applyBorder="1"/>
    <xf numFmtId="0" fontId="3" fillId="2" borderId="17" xfId="0" applyFont="1" applyFill="1" applyBorder="1" applyAlignment="1">
      <alignment wrapText="1"/>
    </xf>
    <xf numFmtId="0" fontId="3" fillId="3" borderId="15" xfId="0" applyFont="1" applyFill="1" applyBorder="1"/>
    <xf numFmtId="0" fontId="3" fillId="0" borderId="1" xfId="0" applyFont="1" applyBorder="1" applyAlignment="1">
      <alignment horizontal="center" wrapText="1"/>
    </xf>
    <xf numFmtId="0" fontId="3" fillId="3" borderId="1" xfId="0" applyFont="1" applyFill="1" applyBorder="1" applyAlignment="1">
      <alignment horizontal="center"/>
    </xf>
    <xf numFmtId="0" fontId="4" fillId="0" borderId="0" xfId="0" applyFont="1" applyAlignment="1">
      <alignment wrapText="1"/>
    </xf>
    <xf numFmtId="0" fontId="2" fillId="0" borderId="5" xfId="0" applyFont="1" applyBorder="1"/>
    <xf numFmtId="0" fontId="2" fillId="0" borderId="9" xfId="0" applyFont="1" applyBorder="1" applyAlignment="1">
      <alignment horizontal="left" indent="1"/>
    </xf>
    <xf numFmtId="0" fontId="2" fillId="0" borderId="11" xfId="0" applyFont="1" applyBorder="1" applyAlignment="1">
      <alignment horizontal="left" indent="1"/>
    </xf>
    <xf numFmtId="0" fontId="2" fillId="2" borderId="12" xfId="0" applyFont="1" applyFill="1" applyBorder="1"/>
    <xf numFmtId="0" fontId="2" fillId="2" borderId="0" xfId="0" applyFont="1" applyFill="1"/>
    <xf numFmtId="0" fontId="4" fillId="0" borderId="2" xfId="0" applyFont="1" applyFill="1" applyBorder="1" applyAlignment="1">
      <alignment wrapText="1"/>
    </xf>
    <xf numFmtId="0" fontId="2" fillId="3" borderId="3" xfId="0" applyFont="1" applyFill="1" applyBorder="1"/>
    <xf numFmtId="164" fontId="3" fillId="3" borderId="3" xfId="0" applyNumberFormat="1" applyFont="1" applyFill="1" applyBorder="1"/>
    <xf numFmtId="0" fontId="2" fillId="0" borderId="0" xfId="0" applyFont="1" applyFill="1"/>
    <xf numFmtId="0" fontId="0" fillId="0" borderId="0" xfId="0" applyFill="1"/>
    <xf numFmtId="0" fontId="3" fillId="0" borderId="0" xfId="0" applyFont="1" applyFill="1" applyBorder="1"/>
    <xf numFmtId="0" fontId="2" fillId="0" borderId="0" xfId="0" applyFont="1" applyFill="1" applyBorder="1"/>
    <xf numFmtId="0" fontId="0" fillId="0" borderId="0" xfId="0" applyFill="1" applyBorder="1"/>
    <xf numFmtId="0" fontId="2" fillId="0" borderId="2" xfId="0" applyFont="1" applyFill="1" applyBorder="1"/>
    <xf numFmtId="0" fontId="2" fillId="0" borderId="3" xfId="0" applyFont="1" applyFill="1" applyBorder="1"/>
    <xf numFmtId="0" fontId="2" fillId="2" borderId="3" xfId="0" applyFont="1" applyFill="1" applyBorder="1"/>
    <xf numFmtId="0" fontId="2" fillId="0" borderId="2" xfId="0" applyFont="1" applyBorder="1"/>
    <xf numFmtId="0" fontId="2" fillId="2" borderId="2" xfId="0" applyFont="1" applyFill="1" applyBorder="1"/>
    <xf numFmtId="0" fontId="2" fillId="0" borderId="1" xfId="0" applyFont="1" applyBorder="1"/>
    <xf numFmtId="0" fontId="1" fillId="0" borderId="11" xfId="0" applyFont="1" applyBorder="1" applyAlignment="1">
      <alignment horizontal="right"/>
    </xf>
    <xf numFmtId="0" fontId="0" fillId="0" borderId="2" xfId="0" applyBorder="1"/>
    <xf numFmtId="0" fontId="0" fillId="0" borderId="4" xfId="0" applyBorder="1"/>
    <xf numFmtId="165" fontId="1" fillId="2" borderId="6" xfId="0" applyNumberFormat="1" applyFont="1" applyFill="1" applyBorder="1"/>
    <xf numFmtId="165" fontId="1" fillId="2" borderId="16" xfId="0" applyNumberFormat="1" applyFont="1" applyFill="1" applyBorder="1"/>
    <xf numFmtId="6" fontId="2" fillId="2" borderId="5" xfId="0" applyNumberFormat="1" applyFont="1" applyFill="1" applyBorder="1"/>
    <xf numFmtId="6" fontId="2" fillId="0" borderId="5" xfId="0" applyNumberFormat="1" applyFont="1" applyBorder="1"/>
    <xf numFmtId="6" fontId="2" fillId="2" borderId="8" xfId="0" applyNumberFormat="1" applyFont="1" applyFill="1" applyBorder="1"/>
    <xf numFmtId="0" fontId="6" fillId="0" borderId="0" xfId="0" quotePrefix="1" applyFont="1"/>
    <xf numFmtId="6" fontId="2" fillId="0" borderId="0" xfId="0" applyNumberFormat="1" applyFont="1"/>
    <xf numFmtId="6" fontId="7" fillId="0" borderId="0" xfId="0" applyNumberFormat="1" applyFont="1"/>
    <xf numFmtId="6" fontId="2" fillId="2" borderId="10" xfId="0" applyNumberFormat="1" applyFont="1" applyFill="1" applyBorder="1"/>
    <xf numFmtId="6" fontId="2" fillId="2" borderId="12" xfId="0" applyNumberFormat="1" applyFont="1" applyFill="1" applyBorder="1"/>
    <xf numFmtId="6" fontId="2" fillId="0" borderId="12" xfId="0" applyNumberFormat="1" applyFont="1" applyBorder="1"/>
    <xf numFmtId="6" fontId="3" fillId="3" borderId="3" xfId="0" applyNumberFormat="1" applyFont="1" applyFill="1" applyBorder="1"/>
    <xf numFmtId="6" fontId="3" fillId="3" borderId="4" xfId="0" applyNumberFormat="1" applyFont="1" applyFill="1" applyBorder="1"/>
    <xf numFmtId="6" fontId="3" fillId="2" borderId="0" xfId="0" applyNumberFormat="1" applyFont="1" applyFill="1"/>
    <xf numFmtId="9" fontId="3" fillId="2" borderId="0" xfId="0" applyNumberFormat="1" applyFont="1" applyFill="1"/>
    <xf numFmtId="0" fontId="3" fillId="5" borderId="3" xfId="0" applyFont="1" applyFill="1" applyBorder="1"/>
    <xf numFmtId="6" fontId="3" fillId="5" borderId="3" xfId="0" applyNumberFormat="1" applyFont="1" applyFill="1" applyBorder="1"/>
    <xf numFmtId="9" fontId="3" fillId="5" borderId="3" xfId="0" applyNumberFormat="1" applyFont="1" applyFill="1" applyBorder="1"/>
    <xf numFmtId="0" fontId="9" fillId="0" borderId="0" xfId="0" applyFont="1"/>
    <xf numFmtId="0" fontId="2" fillId="0" borderId="12" xfId="0" applyFont="1" applyBorder="1" applyAlignment="1">
      <alignment horizontal="left" indent="2"/>
    </xf>
    <xf numFmtId="0" fontId="3" fillId="4" borderId="3" xfId="0" applyFont="1" applyFill="1" applyBorder="1"/>
    <xf numFmtId="0" fontId="2" fillId="4" borderId="3" xfId="0" applyFont="1" applyFill="1" applyBorder="1"/>
    <xf numFmtId="9" fontId="2" fillId="2" borderId="0" xfId="0" applyNumberFormat="1" applyFont="1" applyFill="1"/>
    <xf numFmtId="0" fontId="3" fillId="2" borderId="3" xfId="0" applyFont="1" applyFill="1" applyBorder="1"/>
    <xf numFmtId="6" fontId="3" fillId="2" borderId="3" xfId="0" applyNumberFormat="1" applyFont="1" applyFill="1" applyBorder="1"/>
    <xf numFmtId="0" fontId="3" fillId="0" borderId="12" xfId="0" applyFont="1" applyBorder="1"/>
    <xf numFmtId="6" fontId="3" fillId="0" borderId="12" xfId="0" applyNumberFormat="1" applyFont="1" applyBorder="1"/>
    <xf numFmtId="6" fontId="3" fillId="2" borderId="5" xfId="0" applyNumberFormat="1" applyFont="1" applyFill="1" applyBorder="1"/>
    <xf numFmtId="6" fontId="3" fillId="2" borderId="12" xfId="0" applyNumberFormat="1" applyFont="1" applyFill="1" applyBorder="1"/>
    <xf numFmtId="0" fontId="2" fillId="5" borderId="3" xfId="0" applyFont="1" applyFill="1" applyBorder="1"/>
    <xf numFmtId="0" fontId="11" fillId="0" borderId="0" xfId="0" applyFont="1"/>
    <xf numFmtId="0" fontId="5" fillId="0" borderId="0" xfId="0" applyFont="1"/>
    <xf numFmtId="0" fontId="3" fillId="0" borderId="1" xfId="0" applyFont="1" applyBorder="1" applyAlignment="1">
      <alignment horizontal="center"/>
    </xf>
    <xf numFmtId="0" fontId="3" fillId="0" borderId="1" xfId="0" applyFont="1" applyBorder="1" applyAlignment="1">
      <alignment horizontal="left"/>
    </xf>
    <xf numFmtId="0" fontId="2" fillId="0" borderId="1" xfId="0" applyFont="1" applyBorder="1" applyAlignment="1">
      <alignment horizontal="center"/>
    </xf>
    <xf numFmtId="166" fontId="2" fillId="0" borderId="1" xfId="0" applyNumberFormat="1" applyFont="1" applyBorder="1" applyAlignment="1">
      <alignment horizontal="center"/>
    </xf>
    <xf numFmtId="167" fontId="2" fillId="0" borderId="1" xfId="0" applyNumberFormat="1" applyFont="1" applyBorder="1" applyAlignment="1">
      <alignment horizontal="center"/>
    </xf>
    <xf numFmtId="0" fontId="2" fillId="0" borderId="0" xfId="0" applyFont="1" applyAlignment="1">
      <alignment horizontal="left" indent="3"/>
    </xf>
    <xf numFmtId="2" fontId="2" fillId="0" borderId="1" xfId="0" applyNumberFormat="1" applyFont="1" applyFill="1" applyBorder="1" applyAlignment="1">
      <alignment horizontal="center"/>
    </xf>
    <xf numFmtId="0" fontId="2" fillId="0" borderId="9" xfId="0" applyFont="1" applyBorder="1" applyAlignment="1">
      <alignment horizontal="left" wrapText="1" indent="1"/>
    </xf>
    <xf numFmtId="0" fontId="2" fillId="0" borderId="9" xfId="0" applyFont="1" applyBorder="1" applyAlignment="1">
      <alignment wrapText="1"/>
    </xf>
    <xf numFmtId="165" fontId="0" fillId="0" borderId="0" xfId="0" applyNumberFormat="1" applyBorder="1"/>
    <xf numFmtId="165" fontId="0" fillId="0" borderId="10" xfId="0" applyNumberFormat="1" applyBorder="1"/>
    <xf numFmtId="38" fontId="0" fillId="0" borderId="9" xfId="1" applyNumberFormat="1" applyFont="1" applyBorder="1"/>
    <xf numFmtId="165" fontId="2" fillId="0" borderId="2" xfId="0" applyNumberFormat="1" applyFont="1" applyBorder="1"/>
    <xf numFmtId="165" fontId="2" fillId="0" borderId="3" xfId="0" applyNumberFormat="1" applyFont="1" applyBorder="1"/>
    <xf numFmtId="165" fontId="2" fillId="2" borderId="2" xfId="0" applyNumberFormat="1" applyFont="1" applyFill="1" applyBorder="1"/>
    <xf numFmtId="165" fontId="2" fillId="2" borderId="3" xfId="0" applyNumberFormat="1" applyFont="1" applyFill="1" applyBorder="1"/>
    <xf numFmtId="38" fontId="0" fillId="0" borderId="9" xfId="0" applyNumberFormat="1" applyBorder="1"/>
    <xf numFmtId="0" fontId="3" fillId="2" borderId="14" xfId="0" applyFont="1" applyFill="1" applyBorder="1"/>
    <xf numFmtId="0" fontId="3" fillId="2" borderId="14" xfId="0" applyFont="1" applyFill="1" applyBorder="1" applyAlignment="1">
      <alignment vertical="center"/>
    </xf>
    <xf numFmtId="0" fontId="3" fillId="4" borderId="14" xfId="0" applyFont="1" applyFill="1" applyBorder="1"/>
    <xf numFmtId="0" fontId="2" fillId="0" borderId="10" xfId="0" applyFont="1" applyBorder="1"/>
    <xf numFmtId="0" fontId="3" fillId="2" borderId="16" xfId="0" applyFont="1" applyFill="1" applyBorder="1"/>
    <xf numFmtId="0" fontId="3" fillId="2" borderId="16" xfId="0" applyFont="1" applyFill="1" applyBorder="1" applyAlignment="1">
      <alignment vertical="center"/>
    </xf>
    <xf numFmtId="0" fontId="3" fillId="4" borderId="16" xfId="0" applyFont="1" applyFill="1" applyBorder="1"/>
    <xf numFmtId="6" fontId="3" fillId="2" borderId="0" xfId="0" applyNumberFormat="1" applyFont="1" applyFill="1" applyBorder="1"/>
    <xf numFmtId="6" fontId="2" fillId="0" borderId="0" xfId="0" applyNumberFormat="1" applyFont="1" applyBorder="1"/>
    <xf numFmtId="6" fontId="2" fillId="2" borderId="0" xfId="0" applyNumberFormat="1" applyFont="1" applyFill="1" applyBorder="1"/>
    <xf numFmtId="6" fontId="2" fillId="0" borderId="0" xfId="0" applyNumberFormat="1" applyFont="1" applyFill="1"/>
    <xf numFmtId="6" fontId="3" fillId="0" borderId="0" xfId="0" applyNumberFormat="1" applyFont="1" applyFill="1" applyBorder="1"/>
    <xf numFmtId="6" fontId="3" fillId="0" borderId="3" xfId="0" applyNumberFormat="1" applyFont="1" applyFill="1" applyBorder="1"/>
    <xf numFmtId="6" fontId="2" fillId="0" borderId="3" xfId="0" applyNumberFormat="1" applyFont="1" applyFill="1" applyBorder="1"/>
    <xf numFmtId="165" fontId="0" fillId="0" borderId="0" xfId="0" applyNumberFormat="1" applyFill="1" applyBorder="1"/>
    <xf numFmtId="165" fontId="0" fillId="0" borderId="10" xfId="0" applyNumberFormat="1" applyFill="1" applyBorder="1"/>
    <xf numFmtId="9" fontId="2" fillId="2" borderId="8" xfId="0" applyNumberFormat="1" applyFont="1" applyFill="1" applyBorder="1"/>
    <xf numFmtId="9" fontId="2" fillId="2" borderId="10" xfId="0" applyNumberFormat="1" applyFont="1" applyFill="1" applyBorder="1"/>
    <xf numFmtId="9" fontId="2" fillId="2" borderId="13" xfId="0" applyNumberFormat="1" applyFont="1" applyFill="1" applyBorder="1"/>
    <xf numFmtId="9" fontId="2" fillId="3" borderId="4" xfId="0" applyNumberFormat="1" applyFont="1" applyFill="1" applyBorder="1"/>
    <xf numFmtId="9" fontId="2" fillId="0" borderId="0" xfId="0" applyNumberFormat="1" applyFont="1"/>
    <xf numFmtId="6" fontId="3" fillId="0" borderId="0" xfId="0" applyNumberFormat="1" applyFont="1"/>
    <xf numFmtId="164" fontId="2" fillId="2" borderId="5" xfId="0" applyNumberFormat="1" applyFont="1" applyFill="1" applyBorder="1"/>
    <xf numFmtId="164" fontId="2" fillId="2" borderId="0" xfId="0" applyNumberFormat="1" applyFont="1" applyFill="1" applyBorder="1"/>
    <xf numFmtId="164" fontId="2" fillId="2" borderId="12" xfId="0" applyNumberFormat="1" applyFont="1" applyFill="1" applyBorder="1"/>
    <xf numFmtId="164" fontId="2" fillId="3" borderId="3" xfId="0" applyNumberFormat="1" applyFont="1" applyFill="1" applyBorder="1"/>
    <xf numFmtId="164" fontId="2" fillId="0" borderId="0" xfId="0" applyNumberFormat="1" applyFont="1"/>
    <xf numFmtId="168" fontId="2" fillId="0" borderId="1" xfId="0" applyNumberFormat="1" applyFont="1" applyBorder="1" applyAlignment="1">
      <alignment horizontal="center"/>
    </xf>
    <xf numFmtId="169" fontId="0" fillId="0" borderId="18" xfId="0" applyNumberFormat="1" applyBorder="1" applyAlignment="1">
      <alignment horizontal="right"/>
    </xf>
    <xf numFmtId="169" fontId="0" fillId="0" borderId="19" xfId="0" applyNumberFormat="1" applyBorder="1" applyAlignment="1">
      <alignment horizontal="right"/>
    </xf>
    <xf numFmtId="169" fontId="2" fillId="0" borderId="1" xfId="0" applyNumberFormat="1" applyFont="1" applyBorder="1" applyAlignment="1">
      <alignment horizontal="right"/>
    </xf>
    <xf numFmtId="169" fontId="2" fillId="2" borderId="1" xfId="0" applyNumberFormat="1" applyFont="1" applyFill="1" applyBorder="1" applyAlignment="1">
      <alignment horizontal="right"/>
    </xf>
    <xf numFmtId="0" fontId="6" fillId="0" borderId="10" xfId="0" quotePrefix="1" applyFont="1" applyBorder="1"/>
    <xf numFmtId="0" fontId="2" fillId="0" borderId="4" xfId="0" applyFont="1" applyBorder="1" applyAlignment="1">
      <alignment wrapText="1"/>
    </xf>
    <xf numFmtId="0" fontId="2" fillId="2" borderId="4" xfId="0" applyFont="1" applyFill="1" applyBorder="1" applyAlignment="1">
      <alignment wrapText="1"/>
    </xf>
    <xf numFmtId="0" fontId="6" fillId="2" borderId="3" xfId="0" quotePrefix="1" applyFont="1" applyFill="1" applyBorder="1"/>
    <xf numFmtId="0" fontId="6" fillId="0" borderId="3" xfId="0" quotePrefix="1" applyFont="1" applyBorder="1"/>
    <xf numFmtId="0" fontId="3" fillId="0" borderId="0" xfId="0" applyFont="1" applyAlignment="1"/>
    <xf numFmtId="0" fontId="2" fillId="0" borderId="0" xfId="0" quotePrefix="1" applyFont="1"/>
    <xf numFmtId="0" fontId="7" fillId="0" borderId="0" xfId="0" quotePrefix="1" applyFont="1"/>
    <xf numFmtId="0" fontId="7" fillId="0" borderId="0" xfId="0" applyFont="1"/>
    <xf numFmtId="0" fontId="3" fillId="2" borderId="26" xfId="0" applyFont="1" applyFill="1" applyBorder="1"/>
    <xf numFmtId="165" fontId="3" fillId="3" borderId="15" xfId="0" applyNumberFormat="1" applyFont="1" applyFill="1" applyBorder="1"/>
    <xf numFmtId="165" fontId="3" fillId="0" borderId="18" xfId="0" applyNumberFormat="1" applyFont="1" applyBorder="1"/>
    <xf numFmtId="165" fontId="3" fillId="2" borderId="15" xfId="0" applyNumberFormat="1" applyFont="1" applyFill="1" applyBorder="1"/>
    <xf numFmtId="164" fontId="1" fillId="0" borderId="1" xfId="0" applyNumberFormat="1" applyFont="1" applyBorder="1"/>
    <xf numFmtId="6" fontId="3" fillId="2" borderId="8" xfId="0" applyNumberFormat="1" applyFont="1" applyFill="1" applyBorder="1"/>
    <xf numFmtId="6" fontId="3" fillId="2" borderId="10" xfId="0" applyNumberFormat="1" applyFont="1" applyFill="1" applyBorder="1"/>
    <xf numFmtId="6" fontId="3" fillId="2" borderId="13" xfId="0" applyNumberFormat="1" applyFont="1" applyFill="1" applyBorder="1"/>
    <xf numFmtId="6" fontId="3" fillId="0" borderId="4" xfId="0" applyNumberFormat="1" applyFont="1" applyFill="1" applyBorder="1"/>
    <xf numFmtId="3" fontId="1" fillId="2" borderId="14" xfId="0" applyNumberFormat="1" applyFont="1" applyFill="1" applyBorder="1"/>
    <xf numFmtId="0" fontId="3" fillId="0" borderId="7" xfId="0" applyFont="1" applyBorder="1" applyAlignment="1">
      <alignment horizontal="right"/>
    </xf>
    <xf numFmtId="0" fontId="3" fillId="0" borderId="5" xfId="0" applyFont="1" applyBorder="1" applyAlignment="1">
      <alignment horizontal="right"/>
    </xf>
    <xf numFmtId="0" fontId="3" fillId="0" borderId="8" xfId="0" applyFont="1" applyBorder="1" applyAlignment="1">
      <alignment horizontal="right"/>
    </xf>
    <xf numFmtId="165" fontId="0" fillId="0" borderId="0" xfId="0" applyNumberFormat="1"/>
    <xf numFmtId="165" fontId="3" fillId="0" borderId="0" xfId="0" applyNumberFormat="1" applyFont="1" applyBorder="1"/>
    <xf numFmtId="165" fontId="3" fillId="2" borderId="17" xfId="0" applyNumberFormat="1" applyFont="1" applyFill="1" applyBorder="1"/>
    <xf numFmtId="165" fontId="3" fillId="0" borderId="0" xfId="0" applyNumberFormat="1" applyFont="1"/>
    <xf numFmtId="165" fontId="3" fillId="2" borderId="26" xfId="0" applyNumberFormat="1" applyFont="1" applyFill="1" applyBorder="1"/>
    <xf numFmtId="6" fontId="7" fillId="0" borderId="5" xfId="0" applyNumberFormat="1" applyFont="1" applyBorder="1"/>
    <xf numFmtId="6" fontId="7" fillId="0" borderId="0" xfId="0" applyNumberFormat="1" applyFont="1" applyBorder="1"/>
    <xf numFmtId="0" fontId="3" fillId="0" borderId="1" xfId="0" applyFont="1" applyFill="1" applyBorder="1" applyAlignment="1">
      <alignment horizontal="left"/>
    </xf>
    <xf numFmtId="0" fontId="2" fillId="0" borderId="1" xfId="0" applyFont="1" applyFill="1" applyBorder="1" applyAlignment="1">
      <alignment horizontal="center"/>
    </xf>
    <xf numFmtId="168" fontId="2" fillId="0" borderId="1" xfId="0" applyNumberFormat="1" applyFont="1" applyFill="1" applyBorder="1" applyAlignment="1">
      <alignment horizontal="center"/>
    </xf>
    <xf numFmtId="166" fontId="2" fillId="0" borderId="1" xfId="0" applyNumberFormat="1" applyFont="1" applyFill="1" applyBorder="1" applyAlignment="1">
      <alignment horizontal="center"/>
    </xf>
    <xf numFmtId="167" fontId="2" fillId="0" borderId="1" xfId="0" applyNumberFormat="1" applyFont="1" applyFill="1" applyBorder="1" applyAlignment="1">
      <alignment horizontal="center"/>
    </xf>
    <xf numFmtId="38" fontId="0" fillId="0" borderId="0" xfId="0" applyNumberFormat="1"/>
    <xf numFmtId="38" fontId="0" fillId="0" borderId="0" xfId="0" applyNumberFormat="1" applyBorder="1"/>
    <xf numFmtId="165" fontId="3" fillId="2" borderId="28" xfId="0" applyNumberFormat="1" applyFont="1" applyFill="1" applyBorder="1"/>
    <xf numFmtId="0" fontId="3" fillId="2" borderId="28" xfId="0" applyFont="1" applyFill="1" applyBorder="1"/>
    <xf numFmtId="0" fontId="3" fillId="2" borderId="29" xfId="0" applyFont="1" applyFill="1" applyBorder="1"/>
    <xf numFmtId="165" fontId="7" fillId="2" borderId="3" xfId="0" applyNumberFormat="1" applyFont="1" applyFill="1" applyBorder="1"/>
    <xf numFmtId="0" fontId="0" fillId="0" borderId="0" xfId="0" quotePrefix="1"/>
    <xf numFmtId="0" fontId="5" fillId="0" borderId="0" xfId="0" applyFont="1" applyFill="1"/>
    <xf numFmtId="0" fontId="3" fillId="0" borderId="9" xfId="0" applyFont="1" applyBorder="1" applyAlignment="1">
      <alignment horizontal="right"/>
    </xf>
    <xf numFmtId="0" fontId="3" fillId="0" borderId="0" xfId="0" applyFont="1" applyAlignment="1">
      <alignment horizontal="right"/>
    </xf>
    <xf numFmtId="0" fontId="3" fillId="0" borderId="10" xfId="0" applyFont="1" applyBorder="1" applyAlignment="1">
      <alignment horizontal="right"/>
    </xf>
    <xf numFmtId="0" fontId="13" fillId="0" borderId="1" xfId="2" applyFont="1" applyFill="1" applyBorder="1" applyAlignment="1">
      <alignment wrapText="1"/>
    </xf>
    <xf numFmtId="0" fontId="7" fillId="0" borderId="1" xfId="2" applyFont="1" applyFill="1" applyBorder="1" applyAlignment="1">
      <alignment horizontal="center" vertical="center"/>
    </xf>
    <xf numFmtId="168" fontId="7" fillId="0" borderId="1" xfId="2" applyNumberFormat="1" applyFont="1" applyFill="1" applyBorder="1" applyAlignment="1">
      <alignment horizontal="center" vertical="center"/>
    </xf>
    <xf numFmtId="2" fontId="7" fillId="0" borderId="1" xfId="2" applyNumberFormat="1" applyFont="1" applyFill="1" applyBorder="1" applyAlignment="1">
      <alignment horizontal="center" vertical="center" wrapText="1"/>
    </xf>
    <xf numFmtId="0" fontId="7" fillId="0" borderId="1" xfId="2" applyFont="1" applyFill="1" applyBorder="1" applyAlignment="1">
      <alignment horizontal="center" vertical="center" wrapText="1"/>
    </xf>
    <xf numFmtId="167" fontId="7" fillId="0" borderId="1" xfId="2" applyNumberFormat="1" applyFont="1" applyFill="1" applyBorder="1" applyAlignment="1">
      <alignment horizontal="center" vertical="center" wrapText="1"/>
    </xf>
    <xf numFmtId="18" fontId="7" fillId="0" borderId="1" xfId="3" applyNumberFormat="1" applyFont="1" applyFill="1" applyBorder="1" applyAlignment="1">
      <alignment horizontal="center" vertical="center"/>
    </xf>
    <xf numFmtId="14" fontId="2" fillId="0" borderId="1" xfId="0" applyNumberFormat="1" applyFont="1" applyFill="1" applyBorder="1" applyAlignment="1">
      <alignment horizontal="center"/>
    </xf>
    <xf numFmtId="38" fontId="1" fillId="0" borderId="14" xfId="0" applyNumberFormat="1" applyFont="1" applyFill="1" applyBorder="1"/>
    <xf numFmtId="0" fontId="13" fillId="0" borderId="1" xfId="2" applyFont="1" applyBorder="1" applyAlignment="1">
      <alignment wrapText="1"/>
    </xf>
    <xf numFmtId="0" fontId="7" fillId="0" borderId="1" xfId="2" applyFont="1" applyBorder="1" applyAlignment="1">
      <alignment horizontal="center" vertical="center"/>
    </xf>
    <xf numFmtId="168" fontId="7" fillId="0" borderId="1" xfId="2" applyNumberFormat="1" applyFont="1" applyBorder="1" applyAlignment="1">
      <alignment horizontal="center" vertical="center"/>
    </xf>
    <xf numFmtId="0" fontId="7" fillId="0" borderId="1" xfId="2" applyFont="1" applyBorder="1" applyAlignment="1">
      <alignment horizontal="center" vertical="center" wrapText="1"/>
    </xf>
    <xf numFmtId="2" fontId="7" fillId="0" borderId="1" xfId="2" applyNumberFormat="1" applyFont="1" applyBorder="1" applyAlignment="1">
      <alignment horizontal="center" vertical="center" wrapText="1"/>
    </xf>
    <xf numFmtId="18" fontId="7" fillId="0" borderId="1" xfId="3" applyNumberFormat="1" applyFont="1" applyBorder="1" applyAlignment="1">
      <alignment horizontal="center" vertical="center"/>
    </xf>
    <xf numFmtId="167" fontId="7" fillId="0" borderId="1" xfId="2" applyNumberFormat="1" applyFont="1" applyBorder="1" applyAlignment="1">
      <alignment horizontal="center" vertical="center" wrapText="1"/>
    </xf>
    <xf numFmtId="6" fontId="2" fillId="0" borderId="12" xfId="0" applyNumberFormat="1" applyFont="1" applyFill="1" applyBorder="1"/>
    <xf numFmtId="170" fontId="7" fillId="0" borderId="1" xfId="4" applyNumberFormat="1" applyFont="1" applyFill="1" applyBorder="1" applyAlignment="1">
      <alignment vertical="top"/>
    </xf>
    <xf numFmtId="0" fontId="3" fillId="0" borderId="30" xfId="0" applyFont="1" applyBorder="1" applyAlignment="1">
      <alignment horizontal="center" vertical="top"/>
    </xf>
    <xf numFmtId="0" fontId="3" fillId="0" borderId="31" xfId="0" applyFont="1" applyBorder="1" applyAlignment="1">
      <alignment horizontal="center" vertical="top"/>
    </xf>
    <xf numFmtId="0" fontId="3" fillId="0" borderId="32" xfId="0" applyFont="1" applyBorder="1" applyAlignment="1">
      <alignment horizontal="center" vertical="top"/>
    </xf>
    <xf numFmtId="0" fontId="2" fillId="0" borderId="1" xfId="0" applyFont="1" applyBorder="1" applyAlignment="1">
      <alignment horizontal="left" vertical="top" wrapText="1"/>
    </xf>
    <xf numFmtId="0" fontId="2" fillId="0" borderId="1" xfId="0" applyFont="1" applyBorder="1" applyAlignment="1">
      <alignment horizontal="center" vertical="top"/>
    </xf>
    <xf numFmtId="14" fontId="2" fillId="0" borderId="1" xfId="0" applyNumberFormat="1" applyFont="1" applyBorder="1" applyAlignment="1">
      <alignment horizontal="center" vertical="top"/>
    </xf>
    <xf numFmtId="0" fontId="0" fillId="0" borderId="0" xfId="0" applyAlignment="1">
      <alignment horizontal="left" wrapText="1"/>
    </xf>
    <xf numFmtId="0" fontId="3" fillId="0" borderId="0" xfId="0" applyFont="1" applyAlignment="1">
      <alignment horizontal="center" wrapText="1"/>
    </xf>
    <xf numFmtId="0" fontId="3" fillId="0" borderId="0" xfId="0" applyFont="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2" fillId="0" borderId="0" xfId="0" applyFont="1" applyAlignment="1">
      <alignment horizontal="left" wrapText="1"/>
    </xf>
    <xf numFmtId="0" fontId="2" fillId="0" borderId="9" xfId="0" applyFont="1" applyBorder="1" applyAlignment="1">
      <alignment horizontal="center" wrapText="1"/>
    </xf>
    <xf numFmtId="0" fontId="2" fillId="0" borderId="0" xfId="0" applyFont="1" applyAlignment="1">
      <alignment horizontal="left"/>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3" fillId="0" borderId="17" xfId="0" applyFont="1" applyBorder="1" applyAlignment="1">
      <alignment horizontal="center" wrapText="1"/>
    </xf>
    <xf numFmtId="0" fontId="3" fillId="0" borderId="18" xfId="0" applyFont="1" applyBorder="1" applyAlignment="1">
      <alignment horizontal="center" wrapText="1"/>
    </xf>
    <xf numFmtId="0" fontId="3" fillId="2" borderId="7" xfId="0" applyFont="1" applyFill="1" applyBorder="1" applyAlignment="1">
      <alignment horizontal="center" wrapText="1"/>
    </xf>
    <xf numFmtId="0" fontId="3" fillId="2" borderId="9" xfId="0" applyFont="1" applyFill="1" applyBorder="1" applyAlignment="1">
      <alignment horizontal="center" wrapText="1"/>
    </xf>
    <xf numFmtId="0" fontId="13" fillId="2" borderId="5" xfId="0" applyFont="1" applyFill="1" applyBorder="1" applyAlignment="1">
      <alignment horizontal="center" wrapText="1"/>
    </xf>
    <xf numFmtId="0" fontId="13" fillId="2" borderId="0" xfId="0" applyFont="1" applyFill="1" applyBorder="1" applyAlignment="1">
      <alignment horizontal="center" wrapText="1"/>
    </xf>
    <xf numFmtId="0" fontId="3" fillId="2" borderId="5" xfId="0" applyFont="1" applyFill="1" applyBorder="1" applyAlignment="1">
      <alignment horizontal="center" wrapText="1"/>
    </xf>
    <xf numFmtId="0" fontId="3" fillId="2" borderId="0" xfId="0" applyFont="1" applyFill="1" applyBorder="1" applyAlignment="1">
      <alignment horizontal="center" wrapText="1"/>
    </xf>
    <xf numFmtId="0" fontId="3" fillId="2" borderId="8" xfId="0" applyFont="1" applyFill="1" applyBorder="1" applyAlignment="1">
      <alignment horizontal="center" wrapText="1"/>
    </xf>
    <xf numFmtId="0" fontId="3" fillId="2" borderId="10" xfId="0" applyFont="1" applyFill="1" applyBorder="1" applyAlignment="1">
      <alignment horizontal="center" wrapText="1"/>
    </xf>
    <xf numFmtId="0" fontId="0" fillId="0" borderId="0" xfId="0" applyAlignment="1">
      <alignment horizontal="left"/>
    </xf>
    <xf numFmtId="0" fontId="13" fillId="2" borderId="8" xfId="0" applyFont="1" applyFill="1" applyBorder="1" applyAlignment="1">
      <alignment horizontal="center" wrapText="1"/>
    </xf>
    <xf numFmtId="0" fontId="13" fillId="2" borderId="13" xfId="0" applyFont="1" applyFill="1" applyBorder="1" applyAlignment="1">
      <alignment horizont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3" fillId="2" borderId="17" xfId="0" applyFont="1" applyFill="1" applyBorder="1" applyAlignment="1">
      <alignment horizontal="center" wrapText="1"/>
    </xf>
    <xf numFmtId="0" fontId="3" fillId="2" borderId="18" xfId="0" applyFont="1" applyFill="1" applyBorder="1" applyAlignment="1">
      <alignment horizontal="center" wrapText="1"/>
    </xf>
    <xf numFmtId="0" fontId="13" fillId="2" borderId="17" xfId="0" applyFont="1" applyFill="1" applyBorder="1" applyAlignment="1">
      <alignment horizontal="center" wrapText="1"/>
    </xf>
    <xf numFmtId="0" fontId="13" fillId="2" borderId="18" xfId="0" applyFont="1" applyFill="1" applyBorder="1" applyAlignment="1">
      <alignment horizontal="center" wrapText="1"/>
    </xf>
    <xf numFmtId="0" fontId="1" fillId="0" borderId="0" xfId="0" applyFont="1" applyAlignment="1">
      <alignment horizontal="center" wrapText="1"/>
    </xf>
    <xf numFmtId="0" fontId="13" fillId="3" borderId="2" xfId="0" applyFont="1" applyFill="1" applyBorder="1" applyAlignment="1">
      <alignment horizontal="center"/>
    </xf>
    <xf numFmtId="0" fontId="13" fillId="3" borderId="3" xfId="0" applyFont="1" applyFill="1" applyBorder="1" applyAlignment="1">
      <alignment horizontal="center"/>
    </xf>
    <xf numFmtId="0" fontId="13" fillId="3" borderId="4" xfId="0" applyFont="1" applyFill="1" applyBorder="1" applyAlignment="1">
      <alignment horizontal="center"/>
    </xf>
    <xf numFmtId="0" fontId="3" fillId="0" borderId="7" xfId="0" applyFont="1" applyBorder="1" applyAlignment="1">
      <alignment horizontal="center" wrapText="1"/>
    </xf>
    <xf numFmtId="0" fontId="3" fillId="0" borderId="11" xfId="0" applyFont="1" applyBorder="1" applyAlignment="1">
      <alignment horizontal="center" wrapText="1"/>
    </xf>
    <xf numFmtId="0" fontId="3" fillId="0" borderId="8" xfId="0" applyFont="1" applyBorder="1" applyAlignment="1">
      <alignment horizontal="center" wrapText="1"/>
    </xf>
    <xf numFmtId="0" fontId="3" fillId="0" borderId="13" xfId="0" applyFont="1" applyBorder="1" applyAlignment="1">
      <alignment horizontal="center" wrapText="1"/>
    </xf>
    <xf numFmtId="0" fontId="3" fillId="0" borderId="19" xfId="0" applyFont="1" applyBorder="1" applyAlignment="1">
      <alignment horizontal="center" wrapText="1"/>
    </xf>
    <xf numFmtId="164" fontId="2" fillId="0" borderId="1" xfId="0" applyNumberFormat="1" applyFont="1" applyBorder="1" applyAlignment="1">
      <alignment horizontal="center" vertical="top"/>
    </xf>
    <xf numFmtId="0" fontId="2" fillId="0" borderId="1" xfId="0" applyFont="1" applyFill="1" applyBorder="1" applyAlignment="1">
      <alignment vertical="top" wrapText="1"/>
    </xf>
    <xf numFmtId="0" fontId="2" fillId="0" borderId="1" xfId="0" applyFont="1" applyFill="1" applyBorder="1" applyAlignment="1">
      <alignment horizontal="center" vertical="top" wrapText="1"/>
    </xf>
    <xf numFmtId="0" fontId="1" fillId="0" borderId="0" xfId="0" applyFont="1" applyAlignment="1">
      <alignment horizontal="right"/>
    </xf>
    <xf numFmtId="38" fontId="0" fillId="6" borderId="9" xfId="0" applyNumberFormat="1" applyFill="1" applyBorder="1"/>
    <xf numFmtId="165" fontId="0" fillId="6" borderId="0" xfId="0" applyNumberFormat="1" applyFill="1" applyBorder="1"/>
    <xf numFmtId="165" fontId="0" fillId="6" borderId="10" xfId="0" applyNumberFormat="1" applyFill="1" applyBorder="1"/>
    <xf numFmtId="38" fontId="0" fillId="6" borderId="0" xfId="0" applyNumberFormat="1" applyFill="1"/>
    <xf numFmtId="38" fontId="1" fillId="6" borderId="14" xfId="0" applyNumberFormat="1" applyFont="1" applyFill="1" applyBorder="1"/>
    <xf numFmtId="165" fontId="1" fillId="6" borderId="6" xfId="0" applyNumberFormat="1" applyFont="1" applyFill="1" applyBorder="1"/>
    <xf numFmtId="165" fontId="1" fillId="6" borderId="16" xfId="0" applyNumberFormat="1" applyFont="1" applyFill="1" applyBorder="1"/>
    <xf numFmtId="3" fontId="1" fillId="6" borderId="14" xfId="0" applyNumberFormat="1" applyFont="1" applyFill="1" applyBorder="1"/>
    <xf numFmtId="38" fontId="0" fillId="6" borderId="9" xfId="1" applyNumberFormat="1" applyFont="1" applyFill="1" applyBorder="1"/>
    <xf numFmtId="0" fontId="0" fillId="6" borderId="0" xfId="0" applyFill="1"/>
    <xf numFmtId="38" fontId="0" fillId="6" borderId="0" xfId="0" applyNumberFormat="1" applyFill="1" applyBorder="1"/>
    <xf numFmtId="165" fontId="1" fillId="6" borderId="26" xfId="0" applyNumberFormat="1" applyFont="1" applyFill="1" applyBorder="1"/>
    <xf numFmtId="165" fontId="1" fillId="6" borderId="27" xfId="0" applyNumberFormat="1" applyFont="1" applyFill="1" applyBorder="1"/>
    <xf numFmtId="0" fontId="0" fillId="6" borderId="0" xfId="0" applyFill="1" applyBorder="1"/>
    <xf numFmtId="2" fontId="2" fillId="6" borderId="1" xfId="0" applyNumberFormat="1" applyFont="1" applyFill="1" applyBorder="1" applyAlignment="1">
      <alignment horizontal="center"/>
    </xf>
  </cellXfs>
  <cellStyles count="5">
    <cellStyle name="Comma" xfId="1" builtinId="3"/>
    <cellStyle name="Currency 10 2 2 2" xfId="4" xr:uid="{F0F336E7-9E5B-4639-85C1-411C0F99066C}"/>
    <cellStyle name="Normal" xfId="0" builtinId="0"/>
    <cellStyle name="Normal 2" xfId="2" xr:uid="{3022BAC6-188D-421B-AE18-788B9C564788}"/>
    <cellStyle name="Normal 2 16" xfId="3" xr:uid="{E25954E7-5B69-46BD-9B34-E9E2F964F45F}"/>
  </cellStyles>
  <dxfs count="1">
    <dxf>
      <font>
        <strike val="0"/>
        <outline val="0"/>
        <shadow val="0"/>
        <u val="none"/>
        <vertAlign val="baseline"/>
        <sz val="10"/>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D0B4E3F-51A0-4AEC-8FEA-23185F1CA812}" name="Table2" displayName="Table2" ref="A1:D47" totalsRowShown="0">
  <autoFilter ref="A1:D47" xr:uid="{3AD6ED5F-5D8F-42E0-B77B-35A520720A1A}"/>
  <tableColumns count="4">
    <tableColumn id="1" xr3:uid="{2C3F8478-1106-4284-B9E3-8D6A03970EDF}" name="Program Names" dataDxfId="0"/>
    <tableColumn id="2" xr3:uid="{8A814BB6-0A13-4AE6-A493-4DABD997E05C}" name="Program EX Ante &amp; Ex Post MWs"/>
    <tableColumn id="3" xr3:uid="{25B30383-5768-429E-B408-6566E00ABD8D}" name="Load Impacts (ExPost &amp; ExAnte)"/>
    <tableColumn id="4" xr3:uid="{4406F644-2D34-4224-B693-4CDA5BAF6B33}" name="2021 DRP Expenditures"/>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8A55E-8DDE-4FA3-8438-842F60A70230}">
  <dimension ref="A1:D47"/>
  <sheetViews>
    <sheetView topLeftCell="A16" workbookViewId="0">
      <selection activeCell="A37" sqref="A37"/>
    </sheetView>
  </sheetViews>
  <sheetFormatPr defaultRowHeight="15" x14ac:dyDescent="0.25"/>
  <cols>
    <col min="1" max="1" width="49" bestFit="1" customWidth="1"/>
    <col min="2" max="2" width="31.28515625" customWidth="1"/>
    <col min="3" max="3" width="30.85546875" customWidth="1"/>
    <col min="4" max="4" width="23.28515625" customWidth="1"/>
  </cols>
  <sheetData>
    <row r="1" spans="1:4" x14ac:dyDescent="0.25">
      <c r="A1" t="s">
        <v>0</v>
      </c>
      <c r="B1" t="s">
        <v>39</v>
      </c>
      <c r="C1" t="s">
        <v>40</v>
      </c>
      <c r="D1" t="s">
        <v>41</v>
      </c>
    </row>
    <row r="2" spans="1:4" x14ac:dyDescent="0.25">
      <c r="A2" s="1" t="s">
        <v>1</v>
      </c>
    </row>
    <row r="3" spans="1:4" x14ac:dyDescent="0.25">
      <c r="A3" s="1" t="s">
        <v>2</v>
      </c>
    </row>
    <row r="4" spans="1:4" x14ac:dyDescent="0.25">
      <c r="A4" s="1" t="s">
        <v>3</v>
      </c>
    </row>
    <row r="5" spans="1:4" x14ac:dyDescent="0.25">
      <c r="A5" s="1" t="s">
        <v>4</v>
      </c>
    </row>
    <row r="6" spans="1:4" x14ac:dyDescent="0.25">
      <c r="A6" s="1" t="s">
        <v>5</v>
      </c>
    </row>
    <row r="7" spans="1:4" x14ac:dyDescent="0.25">
      <c r="A7" s="1" t="s">
        <v>6</v>
      </c>
    </row>
    <row r="8" spans="1:4" x14ac:dyDescent="0.25">
      <c r="A8" s="1" t="s">
        <v>8</v>
      </c>
    </row>
    <row r="9" spans="1:4" x14ac:dyDescent="0.25">
      <c r="A9" s="1" t="s">
        <v>9</v>
      </c>
    </row>
    <row r="10" spans="1:4" x14ac:dyDescent="0.25">
      <c r="A10" s="1" t="s">
        <v>7</v>
      </c>
    </row>
    <row r="11" spans="1:4" x14ac:dyDescent="0.25">
      <c r="A11" s="1" t="s">
        <v>10</v>
      </c>
    </row>
    <row r="12" spans="1:4" x14ac:dyDescent="0.25">
      <c r="A12" s="1" t="s">
        <v>11</v>
      </c>
    </row>
    <row r="13" spans="1:4" x14ac:dyDescent="0.25">
      <c r="A13" s="1" t="s">
        <v>12</v>
      </c>
    </row>
    <row r="14" spans="1:4" x14ac:dyDescent="0.25">
      <c r="A14" s="1" t="s">
        <v>140</v>
      </c>
    </row>
    <row r="15" spans="1:4" ht="26.25" x14ac:dyDescent="0.25">
      <c r="A15" s="3" t="s">
        <v>13</v>
      </c>
    </row>
    <row r="16" spans="1:4" ht="26.25" x14ac:dyDescent="0.25">
      <c r="A16" s="3" t="s">
        <v>188</v>
      </c>
    </row>
    <row r="17" spans="1:1" x14ac:dyDescent="0.25">
      <c r="A17" s="1" t="s">
        <v>14</v>
      </c>
    </row>
    <row r="18" spans="1:1" x14ac:dyDescent="0.25">
      <c r="A18" s="1" t="s">
        <v>15</v>
      </c>
    </row>
    <row r="19" spans="1:1" x14ac:dyDescent="0.25">
      <c r="A19" s="1" t="s">
        <v>16</v>
      </c>
    </row>
    <row r="20" spans="1:1" x14ac:dyDescent="0.25">
      <c r="A20" s="1" t="s">
        <v>17</v>
      </c>
    </row>
    <row r="21" spans="1:1" x14ac:dyDescent="0.25">
      <c r="A21" s="1" t="s">
        <v>18</v>
      </c>
    </row>
    <row r="22" spans="1:1" x14ac:dyDescent="0.25">
      <c r="A22" s="1" t="s">
        <v>19</v>
      </c>
    </row>
    <row r="23" spans="1:1" x14ac:dyDescent="0.25">
      <c r="A23" s="1" t="s">
        <v>20</v>
      </c>
    </row>
    <row r="24" spans="1:1" x14ac:dyDescent="0.25">
      <c r="A24" s="1" t="s">
        <v>21</v>
      </c>
    </row>
    <row r="25" spans="1:1" x14ac:dyDescent="0.25">
      <c r="A25" s="1" t="s">
        <v>22</v>
      </c>
    </row>
    <row r="26" spans="1:1" x14ac:dyDescent="0.25">
      <c r="A26" s="1" t="s">
        <v>213</v>
      </c>
    </row>
    <row r="27" spans="1:1" x14ac:dyDescent="0.25">
      <c r="A27" s="1" t="s">
        <v>214</v>
      </c>
    </row>
    <row r="28" spans="1:1" x14ac:dyDescent="0.25">
      <c r="A28" s="1" t="s">
        <v>23</v>
      </c>
    </row>
    <row r="29" spans="1:1" x14ac:dyDescent="0.25">
      <c r="A29" s="1" t="s">
        <v>24</v>
      </c>
    </row>
    <row r="30" spans="1:1" x14ac:dyDescent="0.25">
      <c r="A30" s="1" t="s">
        <v>25</v>
      </c>
    </row>
    <row r="31" spans="1:1" x14ac:dyDescent="0.25">
      <c r="A31" s="1" t="s">
        <v>26</v>
      </c>
    </row>
    <row r="32" spans="1:1" x14ac:dyDescent="0.25">
      <c r="A32" s="1" t="s">
        <v>27</v>
      </c>
    </row>
    <row r="33" spans="1:1" x14ac:dyDescent="0.25">
      <c r="A33" s="1" t="s">
        <v>28</v>
      </c>
    </row>
    <row r="34" spans="1:1" x14ac:dyDescent="0.25">
      <c r="A34" s="1" t="s">
        <v>29</v>
      </c>
    </row>
    <row r="35" spans="1:1" x14ac:dyDescent="0.25">
      <c r="A35" s="1" t="s">
        <v>30</v>
      </c>
    </row>
    <row r="36" spans="1:1" x14ac:dyDescent="0.25">
      <c r="A36" s="1" t="s">
        <v>31</v>
      </c>
    </row>
    <row r="37" spans="1:1" x14ac:dyDescent="0.25">
      <c r="A37" s="1" t="s">
        <v>269</v>
      </c>
    </row>
    <row r="38" spans="1:1" x14ac:dyDescent="0.25">
      <c r="A38" s="1" t="s">
        <v>197</v>
      </c>
    </row>
    <row r="39" spans="1:1" x14ac:dyDescent="0.25">
      <c r="A39" s="1" t="s">
        <v>32</v>
      </c>
    </row>
    <row r="40" spans="1:1" x14ac:dyDescent="0.25">
      <c r="A40" s="1" t="s">
        <v>33</v>
      </c>
    </row>
    <row r="41" spans="1:1" x14ac:dyDescent="0.25">
      <c r="A41" s="1" t="s">
        <v>35</v>
      </c>
    </row>
    <row r="42" spans="1:1" x14ac:dyDescent="0.25">
      <c r="A42" s="1" t="s">
        <v>36</v>
      </c>
    </row>
    <row r="43" spans="1:1" x14ac:dyDescent="0.25">
      <c r="A43" s="1" t="s">
        <v>34</v>
      </c>
    </row>
    <row r="44" spans="1:1" x14ac:dyDescent="0.25">
      <c r="A44" s="1" t="s">
        <v>37</v>
      </c>
    </row>
    <row r="45" spans="1:1" x14ac:dyDescent="0.25">
      <c r="A45" s="1" t="s">
        <v>38</v>
      </c>
    </row>
    <row r="46" spans="1:1" x14ac:dyDescent="0.25">
      <c r="A46" s="1" t="s">
        <v>211</v>
      </c>
    </row>
    <row r="47" spans="1:1" x14ac:dyDescent="0.25">
      <c r="A47" s="1" t="s">
        <v>212</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029BF-772E-4B10-84D6-86EDD7E24852}">
  <dimension ref="B1:R240"/>
  <sheetViews>
    <sheetView showGridLines="0" view="pageBreakPreview" zoomScale="70" zoomScaleNormal="80" zoomScaleSheetLayoutView="70" zoomScalePageLayoutView="60" workbookViewId="0">
      <selection activeCell="D43" sqref="D43:U44"/>
    </sheetView>
  </sheetViews>
  <sheetFormatPr defaultRowHeight="15" x14ac:dyDescent="0.25"/>
  <cols>
    <col min="1" max="1" width="1.85546875" customWidth="1"/>
    <col min="2" max="2" width="94.5703125" customWidth="1"/>
    <col min="3" max="14" width="14.7109375" customWidth="1"/>
    <col min="15" max="15" width="15.42578125" customWidth="1"/>
    <col min="16" max="17" width="15.7109375" customWidth="1"/>
    <col min="18" max="18" width="9.140625" hidden="1" customWidth="1"/>
  </cols>
  <sheetData>
    <row r="1" spans="2:18" ht="62.25" customHeight="1" x14ac:dyDescent="0.25">
      <c r="B1" s="262" t="s">
        <v>208</v>
      </c>
      <c r="C1" s="262"/>
      <c r="D1" s="262"/>
      <c r="E1" s="262"/>
      <c r="F1" s="262"/>
      <c r="G1" s="262"/>
      <c r="H1" s="262"/>
      <c r="I1" s="262"/>
      <c r="J1" s="262"/>
      <c r="K1" s="262"/>
      <c r="L1" s="262"/>
      <c r="M1" s="262"/>
      <c r="N1" s="262"/>
      <c r="O1" s="262"/>
      <c r="P1" s="262"/>
      <c r="Q1" s="262"/>
    </row>
    <row r="2" spans="2:18" ht="12.75" customHeight="1" x14ac:dyDescent="0.25">
      <c r="B2" s="2" t="s">
        <v>58</v>
      </c>
      <c r="C2" s="1"/>
      <c r="D2" s="1"/>
      <c r="E2" s="1"/>
      <c r="F2" s="1"/>
      <c r="G2" s="1"/>
      <c r="H2" s="1"/>
      <c r="I2" s="1"/>
      <c r="J2" s="1"/>
      <c r="K2" s="1"/>
      <c r="L2" s="1"/>
      <c r="M2" s="1"/>
      <c r="N2" s="1"/>
      <c r="O2" s="1"/>
      <c r="P2" s="1"/>
      <c r="Q2" s="1"/>
      <c r="R2" s="1"/>
    </row>
    <row r="3" spans="2:18" ht="12.75" customHeight="1" x14ac:dyDescent="0.25">
      <c r="B3" s="2" t="s">
        <v>141</v>
      </c>
      <c r="C3" s="1"/>
      <c r="D3" s="1"/>
      <c r="E3" s="1"/>
      <c r="F3" s="1"/>
      <c r="G3" s="1"/>
      <c r="H3" s="1"/>
      <c r="I3" s="1"/>
      <c r="J3" s="1"/>
      <c r="K3" s="1"/>
      <c r="L3" s="1"/>
      <c r="M3" s="1"/>
      <c r="N3" s="1"/>
      <c r="O3" s="1"/>
      <c r="P3" s="1"/>
      <c r="Q3" s="1"/>
      <c r="R3" s="1"/>
    </row>
    <row r="4" spans="2:18" ht="12.75" customHeight="1" x14ac:dyDescent="0.25">
      <c r="B4" s="1"/>
      <c r="C4" s="1"/>
      <c r="D4" s="1"/>
      <c r="E4" s="1"/>
      <c r="F4" s="1"/>
      <c r="G4" s="1"/>
      <c r="H4" s="1"/>
      <c r="I4" s="1"/>
      <c r="J4" s="1"/>
      <c r="K4" s="1"/>
      <c r="L4" s="1"/>
      <c r="M4" s="1"/>
      <c r="N4" s="1"/>
      <c r="O4" s="1"/>
      <c r="P4" s="1"/>
      <c r="Q4" s="1"/>
      <c r="R4" s="1"/>
    </row>
    <row r="5" spans="2:18" ht="18" customHeight="1" x14ac:dyDescent="0.25">
      <c r="B5" s="1"/>
      <c r="C5" s="263" t="s">
        <v>183</v>
      </c>
      <c r="D5" s="264"/>
      <c r="E5" s="264"/>
      <c r="F5" s="264"/>
      <c r="G5" s="264"/>
      <c r="H5" s="264"/>
      <c r="I5" s="264"/>
      <c r="J5" s="264"/>
      <c r="K5" s="264"/>
      <c r="L5" s="264"/>
      <c r="M5" s="264"/>
      <c r="N5" s="265"/>
      <c r="O5" s="266" t="s">
        <v>200</v>
      </c>
      <c r="P5" s="268" t="s">
        <v>209</v>
      </c>
      <c r="Q5" s="242" t="s">
        <v>92</v>
      </c>
      <c r="R5" s="1"/>
    </row>
    <row r="6" spans="2:18" ht="38.25" customHeight="1" x14ac:dyDescent="0.25">
      <c r="B6" s="1"/>
      <c r="C6" s="203" t="s">
        <v>44</v>
      </c>
      <c r="D6" s="204" t="s">
        <v>45</v>
      </c>
      <c r="E6" s="204" t="s">
        <v>46</v>
      </c>
      <c r="F6" s="204" t="s">
        <v>47</v>
      </c>
      <c r="G6" s="204" t="s">
        <v>48</v>
      </c>
      <c r="H6" s="204" t="s">
        <v>49</v>
      </c>
      <c r="I6" s="204" t="s">
        <v>52</v>
      </c>
      <c r="J6" s="204" t="s">
        <v>53</v>
      </c>
      <c r="K6" s="204" t="s">
        <v>54</v>
      </c>
      <c r="L6" s="204" t="s">
        <v>55</v>
      </c>
      <c r="M6" s="204" t="s">
        <v>56</v>
      </c>
      <c r="N6" s="205" t="s">
        <v>57</v>
      </c>
      <c r="O6" s="267"/>
      <c r="P6" s="269"/>
      <c r="Q6" s="270"/>
      <c r="R6" s="1"/>
    </row>
    <row r="7" spans="2:18" x14ac:dyDescent="0.25">
      <c r="B7" s="32" t="s">
        <v>142</v>
      </c>
      <c r="C7" s="31"/>
      <c r="D7" s="31"/>
      <c r="E7" s="31"/>
      <c r="F7" s="31"/>
      <c r="G7" s="31"/>
      <c r="H7" s="31"/>
      <c r="I7" s="31"/>
      <c r="J7" s="31"/>
      <c r="K7" s="31"/>
      <c r="L7" s="31"/>
      <c r="M7" s="31"/>
      <c r="N7" s="31"/>
      <c r="O7" s="31"/>
      <c r="P7" s="31"/>
      <c r="Q7" s="31"/>
      <c r="R7" s="1"/>
    </row>
    <row r="8" spans="2:18" ht="12.75" customHeight="1" x14ac:dyDescent="0.25">
      <c r="B8" s="1" t="s">
        <v>143</v>
      </c>
      <c r="C8" s="86">
        <v>2521.06</v>
      </c>
      <c r="D8" s="86">
        <v>6731.33</v>
      </c>
      <c r="E8" s="86">
        <v>6767.63</v>
      </c>
      <c r="F8" s="86">
        <v>3338.9</v>
      </c>
      <c r="G8" s="86">
        <v>8769.7099999999991</v>
      </c>
      <c r="H8" s="86">
        <v>4200.49</v>
      </c>
      <c r="I8" s="86">
        <v>5035.74</v>
      </c>
      <c r="J8" s="86">
        <v>7755.53</v>
      </c>
      <c r="K8" s="86">
        <v>7903.6</v>
      </c>
      <c r="L8" s="86">
        <v>14616.1</v>
      </c>
      <c r="M8" s="86">
        <v>2111.7199999999998</v>
      </c>
      <c r="N8" s="86">
        <v>3673.6</v>
      </c>
      <c r="O8" s="93">
        <f>SUM(C8:N8)</f>
        <v>73425.41</v>
      </c>
      <c r="P8" s="93">
        <v>297000</v>
      </c>
      <c r="Q8" s="94">
        <f>IFERROR(O8/P8,0)</f>
        <v>0.24722360269360272</v>
      </c>
      <c r="R8" s="1">
        <v>1</v>
      </c>
    </row>
    <row r="9" spans="2:18" ht="12.75" customHeight="1" x14ac:dyDescent="0.25">
      <c r="B9" s="1" t="s">
        <v>144</v>
      </c>
      <c r="C9" s="86">
        <v>142614.20000000001</v>
      </c>
      <c r="D9" s="86">
        <v>765387.89</v>
      </c>
      <c r="E9" s="86">
        <v>792362.77</v>
      </c>
      <c r="F9" s="86">
        <v>255209.7</v>
      </c>
      <c r="G9" s="86">
        <v>1213479.68</v>
      </c>
      <c r="H9" s="86">
        <v>386365.55</v>
      </c>
      <c r="I9" s="86">
        <v>551439.82999999996</v>
      </c>
      <c r="J9" s="86">
        <v>943133.27</v>
      </c>
      <c r="K9" s="86">
        <v>1142973.78</v>
      </c>
      <c r="L9" s="86">
        <v>2423303.58</v>
      </c>
      <c r="M9" s="86">
        <v>3558.59</v>
      </c>
      <c r="N9" s="86">
        <v>733058.23</v>
      </c>
      <c r="O9" s="93">
        <f>SUM(C9:N9)</f>
        <v>9352887.0700000003</v>
      </c>
      <c r="P9" s="93">
        <v>9603000</v>
      </c>
      <c r="Q9" s="94">
        <f>IFERROR(O9/P9,0)</f>
        <v>0.97395470894512137</v>
      </c>
      <c r="R9" s="1">
        <v>2</v>
      </c>
    </row>
    <row r="10" spans="2:18" x14ac:dyDescent="0.25">
      <c r="B10" s="95" t="s">
        <v>145</v>
      </c>
      <c r="C10" s="96">
        <f>SUM(C8:C9)</f>
        <v>145135.26</v>
      </c>
      <c r="D10" s="96">
        <f t="shared" ref="D10:N10" si="0">SUM(D8:D9)</f>
        <v>772119.22</v>
      </c>
      <c r="E10" s="96">
        <f t="shared" si="0"/>
        <v>799130.4</v>
      </c>
      <c r="F10" s="96">
        <f t="shared" si="0"/>
        <v>258548.6</v>
      </c>
      <c r="G10" s="96">
        <f t="shared" si="0"/>
        <v>1222249.3899999999</v>
      </c>
      <c r="H10" s="96">
        <f t="shared" si="0"/>
        <v>390566.04</v>
      </c>
      <c r="I10" s="96">
        <f t="shared" si="0"/>
        <v>556475.56999999995</v>
      </c>
      <c r="J10" s="96">
        <f t="shared" si="0"/>
        <v>950888.8</v>
      </c>
      <c r="K10" s="96">
        <f t="shared" si="0"/>
        <v>1150877.3800000001</v>
      </c>
      <c r="L10" s="96">
        <f t="shared" si="0"/>
        <v>2437919.6800000002</v>
      </c>
      <c r="M10" s="96">
        <f t="shared" si="0"/>
        <v>5670.3099999999995</v>
      </c>
      <c r="N10" s="96">
        <f t="shared" si="0"/>
        <v>736731.83</v>
      </c>
      <c r="O10" s="96">
        <f>SUM(O8:O9)</f>
        <v>9426312.4800000004</v>
      </c>
      <c r="P10" s="96">
        <f>SUM(P8:P9)</f>
        <v>9900000</v>
      </c>
      <c r="Q10" s="97">
        <f>IFERROR(O10/P10,0)</f>
        <v>0.95215277575757584</v>
      </c>
      <c r="R10" s="1"/>
    </row>
    <row r="11" spans="2:18" x14ac:dyDescent="0.25">
      <c r="B11" s="1"/>
      <c r="C11" s="98" t="b">
        <f>C10='2022 DRP Expenditures'!H53</f>
        <v>1</v>
      </c>
      <c r="D11" s="98" t="b">
        <f>D10='2022 DRP Expenditures'!I53</f>
        <v>1</v>
      </c>
      <c r="E11" s="98" t="b">
        <f>E10='2022 DRP Expenditures'!J53</f>
        <v>1</v>
      </c>
      <c r="F11" s="98" t="b">
        <f>F10='2022 DRP Expenditures'!K53</f>
        <v>1</v>
      </c>
      <c r="G11" s="98" t="b">
        <f>G10='2022 DRP Expenditures'!L53</f>
        <v>1</v>
      </c>
      <c r="H11" s="98" t="b">
        <f>H10='2022 DRP Expenditures'!M53</f>
        <v>1</v>
      </c>
      <c r="I11" s="98" t="b">
        <f>I10='2022 DRP Expenditures'!N53</f>
        <v>1</v>
      </c>
      <c r="J11" s="98" t="b">
        <f>J10='2022 DRP Expenditures'!O53</f>
        <v>1</v>
      </c>
      <c r="K11" s="98" t="b">
        <f>K10='2022 DRP Expenditures'!P53</f>
        <v>1</v>
      </c>
      <c r="L11" s="98" t="b">
        <f>L10='2022 DRP Expenditures'!Q53</f>
        <v>1</v>
      </c>
      <c r="M11" s="98" t="b">
        <f>M10='2022 DRP Expenditures'!R53</f>
        <v>1</v>
      </c>
      <c r="N11" s="98" t="b">
        <f>N10='2022 DRP Expenditures'!S53</f>
        <v>1</v>
      </c>
      <c r="O11" s="1"/>
      <c r="P11" s="1"/>
      <c r="Q11" s="1"/>
      <c r="R11" s="1"/>
    </row>
    <row r="12" spans="2:18" ht="18" customHeight="1" x14ac:dyDescent="0.25">
      <c r="B12" s="2" t="s">
        <v>146</v>
      </c>
      <c r="C12" s="1"/>
      <c r="D12" s="1"/>
      <c r="E12" s="1"/>
      <c r="F12" s="1"/>
      <c r="G12" s="1"/>
      <c r="H12" s="1"/>
      <c r="I12" s="1"/>
      <c r="J12" s="1"/>
      <c r="K12" s="1"/>
      <c r="L12" s="1"/>
      <c r="M12" s="1"/>
      <c r="N12" s="1"/>
      <c r="O12" s="1"/>
      <c r="P12" s="1"/>
      <c r="Q12" s="1"/>
      <c r="R12" s="1"/>
    </row>
    <row r="13" spans="2:18" ht="13.5" customHeight="1" x14ac:dyDescent="0.25">
      <c r="B13" s="99" t="s">
        <v>147</v>
      </c>
      <c r="C13" s="36"/>
      <c r="D13" s="36"/>
      <c r="E13" s="36"/>
      <c r="F13" s="36"/>
      <c r="G13" s="36"/>
      <c r="H13" s="36"/>
      <c r="I13" s="36"/>
      <c r="J13" s="36"/>
      <c r="K13" s="36"/>
      <c r="L13" s="36"/>
      <c r="M13" s="36"/>
      <c r="N13" s="36"/>
      <c r="O13" s="36"/>
      <c r="P13" s="36"/>
      <c r="Q13" s="36"/>
      <c r="R13" s="1"/>
    </row>
    <row r="14" spans="2:18" x14ac:dyDescent="0.25">
      <c r="B14" s="1"/>
      <c r="C14" s="1"/>
      <c r="D14" s="1"/>
      <c r="E14" s="1"/>
      <c r="F14" s="1"/>
      <c r="G14" s="1"/>
      <c r="H14" s="1"/>
      <c r="I14" s="1"/>
      <c r="J14" s="1"/>
      <c r="K14" s="1"/>
      <c r="L14" s="1"/>
      <c r="M14" s="1"/>
      <c r="N14" s="1"/>
      <c r="O14" s="1"/>
      <c r="P14" s="1"/>
      <c r="Q14" s="1"/>
      <c r="R14" s="1"/>
    </row>
    <row r="15" spans="2:18" x14ac:dyDescent="0.25">
      <c r="B15" s="100" t="s">
        <v>148</v>
      </c>
      <c r="C15" s="101"/>
      <c r="D15" s="101"/>
      <c r="E15" s="101"/>
      <c r="F15" s="101"/>
      <c r="G15" s="101"/>
      <c r="H15" s="101"/>
      <c r="I15" s="101"/>
      <c r="J15" s="101"/>
      <c r="K15" s="101"/>
      <c r="L15" s="101"/>
      <c r="M15" s="101"/>
      <c r="N15" s="101"/>
      <c r="O15" s="101"/>
      <c r="P15" s="101"/>
      <c r="Q15" s="101"/>
      <c r="R15" s="1"/>
    </row>
    <row r="16" spans="2:18" x14ac:dyDescent="0.25">
      <c r="B16" s="57" t="s">
        <v>286</v>
      </c>
      <c r="C16" s="1"/>
      <c r="D16" s="1"/>
      <c r="E16" s="1"/>
      <c r="F16" s="1"/>
      <c r="G16" s="1"/>
      <c r="H16" s="1"/>
      <c r="I16" s="1"/>
      <c r="J16" s="1"/>
      <c r="K16" s="1"/>
      <c r="L16" s="1"/>
      <c r="M16" s="1"/>
      <c r="N16" s="1"/>
      <c r="O16" s="62"/>
      <c r="P16" s="62"/>
      <c r="Q16" s="62"/>
      <c r="R16" s="1"/>
    </row>
    <row r="17" spans="2:18" ht="12.75" customHeight="1" x14ac:dyDescent="0.25">
      <c r="B17" s="1" t="s">
        <v>1</v>
      </c>
      <c r="C17" s="86">
        <v>0</v>
      </c>
      <c r="D17" s="86">
        <v>0</v>
      </c>
      <c r="E17" s="86">
        <v>0</v>
      </c>
      <c r="F17" s="86">
        <v>0</v>
      </c>
      <c r="G17" s="86">
        <v>632.04999999999995</v>
      </c>
      <c r="H17" s="86">
        <v>0</v>
      </c>
      <c r="I17" s="86">
        <v>2619.06</v>
      </c>
      <c r="J17" s="86">
        <v>0</v>
      </c>
      <c r="K17" s="86">
        <v>0</v>
      </c>
      <c r="L17" s="86">
        <v>0</v>
      </c>
      <c r="M17" s="86">
        <v>0</v>
      </c>
      <c r="N17" s="86">
        <v>0</v>
      </c>
      <c r="O17" s="93">
        <f>SUM(C17:N17)</f>
        <v>3251.1099999999997</v>
      </c>
      <c r="P17" s="62"/>
      <c r="Q17" s="94">
        <f t="shared" ref="Q17:Q21" si="1">IFERROR(O17/P17,0)</f>
        <v>0</v>
      </c>
      <c r="R17" s="1">
        <v>3</v>
      </c>
    </row>
    <row r="18" spans="2:18" ht="12.75" customHeight="1" x14ac:dyDescent="0.25">
      <c r="B18" s="1" t="s">
        <v>5</v>
      </c>
      <c r="C18" s="86">
        <v>0</v>
      </c>
      <c r="D18" s="86">
        <v>0</v>
      </c>
      <c r="E18" s="86">
        <v>0</v>
      </c>
      <c r="F18" s="86">
        <v>0</v>
      </c>
      <c r="G18" s="86">
        <v>632.04999999999995</v>
      </c>
      <c r="H18" s="86">
        <v>212.63</v>
      </c>
      <c r="I18" s="86">
        <v>2542.0300000000002</v>
      </c>
      <c r="J18" s="86">
        <v>0</v>
      </c>
      <c r="K18" s="86">
        <v>0</v>
      </c>
      <c r="L18" s="86">
        <v>0</v>
      </c>
      <c r="M18" s="86">
        <v>0</v>
      </c>
      <c r="N18" s="86">
        <v>0</v>
      </c>
      <c r="O18" s="93">
        <f t="shared" ref="O18:O21" si="2">SUM(C18:N18)</f>
        <v>3386.71</v>
      </c>
      <c r="P18" s="62"/>
      <c r="Q18" s="94">
        <f t="shared" si="1"/>
        <v>0</v>
      </c>
      <c r="R18" s="1">
        <v>4</v>
      </c>
    </row>
    <row r="19" spans="2:18" ht="12.75" customHeight="1" x14ac:dyDescent="0.25">
      <c r="B19" s="1" t="s">
        <v>7</v>
      </c>
      <c r="C19" s="86">
        <v>0</v>
      </c>
      <c r="D19" s="86">
        <v>0</v>
      </c>
      <c r="E19" s="86">
        <v>0</v>
      </c>
      <c r="F19" s="86">
        <v>0</v>
      </c>
      <c r="G19" s="86">
        <v>635.85</v>
      </c>
      <c r="H19" s="86">
        <v>0</v>
      </c>
      <c r="I19" s="86">
        <v>0</v>
      </c>
      <c r="J19" s="86">
        <v>0</v>
      </c>
      <c r="K19" s="86">
        <v>0</v>
      </c>
      <c r="L19" s="86">
        <v>0</v>
      </c>
      <c r="M19" s="86">
        <v>0</v>
      </c>
      <c r="N19" s="86">
        <v>0</v>
      </c>
      <c r="O19" s="93">
        <f t="shared" si="2"/>
        <v>635.85</v>
      </c>
      <c r="P19" s="62"/>
      <c r="Q19" s="94">
        <f t="shared" si="1"/>
        <v>0</v>
      </c>
      <c r="R19" s="1">
        <v>5</v>
      </c>
    </row>
    <row r="20" spans="2:18" ht="12.75" customHeight="1" x14ac:dyDescent="0.25">
      <c r="B20" s="1" t="s">
        <v>197</v>
      </c>
      <c r="C20" s="86">
        <v>0</v>
      </c>
      <c r="D20" s="86">
        <v>0</v>
      </c>
      <c r="E20" s="86">
        <v>0</v>
      </c>
      <c r="F20" s="86">
        <v>0</v>
      </c>
      <c r="G20" s="86">
        <v>0</v>
      </c>
      <c r="H20" s="86">
        <v>0</v>
      </c>
      <c r="I20" s="86">
        <v>0</v>
      </c>
      <c r="J20" s="86">
        <v>0</v>
      </c>
      <c r="K20" s="86">
        <v>0</v>
      </c>
      <c r="L20" s="86">
        <v>0</v>
      </c>
      <c r="M20" s="86">
        <v>0</v>
      </c>
      <c r="N20" s="86">
        <v>0</v>
      </c>
      <c r="O20" s="93">
        <f t="shared" si="2"/>
        <v>0</v>
      </c>
      <c r="P20" s="62"/>
      <c r="Q20" s="94">
        <f t="shared" si="1"/>
        <v>0</v>
      </c>
      <c r="R20" s="1">
        <v>6</v>
      </c>
    </row>
    <row r="21" spans="2:18" ht="12.75" customHeight="1" x14ac:dyDescent="0.25">
      <c r="B21" s="1" t="s">
        <v>34</v>
      </c>
      <c r="C21" s="86">
        <v>0</v>
      </c>
      <c r="D21" s="86">
        <v>0</v>
      </c>
      <c r="E21" s="86">
        <v>0</v>
      </c>
      <c r="F21" s="86">
        <v>0</v>
      </c>
      <c r="G21" s="86">
        <v>0</v>
      </c>
      <c r="H21" s="86">
        <v>0</v>
      </c>
      <c r="I21" s="86">
        <v>0</v>
      </c>
      <c r="J21" s="86">
        <v>0</v>
      </c>
      <c r="K21" s="86">
        <v>0</v>
      </c>
      <c r="L21" s="86">
        <v>0</v>
      </c>
      <c r="M21" s="86">
        <v>0</v>
      </c>
      <c r="N21" s="86">
        <v>0</v>
      </c>
      <c r="O21" s="93">
        <f t="shared" si="2"/>
        <v>0</v>
      </c>
      <c r="P21" s="62"/>
      <c r="Q21" s="94">
        <f t="shared" si="1"/>
        <v>0</v>
      </c>
      <c r="R21" s="1"/>
    </row>
    <row r="22" spans="2:18" x14ac:dyDescent="0.25">
      <c r="B22" s="1" t="s">
        <v>149</v>
      </c>
      <c r="C22" s="1"/>
      <c r="D22" s="1"/>
      <c r="E22" s="1"/>
      <c r="F22" s="1"/>
      <c r="G22" s="1"/>
      <c r="H22" s="1"/>
      <c r="I22" s="1"/>
      <c r="J22" s="1"/>
      <c r="K22" s="1"/>
      <c r="L22" s="1"/>
      <c r="M22" s="1"/>
      <c r="N22" s="1"/>
      <c r="O22" s="62"/>
      <c r="P22" s="62"/>
      <c r="Q22" s="102"/>
      <c r="R22" s="1"/>
    </row>
    <row r="23" spans="2:18" x14ac:dyDescent="0.25">
      <c r="B23" s="57" t="s">
        <v>89</v>
      </c>
      <c r="C23" s="1"/>
      <c r="D23" s="1"/>
      <c r="E23" s="1"/>
      <c r="F23" s="1"/>
      <c r="G23" s="1"/>
      <c r="H23" s="1"/>
      <c r="I23" s="1"/>
      <c r="J23" s="1"/>
      <c r="K23" s="1"/>
      <c r="L23" s="1"/>
      <c r="M23" s="1"/>
      <c r="N23" s="1"/>
      <c r="O23" s="62"/>
      <c r="P23" s="62"/>
      <c r="Q23" s="102"/>
      <c r="R23" s="1"/>
    </row>
    <row r="24" spans="2:18" ht="12.75" customHeight="1" x14ac:dyDescent="0.25">
      <c r="B24" s="1" t="s">
        <v>28</v>
      </c>
      <c r="C24" s="86">
        <v>0</v>
      </c>
      <c r="D24" s="86">
        <v>0</v>
      </c>
      <c r="E24" s="86">
        <v>0</v>
      </c>
      <c r="F24" s="86">
        <v>0</v>
      </c>
      <c r="G24" s="86">
        <v>0</v>
      </c>
      <c r="H24" s="86">
        <v>0</v>
      </c>
      <c r="I24" s="86">
        <v>0</v>
      </c>
      <c r="J24" s="86">
        <v>0</v>
      </c>
      <c r="K24" s="86">
        <v>0</v>
      </c>
      <c r="L24" s="86">
        <v>0</v>
      </c>
      <c r="M24" s="86">
        <v>0</v>
      </c>
      <c r="N24" s="86">
        <v>0</v>
      </c>
      <c r="O24" s="93">
        <f t="shared" ref="O24:O26" si="3">SUM(C24:N24)</f>
        <v>0</v>
      </c>
      <c r="P24" s="62"/>
      <c r="Q24" s="94">
        <f t="shared" ref="Q24:Q26" si="4">IFERROR(O24/P24,0)</f>
        <v>0</v>
      </c>
      <c r="R24" s="1"/>
    </row>
    <row r="25" spans="2:18" ht="12.75" customHeight="1" x14ac:dyDescent="0.25">
      <c r="B25" s="1" t="s">
        <v>30</v>
      </c>
      <c r="C25" s="86">
        <v>0</v>
      </c>
      <c r="D25" s="86">
        <v>0</v>
      </c>
      <c r="E25" s="86">
        <v>0</v>
      </c>
      <c r="F25" s="86">
        <v>0</v>
      </c>
      <c r="G25" s="86">
        <v>0</v>
      </c>
      <c r="H25" s="86">
        <v>0</v>
      </c>
      <c r="I25" s="86">
        <v>0</v>
      </c>
      <c r="J25" s="86">
        <v>0</v>
      </c>
      <c r="K25" s="86">
        <v>0</v>
      </c>
      <c r="L25" s="86">
        <v>0</v>
      </c>
      <c r="M25" s="86">
        <v>0</v>
      </c>
      <c r="N25" s="86">
        <v>0</v>
      </c>
      <c r="O25" s="93">
        <f t="shared" si="3"/>
        <v>0</v>
      </c>
      <c r="P25" s="62"/>
      <c r="Q25" s="94">
        <f t="shared" si="4"/>
        <v>0</v>
      </c>
      <c r="R25" s="1"/>
    </row>
    <row r="26" spans="2:18" ht="12.75" customHeight="1" x14ac:dyDescent="0.25">
      <c r="B26" s="1" t="s">
        <v>31</v>
      </c>
      <c r="C26" s="86">
        <v>0</v>
      </c>
      <c r="D26" s="86">
        <v>0</v>
      </c>
      <c r="E26" s="86">
        <v>0</v>
      </c>
      <c r="F26" s="86">
        <v>0</v>
      </c>
      <c r="G26" s="86">
        <v>0</v>
      </c>
      <c r="H26" s="86">
        <v>0</v>
      </c>
      <c r="I26" s="86">
        <v>0</v>
      </c>
      <c r="J26" s="86">
        <v>0</v>
      </c>
      <c r="K26" s="86">
        <v>0</v>
      </c>
      <c r="L26" s="86">
        <v>0</v>
      </c>
      <c r="M26" s="86">
        <v>0</v>
      </c>
      <c r="N26" s="86">
        <v>0</v>
      </c>
      <c r="O26" s="93">
        <f t="shared" si="3"/>
        <v>0</v>
      </c>
      <c r="P26" s="62"/>
      <c r="Q26" s="94">
        <f t="shared" si="4"/>
        <v>0</v>
      </c>
      <c r="R26" s="1"/>
    </row>
    <row r="27" spans="2:18" x14ac:dyDescent="0.25">
      <c r="B27" s="1"/>
      <c r="C27" s="1"/>
      <c r="D27" s="1"/>
      <c r="E27" s="1"/>
      <c r="F27" s="1"/>
      <c r="G27" s="1"/>
      <c r="H27" s="1"/>
      <c r="I27" s="1"/>
      <c r="J27" s="1"/>
      <c r="K27" s="1"/>
      <c r="L27" s="1"/>
      <c r="M27" s="1"/>
      <c r="N27" s="1"/>
      <c r="O27" s="62"/>
      <c r="P27" s="62"/>
      <c r="Q27" s="102"/>
      <c r="R27" s="1"/>
    </row>
    <row r="28" spans="2:18" ht="28.5" customHeight="1" x14ac:dyDescent="0.25">
      <c r="B28" s="57" t="s">
        <v>288</v>
      </c>
      <c r="C28" s="1"/>
      <c r="D28" s="1"/>
      <c r="E28" s="1"/>
      <c r="F28" s="1"/>
      <c r="G28" s="1"/>
      <c r="H28" s="1"/>
      <c r="I28" s="1"/>
      <c r="J28" s="1"/>
      <c r="K28" s="1"/>
      <c r="L28" s="1"/>
      <c r="M28" s="1"/>
      <c r="N28" s="1"/>
      <c r="O28" s="62"/>
      <c r="P28" s="62"/>
      <c r="Q28" s="102"/>
      <c r="R28" s="1"/>
    </row>
    <row r="29" spans="2:18" ht="12.75" customHeight="1" x14ac:dyDescent="0.25">
      <c r="B29" s="1" t="s">
        <v>19</v>
      </c>
      <c r="C29" s="86">
        <v>0</v>
      </c>
      <c r="D29" s="86">
        <v>0</v>
      </c>
      <c r="E29" s="86">
        <v>0</v>
      </c>
      <c r="F29" s="86">
        <v>0</v>
      </c>
      <c r="G29" s="86">
        <v>0</v>
      </c>
      <c r="H29" s="86">
        <v>0</v>
      </c>
      <c r="I29" s="86">
        <v>0</v>
      </c>
      <c r="J29" s="86">
        <v>0</v>
      </c>
      <c r="K29" s="86">
        <v>0</v>
      </c>
      <c r="L29" s="86">
        <v>0</v>
      </c>
      <c r="M29" s="86">
        <v>0</v>
      </c>
      <c r="N29" s="86">
        <v>0</v>
      </c>
      <c r="O29" s="93">
        <f t="shared" ref="O29" si="5">SUM(C29:N29)</f>
        <v>0</v>
      </c>
      <c r="P29" s="62"/>
      <c r="Q29" s="94">
        <f>IFERROR(O29/P29,0)</f>
        <v>0</v>
      </c>
      <c r="R29" s="1"/>
    </row>
    <row r="30" spans="2:18" x14ac:dyDescent="0.25">
      <c r="B30" s="1"/>
      <c r="C30" s="1"/>
      <c r="D30" s="1"/>
      <c r="E30" s="1"/>
      <c r="F30" s="1"/>
      <c r="G30" s="1"/>
      <c r="H30" s="1"/>
      <c r="I30" s="1"/>
      <c r="J30" s="1"/>
      <c r="K30" s="1"/>
      <c r="L30" s="1"/>
      <c r="M30" s="1"/>
      <c r="N30" s="1"/>
      <c r="O30" s="62"/>
      <c r="P30" s="62"/>
      <c r="Q30" s="102"/>
      <c r="R30" s="1"/>
    </row>
    <row r="31" spans="2:18" x14ac:dyDescent="0.25">
      <c r="B31" s="57" t="s">
        <v>93</v>
      </c>
      <c r="C31" s="1"/>
      <c r="D31" s="1"/>
      <c r="E31" s="1"/>
      <c r="F31" s="1"/>
      <c r="G31" s="1"/>
      <c r="H31" s="1"/>
      <c r="I31" s="1"/>
      <c r="J31" s="1"/>
      <c r="K31" s="1"/>
      <c r="L31" s="1"/>
      <c r="M31" s="1"/>
      <c r="N31" s="1"/>
      <c r="O31" s="62"/>
      <c r="P31" s="62"/>
      <c r="Q31" s="102"/>
      <c r="R31" s="1"/>
    </row>
    <row r="32" spans="2:18" ht="12.75" customHeight="1" x14ac:dyDescent="0.25">
      <c r="B32" s="1" t="s">
        <v>23</v>
      </c>
      <c r="C32" s="86">
        <v>0</v>
      </c>
      <c r="D32" s="86">
        <v>0</v>
      </c>
      <c r="E32" s="86">
        <v>0</v>
      </c>
      <c r="F32" s="86">
        <v>0</v>
      </c>
      <c r="G32" s="86">
        <v>0</v>
      </c>
      <c r="H32" s="86">
        <v>0</v>
      </c>
      <c r="I32" s="86">
        <v>0</v>
      </c>
      <c r="J32" s="86">
        <v>0</v>
      </c>
      <c r="K32" s="86">
        <v>0</v>
      </c>
      <c r="L32" s="86">
        <v>0</v>
      </c>
      <c r="M32" s="86">
        <v>0</v>
      </c>
      <c r="N32" s="86">
        <v>3945</v>
      </c>
      <c r="O32" s="93">
        <f t="shared" ref="O32:O33" si="6">SUM(C32:N32)</f>
        <v>3945</v>
      </c>
      <c r="P32" s="62"/>
      <c r="Q32" s="94">
        <f t="shared" ref="Q32:Q33" si="7">IFERROR(O32/P32,0)</f>
        <v>0</v>
      </c>
      <c r="R32" s="1">
        <v>12</v>
      </c>
    </row>
    <row r="33" spans="2:18" ht="12.75" customHeight="1" x14ac:dyDescent="0.25">
      <c r="B33" s="1" t="s">
        <v>38</v>
      </c>
      <c r="C33" s="86">
        <v>0</v>
      </c>
      <c r="D33" s="86">
        <v>0</v>
      </c>
      <c r="E33" s="86">
        <v>0</v>
      </c>
      <c r="F33" s="86">
        <v>0</v>
      </c>
      <c r="G33" s="86">
        <v>0</v>
      </c>
      <c r="H33" s="86">
        <v>0</v>
      </c>
      <c r="I33" s="86">
        <v>0</v>
      </c>
      <c r="J33" s="86">
        <v>0</v>
      </c>
      <c r="K33" s="86">
        <v>0</v>
      </c>
      <c r="L33" s="86">
        <v>0</v>
      </c>
      <c r="M33" s="86">
        <v>0</v>
      </c>
      <c r="N33" s="86">
        <v>0</v>
      </c>
      <c r="O33" s="93">
        <f t="shared" si="6"/>
        <v>0</v>
      </c>
      <c r="P33" s="62"/>
      <c r="Q33" s="94">
        <f t="shared" si="7"/>
        <v>0</v>
      </c>
      <c r="R33" s="1"/>
    </row>
    <row r="34" spans="2:18" x14ac:dyDescent="0.25">
      <c r="B34" s="1"/>
      <c r="C34" s="1"/>
      <c r="D34" s="1"/>
      <c r="E34" s="1"/>
      <c r="F34" s="1"/>
      <c r="G34" s="1"/>
      <c r="H34" s="1"/>
      <c r="I34" s="1"/>
      <c r="J34" s="1"/>
      <c r="K34" s="1"/>
      <c r="L34" s="1"/>
      <c r="M34" s="1"/>
      <c r="N34" s="1"/>
      <c r="O34" s="62"/>
      <c r="P34" s="62"/>
      <c r="Q34" s="102"/>
      <c r="R34" s="1"/>
    </row>
    <row r="35" spans="2:18" x14ac:dyDescent="0.25">
      <c r="B35" s="30" t="s">
        <v>95</v>
      </c>
      <c r="C35" s="1"/>
      <c r="D35" s="1"/>
      <c r="E35" s="1"/>
      <c r="F35" s="1"/>
      <c r="G35" s="1"/>
      <c r="H35" s="1"/>
      <c r="I35" s="1"/>
      <c r="J35" s="1"/>
      <c r="K35" s="1"/>
      <c r="L35" s="1"/>
      <c r="M35" s="1"/>
      <c r="N35" s="1"/>
      <c r="O35" s="62"/>
      <c r="P35" s="62"/>
      <c r="Q35" s="102"/>
      <c r="R35" s="1"/>
    </row>
    <row r="36" spans="2:18" ht="12.75" customHeight="1" x14ac:dyDescent="0.25">
      <c r="B36" s="1" t="s">
        <v>12</v>
      </c>
      <c r="C36" s="86">
        <v>0</v>
      </c>
      <c r="D36" s="86">
        <v>0</v>
      </c>
      <c r="E36" s="86">
        <v>0</v>
      </c>
      <c r="F36" s="86">
        <v>0</v>
      </c>
      <c r="G36" s="86">
        <v>0</v>
      </c>
      <c r="H36" s="86">
        <v>0</v>
      </c>
      <c r="I36" s="86">
        <v>0</v>
      </c>
      <c r="J36" s="86">
        <v>0</v>
      </c>
      <c r="K36" s="86">
        <v>0</v>
      </c>
      <c r="L36" s="86">
        <v>0</v>
      </c>
      <c r="M36" s="86">
        <v>0</v>
      </c>
      <c r="N36" s="86">
        <v>0</v>
      </c>
      <c r="O36" s="93">
        <f t="shared" ref="O36:O40" si="8">SUM(C36:N36)</f>
        <v>0</v>
      </c>
      <c r="P36" s="62"/>
      <c r="Q36" s="94">
        <f>IFERROR(O36/P36,0)</f>
        <v>0</v>
      </c>
      <c r="R36" s="1"/>
    </row>
    <row r="37" spans="2:18" ht="12.75" customHeight="1" x14ac:dyDescent="0.25">
      <c r="B37" s="1" t="str">
        <f>CLCP</f>
        <v>Constrained Local Capacity Planning Areas &amp; Disadvantaged Communities Pilot</v>
      </c>
      <c r="C37" s="86">
        <v>0</v>
      </c>
      <c r="D37" s="86">
        <v>0</v>
      </c>
      <c r="E37" s="86">
        <v>0</v>
      </c>
      <c r="F37" s="86">
        <v>257.04000000000002</v>
      </c>
      <c r="G37" s="86">
        <v>0</v>
      </c>
      <c r="H37" s="86">
        <v>0</v>
      </c>
      <c r="I37" s="86">
        <v>0</v>
      </c>
      <c r="J37" s="86">
        <v>0</v>
      </c>
      <c r="K37" s="86">
        <v>0</v>
      </c>
      <c r="L37" s="86">
        <v>0</v>
      </c>
      <c r="M37" s="86">
        <v>0</v>
      </c>
      <c r="N37" s="86">
        <v>0</v>
      </c>
      <c r="O37" s="93">
        <f t="shared" si="8"/>
        <v>257.04000000000002</v>
      </c>
      <c r="P37" s="62"/>
      <c r="Q37" s="94">
        <f>IFERROR(O37/P37,0)</f>
        <v>0</v>
      </c>
      <c r="R37" s="1">
        <v>68</v>
      </c>
    </row>
    <row r="38" spans="2:18" ht="12.75" customHeight="1" x14ac:dyDescent="0.25">
      <c r="B38" s="1" t="str">
        <f>ELRP</f>
        <v>Emergency Load Reduction Program (ELRP)</v>
      </c>
      <c r="C38" s="86">
        <v>0</v>
      </c>
      <c r="D38" s="86">
        <v>0</v>
      </c>
      <c r="E38" s="86">
        <v>0</v>
      </c>
      <c r="F38" s="86">
        <v>54115.25</v>
      </c>
      <c r="G38" s="86">
        <v>45585.54</v>
      </c>
      <c r="H38" s="86">
        <v>132263</v>
      </c>
      <c r="I38" s="86">
        <v>91478.45</v>
      </c>
      <c r="J38" s="86">
        <v>132653.23000000001</v>
      </c>
      <c r="K38" s="86">
        <v>78823.570000000007</v>
      </c>
      <c r="L38" s="86">
        <v>185814.06</v>
      </c>
      <c r="M38" s="86">
        <v>254397.84</v>
      </c>
      <c r="N38" s="86">
        <v>88464.92</v>
      </c>
      <c r="O38" s="93">
        <f t="shared" si="8"/>
        <v>1063595.8600000001</v>
      </c>
      <c r="P38" s="62"/>
      <c r="Q38" s="94">
        <f>IFERROR(O38/P38,0)</f>
        <v>0</v>
      </c>
      <c r="R38" s="1">
        <v>66</v>
      </c>
    </row>
    <row r="39" spans="2:18" ht="12.75" customHeight="1" x14ac:dyDescent="0.25">
      <c r="B39" s="1" t="s">
        <v>25</v>
      </c>
      <c r="C39" s="86">
        <v>1523.32</v>
      </c>
      <c r="D39" s="86">
        <v>2682.48</v>
      </c>
      <c r="E39" s="86">
        <v>3128.68</v>
      </c>
      <c r="F39" s="86">
        <v>2997.83</v>
      </c>
      <c r="G39" s="86">
        <v>3419.91</v>
      </c>
      <c r="H39" s="86">
        <v>2517.58</v>
      </c>
      <c r="I39" s="86">
        <v>2877.26</v>
      </c>
      <c r="J39" s="86">
        <v>8957.7800000000007</v>
      </c>
      <c r="K39" s="86">
        <v>3288.73</v>
      </c>
      <c r="L39" s="86">
        <v>3289.85</v>
      </c>
      <c r="M39" s="86">
        <v>2757.69</v>
      </c>
      <c r="N39" s="86">
        <v>2599.87</v>
      </c>
      <c r="O39" s="93">
        <f t="shared" si="8"/>
        <v>40040.980000000003</v>
      </c>
      <c r="P39" s="93"/>
      <c r="Q39" s="94">
        <f t="shared" ref="Q39:Q40" si="9">IFERROR(O39/P39,0)</f>
        <v>0</v>
      </c>
      <c r="R39" s="1">
        <v>19</v>
      </c>
    </row>
    <row r="40" spans="2:18" ht="12.75" customHeight="1" x14ac:dyDescent="0.25">
      <c r="B40" s="1" t="s">
        <v>26</v>
      </c>
      <c r="C40" s="86">
        <v>610.02</v>
      </c>
      <c r="D40" s="86">
        <v>1007.91</v>
      </c>
      <c r="E40" s="86">
        <v>1258.6099999999999</v>
      </c>
      <c r="F40" s="86">
        <v>1034.82</v>
      </c>
      <c r="G40" s="86">
        <v>1168.32</v>
      </c>
      <c r="H40" s="86">
        <v>639.13</v>
      </c>
      <c r="I40" s="86">
        <v>-120382.85</v>
      </c>
      <c r="J40" s="86">
        <v>1997.18</v>
      </c>
      <c r="K40" s="86">
        <v>1218.01</v>
      </c>
      <c r="L40" s="86">
        <v>1004.91</v>
      </c>
      <c r="M40" s="86">
        <v>1164.69</v>
      </c>
      <c r="N40" s="86">
        <v>1184.07</v>
      </c>
      <c r="O40" s="93">
        <f t="shared" si="8"/>
        <v>-108095.18000000001</v>
      </c>
      <c r="P40" s="93"/>
      <c r="Q40" s="94">
        <f t="shared" si="9"/>
        <v>0</v>
      </c>
      <c r="R40" s="1">
        <v>20</v>
      </c>
    </row>
    <row r="41" spans="2:18" x14ac:dyDescent="0.25">
      <c r="B41" s="1"/>
      <c r="C41" s="1"/>
      <c r="D41" s="1"/>
      <c r="E41" s="1"/>
      <c r="F41" s="1"/>
      <c r="G41" s="1"/>
      <c r="H41" s="1"/>
      <c r="I41" s="1"/>
      <c r="J41" s="1"/>
      <c r="K41" s="1"/>
      <c r="L41" s="1"/>
      <c r="M41" s="1"/>
      <c r="N41" s="1"/>
      <c r="O41" s="62"/>
      <c r="P41" s="62"/>
      <c r="Q41" s="102"/>
      <c r="R41" s="1"/>
    </row>
    <row r="42" spans="2:18" ht="15.75" x14ac:dyDescent="0.25">
      <c r="B42" s="57" t="s">
        <v>150</v>
      </c>
      <c r="C42" s="1"/>
      <c r="D42" s="1"/>
      <c r="E42" s="1"/>
      <c r="F42" s="1"/>
      <c r="G42" s="1"/>
      <c r="H42" s="1"/>
      <c r="I42" s="1"/>
      <c r="J42" s="1"/>
      <c r="K42" s="1"/>
      <c r="L42" s="1"/>
      <c r="M42" s="1"/>
      <c r="N42" s="1"/>
      <c r="O42" s="62"/>
      <c r="P42" s="62"/>
      <c r="Q42" s="102"/>
      <c r="R42" s="1"/>
    </row>
    <row r="43" spans="2:18" ht="12.75" customHeight="1" x14ac:dyDescent="0.25">
      <c r="B43" s="1" t="s">
        <v>27</v>
      </c>
      <c r="C43" s="86">
        <v>0</v>
      </c>
      <c r="D43" s="86">
        <v>0</v>
      </c>
      <c r="E43" s="86">
        <v>0</v>
      </c>
      <c r="F43" s="86">
        <v>0</v>
      </c>
      <c r="G43" s="86">
        <v>0</v>
      </c>
      <c r="H43" s="86">
        <v>0</v>
      </c>
      <c r="I43" s="86">
        <v>0</v>
      </c>
      <c r="J43" s="86">
        <v>0</v>
      </c>
      <c r="K43" s="86">
        <v>0</v>
      </c>
      <c r="L43" s="86">
        <v>0</v>
      </c>
      <c r="M43" s="86">
        <v>0</v>
      </c>
      <c r="N43" s="86">
        <v>0</v>
      </c>
      <c r="O43" s="93">
        <f t="shared" ref="O43:O44" si="10">SUM(C43:N43)</f>
        <v>0</v>
      </c>
      <c r="P43" s="62"/>
      <c r="Q43" s="94">
        <f>IFERROR(O43/P43,0)</f>
        <v>0</v>
      </c>
      <c r="R43" s="1"/>
    </row>
    <row r="44" spans="2:18" ht="12.75" customHeight="1" x14ac:dyDescent="0.25">
      <c r="B44" s="1" t="str">
        <f>CPP</f>
        <v>Critical Peak Pricing (CPP)</v>
      </c>
      <c r="C44" s="86">
        <v>0</v>
      </c>
      <c r="D44" s="86">
        <v>-25477.55</v>
      </c>
      <c r="E44" s="86">
        <v>822.63</v>
      </c>
      <c r="F44" s="86">
        <v>0</v>
      </c>
      <c r="G44" s="86">
        <v>20916.82</v>
      </c>
      <c r="H44" s="86">
        <v>415287.9</v>
      </c>
      <c r="I44" s="86">
        <v>7464.75</v>
      </c>
      <c r="J44" s="86">
        <v>-21278.57</v>
      </c>
      <c r="K44" s="86">
        <v>-65610.41</v>
      </c>
      <c r="L44" s="86">
        <v>4734.93</v>
      </c>
      <c r="M44" s="86">
        <v>12161.41</v>
      </c>
      <c r="N44" s="86">
        <v>688.56</v>
      </c>
      <c r="O44" s="93">
        <f t="shared" si="10"/>
        <v>349710.47000000003</v>
      </c>
      <c r="P44" s="93">
        <v>500000</v>
      </c>
      <c r="Q44" s="94"/>
      <c r="R44" s="1">
        <v>67</v>
      </c>
    </row>
    <row r="45" spans="2:18" x14ac:dyDescent="0.25">
      <c r="B45" s="1"/>
      <c r="C45" s="1"/>
      <c r="D45" s="1"/>
      <c r="E45" s="1"/>
      <c r="F45" s="1"/>
      <c r="G45" s="1"/>
      <c r="H45" s="1"/>
      <c r="I45" s="1"/>
      <c r="J45" s="1"/>
      <c r="K45" s="1"/>
      <c r="L45" s="1"/>
      <c r="M45" s="1"/>
      <c r="N45" s="1"/>
      <c r="O45" s="62"/>
      <c r="P45" s="62"/>
      <c r="Q45" s="102"/>
      <c r="R45" s="1"/>
    </row>
    <row r="46" spans="2:18" ht="26.25" customHeight="1" x14ac:dyDescent="0.25">
      <c r="B46" s="57" t="s">
        <v>289</v>
      </c>
      <c r="C46" s="1"/>
      <c r="D46" s="1"/>
      <c r="E46" s="1"/>
      <c r="F46" s="1"/>
      <c r="G46" s="1"/>
      <c r="H46" s="1"/>
      <c r="I46" s="1"/>
      <c r="J46" s="1"/>
      <c r="K46" s="1"/>
      <c r="L46" s="1"/>
      <c r="M46" s="1"/>
      <c r="N46" s="1"/>
      <c r="O46" s="62"/>
      <c r="P46" s="62"/>
      <c r="Q46" s="102"/>
      <c r="R46" s="1"/>
    </row>
    <row r="47" spans="2:18" ht="12.75" customHeight="1" x14ac:dyDescent="0.25">
      <c r="B47" s="1" t="s">
        <v>20</v>
      </c>
      <c r="C47" s="86">
        <v>0</v>
      </c>
      <c r="D47" s="86">
        <v>0</v>
      </c>
      <c r="E47" s="86">
        <v>0</v>
      </c>
      <c r="F47" s="86">
        <v>0</v>
      </c>
      <c r="G47" s="86">
        <v>0</v>
      </c>
      <c r="H47" s="86">
        <v>0</v>
      </c>
      <c r="I47" s="86">
        <v>0</v>
      </c>
      <c r="J47" s="86">
        <v>0</v>
      </c>
      <c r="K47" s="86">
        <v>0</v>
      </c>
      <c r="L47" s="86">
        <v>0</v>
      </c>
      <c r="M47" s="86">
        <v>0</v>
      </c>
      <c r="N47" s="86">
        <v>0</v>
      </c>
      <c r="O47" s="93">
        <f t="shared" ref="O47:O49" si="11">SUM(C47:N47)</f>
        <v>0</v>
      </c>
      <c r="P47" s="62"/>
      <c r="Q47" s="94">
        <f t="shared" ref="Q47:Q49" si="12">IFERROR(O47/P47,0)</f>
        <v>0</v>
      </c>
      <c r="R47" s="1"/>
    </row>
    <row r="48" spans="2:18" ht="12.75" customHeight="1" x14ac:dyDescent="0.25">
      <c r="B48" s="1" t="s">
        <v>22</v>
      </c>
      <c r="C48" s="86">
        <v>0</v>
      </c>
      <c r="D48" s="86">
        <v>0</v>
      </c>
      <c r="E48" s="86">
        <v>0</v>
      </c>
      <c r="F48" s="86">
        <v>0</v>
      </c>
      <c r="G48" s="86">
        <v>0</v>
      </c>
      <c r="H48" s="86">
        <v>0</v>
      </c>
      <c r="I48" s="86">
        <v>0</v>
      </c>
      <c r="J48" s="86">
        <v>0</v>
      </c>
      <c r="K48" s="86">
        <v>0</v>
      </c>
      <c r="L48" s="86">
        <v>0</v>
      </c>
      <c r="M48" s="86">
        <v>0</v>
      </c>
      <c r="N48" s="86">
        <v>0</v>
      </c>
      <c r="O48" s="93">
        <f t="shared" si="11"/>
        <v>0</v>
      </c>
      <c r="P48" s="62"/>
      <c r="Q48" s="94">
        <f t="shared" si="12"/>
        <v>0</v>
      </c>
      <c r="R48" s="1"/>
    </row>
    <row r="49" spans="2:18" ht="12.75" customHeight="1" x14ac:dyDescent="0.25">
      <c r="B49" s="1" t="s">
        <v>24</v>
      </c>
      <c r="C49" s="86">
        <v>0</v>
      </c>
      <c r="D49" s="86">
        <v>0</v>
      </c>
      <c r="E49" s="86">
        <v>0</v>
      </c>
      <c r="F49" s="86">
        <v>0</v>
      </c>
      <c r="G49" s="86">
        <v>0</v>
      </c>
      <c r="H49" s="86">
        <v>0</v>
      </c>
      <c r="I49" s="86">
        <v>0</v>
      </c>
      <c r="J49" s="86">
        <v>0</v>
      </c>
      <c r="K49" s="86">
        <v>0</v>
      </c>
      <c r="L49" s="86">
        <v>0</v>
      </c>
      <c r="M49" s="86">
        <v>0</v>
      </c>
      <c r="N49" s="86">
        <v>0</v>
      </c>
      <c r="O49" s="93">
        <f t="shared" si="11"/>
        <v>0</v>
      </c>
      <c r="P49" s="62"/>
      <c r="Q49" s="94">
        <f t="shared" si="12"/>
        <v>0</v>
      </c>
      <c r="R49" s="1"/>
    </row>
    <row r="50" spans="2:18" x14ac:dyDescent="0.25">
      <c r="B50" s="1"/>
      <c r="C50" s="1"/>
      <c r="D50" s="1"/>
      <c r="E50" s="1"/>
      <c r="F50" s="1"/>
      <c r="G50" s="1"/>
      <c r="H50" s="1"/>
      <c r="I50" s="1"/>
      <c r="J50" s="1"/>
      <c r="K50" s="1"/>
      <c r="L50" s="1"/>
      <c r="M50" s="1"/>
      <c r="N50" s="1"/>
      <c r="O50" s="62"/>
      <c r="P50" s="62"/>
      <c r="Q50" s="102"/>
      <c r="R50" s="1"/>
    </row>
    <row r="51" spans="2:18" x14ac:dyDescent="0.25">
      <c r="B51" s="103" t="s">
        <v>151</v>
      </c>
      <c r="C51" s="104">
        <f>SUM(C17:C21,C24:C26,C29,C32:C33,C36:C40,C43:C44,C47:C49)</f>
        <v>2133.34</v>
      </c>
      <c r="D51" s="104">
        <f t="shared" ref="D51:N51" si="13">SUM(D17:D21,D24:D26,D29,D32:D33,D36:D40,D43:D44,D47:D49)</f>
        <v>-21787.16</v>
      </c>
      <c r="E51" s="104">
        <f t="shared" si="13"/>
        <v>5209.92</v>
      </c>
      <c r="F51" s="104">
        <f t="shared" si="13"/>
        <v>58404.94</v>
      </c>
      <c r="G51" s="104">
        <f t="shared" si="13"/>
        <v>72990.539999999994</v>
      </c>
      <c r="H51" s="104">
        <f t="shared" si="13"/>
        <v>550920.24</v>
      </c>
      <c r="I51" s="104">
        <f t="shared" si="13"/>
        <v>-13401.300000000017</v>
      </c>
      <c r="J51" s="104">
        <f t="shared" si="13"/>
        <v>122329.62</v>
      </c>
      <c r="K51" s="104">
        <f t="shared" si="13"/>
        <v>17719.899999999994</v>
      </c>
      <c r="L51" s="104">
        <f t="shared" si="13"/>
        <v>194843.75</v>
      </c>
      <c r="M51" s="104">
        <f t="shared" si="13"/>
        <v>270481.63</v>
      </c>
      <c r="N51" s="104">
        <f t="shared" si="13"/>
        <v>96882.42</v>
      </c>
      <c r="O51" s="104">
        <f>SUM(O17:O21,O24:O26,O29,O32:O33,O36:O40,O43:O44,O47:O49)</f>
        <v>1356727.84</v>
      </c>
      <c r="P51" s="104">
        <f>SUM(P17:P21,P24:P26,P29,P32:P33,P36,P43,P47:P49)</f>
        <v>0</v>
      </c>
      <c r="Q51" s="73"/>
      <c r="R51" s="1"/>
    </row>
    <row r="52" spans="2:18" x14ac:dyDescent="0.25">
      <c r="B52" s="1"/>
      <c r="C52" s="1"/>
      <c r="D52" s="1"/>
      <c r="E52" s="1"/>
      <c r="F52" s="1"/>
      <c r="G52" s="1"/>
      <c r="H52" s="1"/>
      <c r="I52" s="1"/>
      <c r="J52" s="1"/>
      <c r="K52" s="1"/>
      <c r="L52" s="1"/>
      <c r="M52" s="1"/>
      <c r="N52" s="1"/>
      <c r="O52" s="1"/>
      <c r="P52" s="1"/>
      <c r="Q52" s="1"/>
      <c r="R52" s="1"/>
    </row>
    <row r="53" spans="2:18" x14ac:dyDescent="0.25">
      <c r="B53" s="2" t="s">
        <v>152</v>
      </c>
      <c r="C53" s="1"/>
      <c r="D53" s="1"/>
      <c r="E53" s="1"/>
      <c r="F53" s="1"/>
      <c r="G53" s="1"/>
      <c r="H53" s="1"/>
      <c r="I53" s="1"/>
      <c r="J53" s="1"/>
      <c r="K53" s="1"/>
      <c r="L53" s="1"/>
      <c r="M53" s="1"/>
      <c r="N53" s="1"/>
      <c r="O53" s="1"/>
      <c r="P53" s="1"/>
      <c r="Q53" s="1"/>
      <c r="R53" s="1"/>
    </row>
    <row r="54" spans="2:18" x14ac:dyDescent="0.25">
      <c r="B54" s="1"/>
      <c r="C54" s="1"/>
      <c r="D54" s="1"/>
      <c r="E54" s="1"/>
      <c r="F54" s="1"/>
      <c r="G54" s="1"/>
      <c r="H54" s="1"/>
      <c r="I54" s="1"/>
      <c r="J54" s="1"/>
      <c r="K54" s="1"/>
      <c r="L54" s="1"/>
      <c r="M54" s="1"/>
      <c r="N54" s="1"/>
      <c r="O54" s="1"/>
      <c r="P54" s="1"/>
      <c r="Q54" s="1"/>
      <c r="R54" s="1"/>
    </row>
    <row r="55" spans="2:18" x14ac:dyDescent="0.25">
      <c r="B55" s="105" t="s">
        <v>1</v>
      </c>
      <c r="C55" s="36"/>
      <c r="D55" s="36"/>
      <c r="E55" s="36"/>
      <c r="F55" s="36"/>
      <c r="G55" s="36"/>
      <c r="H55" s="36"/>
      <c r="I55" s="36"/>
      <c r="J55" s="36"/>
      <c r="K55" s="36"/>
      <c r="L55" s="36"/>
      <c r="M55" s="36"/>
      <c r="N55" s="36"/>
      <c r="O55" s="36"/>
      <c r="P55" s="106">
        <v>1405.4507771715937</v>
      </c>
      <c r="Q55" s="36"/>
      <c r="R55" s="1"/>
    </row>
    <row r="56" spans="2:18" x14ac:dyDescent="0.25">
      <c r="B56" s="1" t="s">
        <v>153</v>
      </c>
      <c r="C56" s="86">
        <v>0</v>
      </c>
      <c r="D56" s="86">
        <v>0</v>
      </c>
      <c r="E56" s="86">
        <v>0</v>
      </c>
      <c r="F56" s="86">
        <v>0</v>
      </c>
      <c r="G56" s="86">
        <v>0</v>
      </c>
      <c r="H56" s="86">
        <v>0</v>
      </c>
      <c r="I56" s="86">
        <v>0</v>
      </c>
      <c r="J56" s="86">
        <v>0</v>
      </c>
      <c r="K56" s="86">
        <v>0</v>
      </c>
      <c r="L56" s="86">
        <v>0</v>
      </c>
      <c r="M56" s="86">
        <v>0</v>
      </c>
      <c r="N56" s="86">
        <v>0</v>
      </c>
      <c r="O56" s="107">
        <f t="shared" ref="O56:O60" si="14">SUM(C56:N56)</f>
        <v>0</v>
      </c>
      <c r="P56" s="62"/>
      <c r="Q56" s="62"/>
      <c r="R56" s="1"/>
    </row>
    <row r="57" spans="2:18" x14ac:dyDescent="0.25">
      <c r="B57" s="1" t="s">
        <v>154</v>
      </c>
      <c r="C57" s="86">
        <v>0</v>
      </c>
      <c r="D57" s="86">
        <v>0</v>
      </c>
      <c r="E57" s="86">
        <v>0</v>
      </c>
      <c r="F57" s="86">
        <v>5645.94</v>
      </c>
      <c r="G57" s="86">
        <v>45027.05</v>
      </c>
      <c r="H57" s="86">
        <v>4216.87</v>
      </c>
      <c r="I57" s="86">
        <v>0</v>
      </c>
      <c r="J57" s="86">
        <v>1080</v>
      </c>
      <c r="K57" s="86">
        <v>0</v>
      </c>
      <c r="L57" s="86">
        <v>0</v>
      </c>
      <c r="M57" s="86">
        <v>0</v>
      </c>
      <c r="N57" s="86">
        <v>0</v>
      </c>
      <c r="O57" s="93">
        <f t="shared" si="14"/>
        <v>55969.860000000008</v>
      </c>
      <c r="P57" s="62"/>
      <c r="Q57" s="62"/>
      <c r="R57" s="1">
        <v>22</v>
      </c>
    </row>
    <row r="58" spans="2:18" x14ac:dyDescent="0.25">
      <c r="B58" s="1" t="s">
        <v>155</v>
      </c>
      <c r="C58" s="86">
        <v>0</v>
      </c>
      <c r="D58" s="86">
        <v>0</v>
      </c>
      <c r="E58" s="86">
        <v>0</v>
      </c>
      <c r="F58" s="86">
        <v>0</v>
      </c>
      <c r="G58" s="86">
        <v>0</v>
      </c>
      <c r="H58" s="86">
        <v>0</v>
      </c>
      <c r="I58" s="86">
        <v>0</v>
      </c>
      <c r="J58" s="86">
        <v>0</v>
      </c>
      <c r="K58" s="86">
        <v>0</v>
      </c>
      <c r="L58" s="86">
        <v>0</v>
      </c>
      <c r="M58" s="86">
        <v>0</v>
      </c>
      <c r="N58" s="86">
        <v>0</v>
      </c>
      <c r="O58" s="93">
        <f t="shared" si="14"/>
        <v>0</v>
      </c>
      <c r="P58" s="62"/>
      <c r="Q58" s="62"/>
      <c r="R58" s="1"/>
    </row>
    <row r="59" spans="2:18" x14ac:dyDescent="0.25">
      <c r="B59" s="1" t="s">
        <v>156</v>
      </c>
      <c r="C59" s="86">
        <v>0</v>
      </c>
      <c r="D59" s="86">
        <v>0</v>
      </c>
      <c r="E59" s="86">
        <v>0</v>
      </c>
      <c r="F59" s="86">
        <v>0</v>
      </c>
      <c r="G59" s="86">
        <v>0</v>
      </c>
      <c r="H59" s="86">
        <v>0</v>
      </c>
      <c r="I59" s="86">
        <v>10.8</v>
      </c>
      <c r="J59" s="86">
        <v>0</v>
      </c>
      <c r="K59" s="86">
        <v>0</v>
      </c>
      <c r="L59" s="86">
        <v>0</v>
      </c>
      <c r="M59" s="86">
        <v>0</v>
      </c>
      <c r="N59" s="86">
        <v>0</v>
      </c>
      <c r="O59" s="93">
        <f t="shared" si="14"/>
        <v>10.8</v>
      </c>
      <c r="P59" s="62"/>
      <c r="Q59" s="62"/>
      <c r="R59" s="1">
        <v>24</v>
      </c>
    </row>
    <row r="60" spans="2:18" x14ac:dyDescent="0.25">
      <c r="B60" s="36" t="s">
        <v>157</v>
      </c>
      <c r="C60" s="90">
        <v>0</v>
      </c>
      <c r="D60" s="90">
        <v>0</v>
      </c>
      <c r="E60" s="90">
        <v>0</v>
      </c>
      <c r="F60" s="90">
        <v>24.82</v>
      </c>
      <c r="G60" s="90">
        <v>234.14</v>
      </c>
      <c r="H60" s="90">
        <v>21.93</v>
      </c>
      <c r="I60" s="90">
        <v>0.06</v>
      </c>
      <c r="J60" s="90">
        <v>5.62</v>
      </c>
      <c r="K60" s="90">
        <v>0</v>
      </c>
      <c r="L60" s="90">
        <v>0</v>
      </c>
      <c r="M60" s="90">
        <v>0</v>
      </c>
      <c r="N60" s="90">
        <v>0</v>
      </c>
      <c r="O60" s="108">
        <f t="shared" si="14"/>
        <v>286.57</v>
      </c>
      <c r="P60" s="61"/>
      <c r="Q60" s="61"/>
      <c r="R60" s="1">
        <v>25</v>
      </c>
    </row>
    <row r="61" spans="2:18" x14ac:dyDescent="0.25">
      <c r="B61" s="1"/>
      <c r="C61" s="1"/>
      <c r="D61" s="1"/>
      <c r="E61" s="1"/>
      <c r="F61" s="1"/>
      <c r="G61" s="1"/>
      <c r="H61" s="1"/>
      <c r="I61" s="1"/>
      <c r="J61" s="1"/>
      <c r="K61" s="1"/>
      <c r="L61" s="1"/>
      <c r="M61" s="1"/>
      <c r="N61" s="1"/>
      <c r="O61" s="1"/>
      <c r="P61" s="1"/>
      <c r="Q61" s="1"/>
      <c r="R61" s="1"/>
    </row>
    <row r="62" spans="2:18" x14ac:dyDescent="0.25">
      <c r="B62" s="105" t="s">
        <v>5</v>
      </c>
      <c r="C62" s="36"/>
      <c r="D62" s="36"/>
      <c r="E62" s="36"/>
      <c r="F62" s="36"/>
      <c r="G62" s="36"/>
      <c r="H62" s="36"/>
      <c r="I62" s="36"/>
      <c r="J62" s="36"/>
      <c r="K62" s="36"/>
      <c r="L62" s="36"/>
      <c r="M62" s="36"/>
      <c r="N62" s="36"/>
      <c r="O62" s="36"/>
      <c r="P62" s="106">
        <v>1405.4507000000001</v>
      </c>
      <c r="Q62" s="36"/>
      <c r="R62" s="1"/>
    </row>
    <row r="63" spans="2:18" x14ac:dyDescent="0.25">
      <c r="B63" s="1" t="s">
        <v>153</v>
      </c>
      <c r="C63" s="86">
        <v>0</v>
      </c>
      <c r="D63" s="86">
        <v>0</v>
      </c>
      <c r="E63" s="86">
        <v>0</v>
      </c>
      <c r="F63" s="86">
        <v>0</v>
      </c>
      <c r="G63" s="86">
        <v>0</v>
      </c>
      <c r="H63" s="86">
        <v>0</v>
      </c>
      <c r="I63" s="86">
        <v>0</v>
      </c>
      <c r="J63" s="86">
        <v>0</v>
      </c>
      <c r="K63" s="86">
        <v>0</v>
      </c>
      <c r="L63" s="86">
        <v>0</v>
      </c>
      <c r="M63" s="86">
        <v>0</v>
      </c>
      <c r="N63" s="86">
        <v>0</v>
      </c>
      <c r="O63" s="93">
        <f t="shared" ref="O63:O67" si="15">SUM(C63:N63)</f>
        <v>0</v>
      </c>
      <c r="P63" s="62"/>
      <c r="Q63" s="62"/>
      <c r="R63" s="1"/>
    </row>
    <row r="64" spans="2:18" x14ac:dyDescent="0.25">
      <c r="B64" s="1" t="s">
        <v>154</v>
      </c>
      <c r="C64" s="86">
        <v>0</v>
      </c>
      <c r="D64" s="86">
        <v>0</v>
      </c>
      <c r="E64" s="86">
        <v>0</v>
      </c>
      <c r="F64" s="86">
        <v>0</v>
      </c>
      <c r="G64" s="86">
        <v>1311.75</v>
      </c>
      <c r="H64" s="86">
        <v>0</v>
      </c>
      <c r="I64" s="86">
        <v>1958.43</v>
      </c>
      <c r="J64" s="86">
        <v>0</v>
      </c>
      <c r="K64" s="86">
        <v>0</v>
      </c>
      <c r="L64" s="86">
        <v>0</v>
      </c>
      <c r="M64" s="86">
        <v>0</v>
      </c>
      <c r="N64" s="86">
        <v>0</v>
      </c>
      <c r="O64" s="93">
        <f t="shared" si="15"/>
        <v>3270.1800000000003</v>
      </c>
      <c r="P64" s="62"/>
      <c r="Q64" s="62"/>
      <c r="R64" s="1">
        <v>27</v>
      </c>
    </row>
    <row r="65" spans="2:18" x14ac:dyDescent="0.25">
      <c r="B65" s="1" t="s">
        <v>155</v>
      </c>
      <c r="C65" s="86">
        <v>0</v>
      </c>
      <c r="D65" s="86">
        <v>0</v>
      </c>
      <c r="E65" s="86">
        <v>0</v>
      </c>
      <c r="F65" s="86">
        <v>0</v>
      </c>
      <c r="G65" s="86">
        <v>0</v>
      </c>
      <c r="H65" s="86">
        <v>0</v>
      </c>
      <c r="I65" s="86">
        <v>0</v>
      </c>
      <c r="J65" s="86">
        <v>0</v>
      </c>
      <c r="K65" s="86">
        <v>0</v>
      </c>
      <c r="L65" s="86">
        <v>0</v>
      </c>
      <c r="M65" s="86">
        <v>0</v>
      </c>
      <c r="N65" s="86">
        <v>0</v>
      </c>
      <c r="O65" s="93">
        <f t="shared" si="15"/>
        <v>0</v>
      </c>
      <c r="P65" s="62"/>
      <c r="Q65" s="62"/>
      <c r="R65" s="1"/>
    </row>
    <row r="66" spans="2:18" x14ac:dyDescent="0.25">
      <c r="B66" s="1" t="s">
        <v>156</v>
      </c>
      <c r="C66" s="86">
        <v>0</v>
      </c>
      <c r="D66" s="86">
        <v>0</v>
      </c>
      <c r="E66" s="86">
        <v>0</v>
      </c>
      <c r="F66" s="86">
        <v>0</v>
      </c>
      <c r="G66" s="86">
        <v>0</v>
      </c>
      <c r="H66" s="86">
        <v>0</v>
      </c>
      <c r="I66" s="86">
        <v>10.08</v>
      </c>
      <c r="J66" s="86">
        <v>0</v>
      </c>
      <c r="K66" s="86">
        <v>0</v>
      </c>
      <c r="L66" s="86">
        <v>0</v>
      </c>
      <c r="M66" s="86">
        <v>0</v>
      </c>
      <c r="N66" s="86">
        <v>0</v>
      </c>
      <c r="O66" s="93">
        <f t="shared" si="15"/>
        <v>10.08</v>
      </c>
      <c r="P66" s="62"/>
      <c r="Q66" s="62"/>
      <c r="R66" s="1">
        <v>29</v>
      </c>
    </row>
    <row r="67" spans="2:18" x14ac:dyDescent="0.25">
      <c r="B67" s="36" t="s">
        <v>157</v>
      </c>
      <c r="C67" s="90">
        <v>0</v>
      </c>
      <c r="D67" s="90">
        <v>0</v>
      </c>
      <c r="E67" s="90">
        <v>0</v>
      </c>
      <c r="F67" s="90">
        <v>0</v>
      </c>
      <c r="G67" s="90">
        <v>0</v>
      </c>
      <c r="H67" s="90">
        <v>0</v>
      </c>
      <c r="I67" s="90">
        <v>0.05</v>
      </c>
      <c r="J67" s="90">
        <v>0</v>
      </c>
      <c r="K67" s="90">
        <v>0</v>
      </c>
      <c r="L67" s="90">
        <v>0</v>
      </c>
      <c r="M67" s="90">
        <v>0</v>
      </c>
      <c r="N67" s="90">
        <v>0</v>
      </c>
      <c r="O67" s="108">
        <f t="shared" si="15"/>
        <v>0.05</v>
      </c>
      <c r="P67" s="61"/>
      <c r="Q67" s="61"/>
      <c r="R67" s="1">
        <v>30</v>
      </c>
    </row>
    <row r="68" spans="2:18" x14ac:dyDescent="0.25">
      <c r="B68" s="1"/>
      <c r="C68" s="86"/>
      <c r="D68" s="86"/>
      <c r="E68" s="86"/>
      <c r="F68" s="86"/>
      <c r="G68" s="86"/>
      <c r="H68" s="86"/>
      <c r="I68" s="86"/>
      <c r="J68" s="86"/>
      <c r="K68" s="86"/>
      <c r="L68" s="86"/>
      <c r="M68" s="86"/>
      <c r="N68" s="86"/>
      <c r="O68" s="1"/>
      <c r="P68" s="1"/>
      <c r="Q68" s="1"/>
      <c r="R68" s="1"/>
    </row>
    <row r="69" spans="2:18" x14ac:dyDescent="0.25">
      <c r="B69" s="105" t="s">
        <v>12</v>
      </c>
      <c r="C69" s="90"/>
      <c r="D69" s="90"/>
      <c r="E69" s="90"/>
      <c r="F69" s="90"/>
      <c r="G69" s="90"/>
      <c r="H69" s="90"/>
      <c r="I69" s="90"/>
      <c r="J69" s="90"/>
      <c r="K69" s="90"/>
      <c r="L69" s="90"/>
      <c r="M69" s="90"/>
      <c r="N69" s="90"/>
      <c r="O69" s="36"/>
      <c r="P69" s="106">
        <v>0</v>
      </c>
      <c r="Q69" s="36"/>
      <c r="R69" s="1"/>
    </row>
    <row r="70" spans="2:18" x14ac:dyDescent="0.25">
      <c r="B70" s="1" t="s">
        <v>153</v>
      </c>
      <c r="C70" s="86">
        <v>0</v>
      </c>
      <c r="D70" s="86">
        <v>0</v>
      </c>
      <c r="E70" s="86">
        <v>0</v>
      </c>
      <c r="F70" s="86">
        <v>0</v>
      </c>
      <c r="G70" s="86">
        <v>0</v>
      </c>
      <c r="H70" s="86">
        <v>0</v>
      </c>
      <c r="I70" s="86">
        <v>0</v>
      </c>
      <c r="J70" s="86">
        <v>0</v>
      </c>
      <c r="K70" s="86">
        <v>0</v>
      </c>
      <c r="L70" s="86">
        <v>0</v>
      </c>
      <c r="M70" s="86">
        <v>0</v>
      </c>
      <c r="N70" s="86">
        <v>0</v>
      </c>
      <c r="O70" s="93">
        <f t="shared" ref="O70:O74" si="16">SUM(C70:N70)</f>
        <v>0</v>
      </c>
      <c r="P70" s="62"/>
      <c r="Q70" s="62"/>
      <c r="R70" s="1"/>
    </row>
    <row r="71" spans="2:18" x14ac:dyDescent="0.25">
      <c r="B71" s="1" t="s">
        <v>154</v>
      </c>
      <c r="C71" s="86">
        <v>0</v>
      </c>
      <c r="D71" s="86">
        <v>0</v>
      </c>
      <c r="E71" s="86">
        <v>0</v>
      </c>
      <c r="F71" s="86">
        <v>0</v>
      </c>
      <c r="G71" s="86">
        <v>0</v>
      </c>
      <c r="H71" s="86">
        <v>0</v>
      </c>
      <c r="I71" s="86">
        <v>0</v>
      </c>
      <c r="J71" s="86">
        <v>0</v>
      </c>
      <c r="K71" s="86">
        <v>0</v>
      </c>
      <c r="L71" s="86">
        <v>0</v>
      </c>
      <c r="M71" s="86">
        <v>0</v>
      </c>
      <c r="N71" s="86">
        <v>0</v>
      </c>
      <c r="O71" s="93">
        <f t="shared" si="16"/>
        <v>0</v>
      </c>
      <c r="P71" s="62"/>
      <c r="Q71" s="62"/>
      <c r="R71" s="1">
        <v>32</v>
      </c>
    </row>
    <row r="72" spans="2:18" x14ac:dyDescent="0.25">
      <c r="B72" s="1" t="s">
        <v>155</v>
      </c>
      <c r="C72" s="86">
        <v>0</v>
      </c>
      <c r="D72" s="86">
        <v>0</v>
      </c>
      <c r="E72" s="86">
        <v>0</v>
      </c>
      <c r="F72" s="86">
        <v>0</v>
      </c>
      <c r="G72" s="86">
        <v>0</v>
      </c>
      <c r="H72" s="86">
        <v>0</v>
      </c>
      <c r="I72" s="86">
        <v>0</v>
      </c>
      <c r="J72" s="86">
        <v>0</v>
      </c>
      <c r="K72" s="86">
        <v>0</v>
      </c>
      <c r="L72" s="86">
        <v>0</v>
      </c>
      <c r="M72" s="86">
        <v>0</v>
      </c>
      <c r="N72" s="86">
        <v>0</v>
      </c>
      <c r="O72" s="93">
        <f t="shared" si="16"/>
        <v>0</v>
      </c>
      <c r="P72" s="62"/>
      <c r="Q72" s="62"/>
      <c r="R72" s="1"/>
    </row>
    <row r="73" spans="2:18" x14ac:dyDescent="0.25">
      <c r="B73" s="1" t="s">
        <v>156</v>
      </c>
      <c r="C73" s="86">
        <v>0</v>
      </c>
      <c r="D73" s="86">
        <v>0</v>
      </c>
      <c r="E73" s="86">
        <v>0</v>
      </c>
      <c r="F73" s="86">
        <v>0</v>
      </c>
      <c r="G73" s="86">
        <v>0</v>
      </c>
      <c r="H73" s="86">
        <v>0</v>
      </c>
      <c r="I73" s="86">
        <v>0</v>
      </c>
      <c r="J73" s="86">
        <v>0</v>
      </c>
      <c r="K73" s="86">
        <v>0</v>
      </c>
      <c r="L73" s="86">
        <v>0</v>
      </c>
      <c r="M73" s="86">
        <v>0</v>
      </c>
      <c r="N73" s="86">
        <v>0</v>
      </c>
      <c r="O73" s="93">
        <f t="shared" si="16"/>
        <v>0</v>
      </c>
      <c r="P73" s="62"/>
      <c r="Q73" s="62"/>
      <c r="R73" s="1"/>
    </row>
    <row r="74" spans="2:18" x14ac:dyDescent="0.25">
      <c r="B74" s="36" t="s">
        <v>157</v>
      </c>
      <c r="C74" s="90">
        <v>0</v>
      </c>
      <c r="D74" s="90">
        <v>0</v>
      </c>
      <c r="E74" s="90">
        <v>0</v>
      </c>
      <c r="F74" s="90">
        <v>0</v>
      </c>
      <c r="G74" s="90">
        <v>0</v>
      </c>
      <c r="H74" s="90">
        <v>0</v>
      </c>
      <c r="I74" s="90">
        <v>0</v>
      </c>
      <c r="J74" s="90">
        <v>0</v>
      </c>
      <c r="K74" s="90">
        <v>0</v>
      </c>
      <c r="L74" s="90">
        <v>0</v>
      </c>
      <c r="M74" s="90">
        <v>0</v>
      </c>
      <c r="N74" s="90">
        <v>0</v>
      </c>
      <c r="O74" s="108">
        <f t="shared" si="16"/>
        <v>0</v>
      </c>
      <c r="P74" s="61"/>
      <c r="Q74" s="61"/>
      <c r="R74" s="1">
        <v>35</v>
      </c>
    </row>
    <row r="75" spans="2:18" x14ac:dyDescent="0.25">
      <c r="B75" s="1"/>
      <c r="C75" s="86"/>
      <c r="D75" s="86"/>
      <c r="E75" s="86"/>
      <c r="F75" s="86"/>
      <c r="G75" s="86"/>
      <c r="H75" s="86"/>
      <c r="I75" s="86"/>
      <c r="J75" s="86"/>
      <c r="K75" s="86"/>
      <c r="L75" s="86"/>
      <c r="M75" s="86"/>
      <c r="N75" s="86"/>
      <c r="O75" s="1"/>
      <c r="P75" s="1"/>
      <c r="Q75" s="1"/>
      <c r="R75" s="1"/>
    </row>
    <row r="76" spans="2:18" x14ac:dyDescent="0.25">
      <c r="B76" s="105" t="s">
        <v>31</v>
      </c>
      <c r="C76" s="90"/>
      <c r="D76" s="90"/>
      <c r="E76" s="90"/>
      <c r="F76" s="90"/>
      <c r="G76" s="90"/>
      <c r="H76" s="90"/>
      <c r="I76" s="90"/>
      <c r="J76" s="90"/>
      <c r="K76" s="90"/>
      <c r="L76" s="90"/>
      <c r="M76" s="90"/>
      <c r="N76" s="90"/>
      <c r="O76" s="36"/>
      <c r="P76" s="106">
        <v>1875</v>
      </c>
      <c r="Q76" s="36"/>
      <c r="R76" s="1"/>
    </row>
    <row r="77" spans="2:18" x14ac:dyDescent="0.25">
      <c r="B77" s="1" t="s">
        <v>153</v>
      </c>
      <c r="C77" s="86">
        <v>0</v>
      </c>
      <c r="D77" s="86">
        <v>0</v>
      </c>
      <c r="E77" s="86">
        <v>0</v>
      </c>
      <c r="F77" s="86">
        <v>0</v>
      </c>
      <c r="G77" s="86">
        <v>0</v>
      </c>
      <c r="H77" s="86">
        <v>0</v>
      </c>
      <c r="I77" s="86">
        <v>0</v>
      </c>
      <c r="J77" s="86">
        <v>0</v>
      </c>
      <c r="K77" s="86">
        <v>0</v>
      </c>
      <c r="L77" s="86">
        <v>0</v>
      </c>
      <c r="M77" s="86">
        <v>0</v>
      </c>
      <c r="N77" s="86">
        <v>0</v>
      </c>
      <c r="O77" s="93">
        <f t="shared" ref="O77:O81" si="17">SUM(C77:N77)</f>
        <v>0</v>
      </c>
      <c r="P77" s="62"/>
      <c r="Q77" s="62"/>
      <c r="R77" s="1"/>
    </row>
    <row r="78" spans="2:18" x14ac:dyDescent="0.25">
      <c r="B78" s="1" t="s">
        <v>154</v>
      </c>
      <c r="C78" s="86">
        <v>0</v>
      </c>
      <c r="D78" s="86">
        <v>0</v>
      </c>
      <c r="E78" s="86">
        <v>0</v>
      </c>
      <c r="F78" s="86">
        <v>0</v>
      </c>
      <c r="G78" s="86">
        <v>0</v>
      </c>
      <c r="H78" s="86">
        <v>0</v>
      </c>
      <c r="I78" s="86">
        <v>0</v>
      </c>
      <c r="J78" s="86">
        <v>0</v>
      </c>
      <c r="K78" s="86">
        <v>0</v>
      </c>
      <c r="L78" s="86">
        <v>0</v>
      </c>
      <c r="M78" s="86">
        <v>0</v>
      </c>
      <c r="N78" s="86">
        <v>0</v>
      </c>
      <c r="O78" s="93">
        <f t="shared" si="17"/>
        <v>0</v>
      </c>
      <c r="P78" s="62"/>
      <c r="Q78" s="62"/>
      <c r="R78" s="1"/>
    </row>
    <row r="79" spans="2:18" x14ac:dyDescent="0.25">
      <c r="B79" s="1" t="s">
        <v>155</v>
      </c>
      <c r="C79" s="86">
        <v>0</v>
      </c>
      <c r="D79" s="86">
        <v>0</v>
      </c>
      <c r="E79" s="86">
        <v>0</v>
      </c>
      <c r="F79" s="86">
        <v>0</v>
      </c>
      <c r="G79" s="86">
        <v>0</v>
      </c>
      <c r="H79" s="86">
        <v>0</v>
      </c>
      <c r="I79" s="86">
        <v>0</v>
      </c>
      <c r="J79" s="86">
        <v>0</v>
      </c>
      <c r="K79" s="86">
        <v>0</v>
      </c>
      <c r="L79" s="86">
        <v>0</v>
      </c>
      <c r="M79" s="86">
        <v>0</v>
      </c>
      <c r="N79" s="86">
        <v>0</v>
      </c>
      <c r="O79" s="93">
        <f t="shared" si="17"/>
        <v>0</v>
      </c>
      <c r="P79" s="62"/>
      <c r="Q79" s="62"/>
      <c r="R79" s="1"/>
    </row>
    <row r="80" spans="2:18" x14ac:dyDescent="0.25">
      <c r="B80" s="1" t="s">
        <v>156</v>
      </c>
      <c r="C80" s="86">
        <v>0</v>
      </c>
      <c r="D80" s="86">
        <v>0</v>
      </c>
      <c r="E80" s="86">
        <v>0</v>
      </c>
      <c r="F80" s="86">
        <v>0</v>
      </c>
      <c r="G80" s="86">
        <v>0</v>
      </c>
      <c r="H80" s="86">
        <v>0</v>
      </c>
      <c r="I80" s="86">
        <v>0</v>
      </c>
      <c r="J80" s="86">
        <v>0</v>
      </c>
      <c r="K80" s="86">
        <v>0</v>
      </c>
      <c r="L80" s="86">
        <v>0</v>
      </c>
      <c r="M80" s="86">
        <v>0</v>
      </c>
      <c r="N80" s="86">
        <v>0</v>
      </c>
      <c r="O80" s="93">
        <f t="shared" si="17"/>
        <v>0</v>
      </c>
      <c r="P80" s="62"/>
      <c r="Q80" s="62"/>
      <c r="R80" s="1"/>
    </row>
    <row r="81" spans="2:18" x14ac:dyDescent="0.25">
      <c r="B81" s="36" t="s">
        <v>157</v>
      </c>
      <c r="C81" s="90">
        <v>0</v>
      </c>
      <c r="D81" s="90">
        <v>0</v>
      </c>
      <c r="E81" s="90">
        <v>0</v>
      </c>
      <c r="F81" s="90">
        <v>0</v>
      </c>
      <c r="G81" s="90">
        <v>0</v>
      </c>
      <c r="H81" s="90">
        <v>0</v>
      </c>
      <c r="I81" s="90">
        <v>0</v>
      </c>
      <c r="J81" s="90">
        <v>0</v>
      </c>
      <c r="K81" s="90">
        <v>0</v>
      </c>
      <c r="L81" s="90">
        <v>0</v>
      </c>
      <c r="M81" s="90">
        <v>0</v>
      </c>
      <c r="N81" s="90">
        <v>0</v>
      </c>
      <c r="O81" s="108">
        <f t="shared" si="17"/>
        <v>0</v>
      </c>
      <c r="P81" s="61"/>
      <c r="Q81" s="61"/>
      <c r="R81" s="1"/>
    </row>
    <row r="82" spans="2:18" x14ac:dyDescent="0.25">
      <c r="B82" s="1"/>
      <c r="C82" s="86"/>
      <c r="D82" s="86"/>
      <c r="E82" s="86"/>
      <c r="F82" s="86"/>
      <c r="G82" s="86"/>
      <c r="H82" s="86"/>
      <c r="I82" s="86"/>
      <c r="J82" s="86"/>
      <c r="K82" s="86"/>
      <c r="L82" s="86"/>
      <c r="M82" s="86"/>
      <c r="N82" s="86"/>
      <c r="O82" s="1"/>
      <c r="P82" s="1"/>
      <c r="Q82" s="1"/>
      <c r="R82" s="1"/>
    </row>
    <row r="83" spans="2:18" x14ac:dyDescent="0.25">
      <c r="B83" s="105" t="s">
        <v>197</v>
      </c>
      <c r="C83" s="90"/>
      <c r="D83" s="90"/>
      <c r="E83" s="90"/>
      <c r="F83" s="90"/>
      <c r="G83" s="90"/>
      <c r="H83" s="90"/>
      <c r="I83" s="90"/>
      <c r="J83" s="90"/>
      <c r="K83" s="90"/>
      <c r="L83" s="90"/>
      <c r="M83" s="90"/>
      <c r="N83" s="90"/>
      <c r="O83" s="36"/>
      <c r="P83" s="106">
        <v>1832754.41</v>
      </c>
      <c r="Q83" s="36"/>
      <c r="R83" s="1"/>
    </row>
    <row r="84" spans="2:18" x14ac:dyDescent="0.25">
      <c r="B84" s="1" t="s">
        <v>153</v>
      </c>
      <c r="C84" s="86">
        <v>0</v>
      </c>
      <c r="D84" s="86">
        <v>0</v>
      </c>
      <c r="E84" s="86">
        <v>0</v>
      </c>
      <c r="F84" s="86">
        <v>0</v>
      </c>
      <c r="G84" s="86">
        <v>0</v>
      </c>
      <c r="H84" s="86">
        <v>0</v>
      </c>
      <c r="I84" s="86">
        <v>0</v>
      </c>
      <c r="J84" s="86">
        <v>0</v>
      </c>
      <c r="K84" s="86">
        <v>0</v>
      </c>
      <c r="L84" s="86">
        <v>0</v>
      </c>
      <c r="M84" s="86">
        <v>0</v>
      </c>
      <c r="N84" s="86">
        <v>0</v>
      </c>
      <c r="O84" s="93">
        <f t="shared" ref="O84:O88" si="18">SUM(C84:N84)</f>
        <v>0</v>
      </c>
      <c r="P84" s="62"/>
      <c r="Q84" s="62"/>
      <c r="R84" s="1"/>
    </row>
    <row r="85" spans="2:18" x14ac:dyDescent="0.25">
      <c r="B85" s="1" t="s">
        <v>154</v>
      </c>
      <c r="C85" s="86">
        <v>18900</v>
      </c>
      <c r="D85" s="86">
        <v>-25656.75</v>
      </c>
      <c r="E85" s="86">
        <v>-57471.35</v>
      </c>
      <c r="F85" s="86">
        <v>0</v>
      </c>
      <c r="G85" s="86">
        <v>64337.75</v>
      </c>
      <c r="H85" s="86">
        <v>681068.25</v>
      </c>
      <c r="I85" s="86">
        <v>14142.48</v>
      </c>
      <c r="J85" s="86">
        <v>126199.25</v>
      </c>
      <c r="K85" s="86">
        <v>147019.87</v>
      </c>
      <c r="L85" s="86">
        <v>46305</v>
      </c>
      <c r="M85" s="86">
        <v>138887.92000000001</v>
      </c>
      <c r="N85" s="86">
        <v>582140.27</v>
      </c>
      <c r="O85" s="93">
        <f t="shared" si="18"/>
        <v>1735872.69</v>
      </c>
      <c r="P85" s="62"/>
      <c r="Q85" s="62"/>
      <c r="R85" s="1">
        <v>42</v>
      </c>
    </row>
    <row r="86" spans="2:18" x14ac:dyDescent="0.25">
      <c r="B86" s="1" t="s">
        <v>155</v>
      </c>
      <c r="C86" s="86">
        <v>3439.51</v>
      </c>
      <c r="D86" s="86">
        <v>3471.45</v>
      </c>
      <c r="E86" s="86">
        <v>-2767.16</v>
      </c>
      <c r="F86" s="86">
        <v>8484.24</v>
      </c>
      <c r="G86" s="86">
        <v>2184.1999999999998</v>
      </c>
      <c r="H86" s="86">
        <v>4308.63</v>
      </c>
      <c r="I86" s="86">
        <v>3751.86</v>
      </c>
      <c r="J86" s="86">
        <v>4446.37</v>
      </c>
      <c r="K86" s="86">
        <v>1798.4</v>
      </c>
      <c r="L86" s="86">
        <v>3735.77</v>
      </c>
      <c r="M86" s="86">
        <v>3633.27</v>
      </c>
      <c r="N86" s="86">
        <v>-16253.84</v>
      </c>
      <c r="O86" s="93">
        <f t="shared" si="18"/>
        <v>20232.7</v>
      </c>
      <c r="P86" s="62"/>
      <c r="Q86" s="62"/>
      <c r="R86" s="1">
        <v>43</v>
      </c>
    </row>
    <row r="87" spans="2:18" x14ac:dyDescent="0.25">
      <c r="B87" s="1" t="s">
        <v>156</v>
      </c>
      <c r="C87" s="86">
        <v>0</v>
      </c>
      <c r="D87" s="86">
        <v>27265.5</v>
      </c>
      <c r="E87" s="86">
        <v>5357</v>
      </c>
      <c r="F87" s="86">
        <v>0</v>
      </c>
      <c r="G87" s="86">
        <v>5357</v>
      </c>
      <c r="H87" s="86">
        <v>0</v>
      </c>
      <c r="I87" s="86">
        <v>21557</v>
      </c>
      <c r="J87" s="86">
        <v>0</v>
      </c>
      <c r="K87" s="86">
        <v>0</v>
      </c>
      <c r="L87" s="86">
        <v>5357</v>
      </c>
      <c r="M87" s="86">
        <v>0</v>
      </c>
      <c r="N87" s="86">
        <v>-255050.5</v>
      </c>
      <c r="O87" s="93">
        <f t="shared" si="18"/>
        <v>-190157</v>
      </c>
      <c r="P87" s="62"/>
      <c r="Q87" s="62"/>
      <c r="R87" s="1">
        <v>44</v>
      </c>
    </row>
    <row r="88" spans="2:18" x14ac:dyDescent="0.25">
      <c r="B88" s="36" t="s">
        <v>157</v>
      </c>
      <c r="C88" s="90">
        <v>98.28</v>
      </c>
      <c r="D88" s="90">
        <v>141.78</v>
      </c>
      <c r="E88" s="90">
        <v>31.78</v>
      </c>
      <c r="F88" s="90">
        <v>0</v>
      </c>
      <c r="G88" s="90">
        <v>362.41</v>
      </c>
      <c r="H88" s="90">
        <v>3115.15</v>
      </c>
      <c r="I88" s="90">
        <v>112.1</v>
      </c>
      <c r="J88" s="90">
        <v>656.24</v>
      </c>
      <c r="K88" s="90">
        <v>411.37</v>
      </c>
      <c r="L88" s="90">
        <v>479.71</v>
      </c>
      <c r="M88" s="90">
        <v>879.23</v>
      </c>
      <c r="N88" s="90">
        <v>-297.67</v>
      </c>
      <c r="O88" s="108">
        <f t="shared" si="18"/>
        <v>5990.3799999999992</v>
      </c>
      <c r="P88" s="61"/>
      <c r="Q88" s="61"/>
      <c r="R88" s="1">
        <v>45</v>
      </c>
    </row>
    <row r="89" spans="2:18" x14ac:dyDescent="0.25">
      <c r="B89" s="1"/>
      <c r="C89" s="86"/>
      <c r="D89" s="86"/>
      <c r="E89" s="86"/>
      <c r="F89" s="86"/>
      <c r="G89" s="86"/>
      <c r="H89" s="86"/>
      <c r="I89" s="86"/>
      <c r="J89" s="86"/>
      <c r="K89" s="86"/>
      <c r="L89" s="86"/>
      <c r="M89" s="86"/>
      <c r="N89" s="86"/>
      <c r="O89" s="1"/>
      <c r="P89" s="1"/>
      <c r="Q89" s="1"/>
      <c r="R89" s="1"/>
    </row>
    <row r="90" spans="2:18" x14ac:dyDescent="0.25">
      <c r="B90" s="105" t="s">
        <v>34</v>
      </c>
      <c r="C90" s="90"/>
      <c r="D90" s="90"/>
      <c r="E90" s="90"/>
      <c r="F90" s="90"/>
      <c r="G90" s="90"/>
      <c r="H90" s="90"/>
      <c r="I90" s="90"/>
      <c r="J90" s="90"/>
      <c r="K90" s="90"/>
      <c r="L90" s="90"/>
      <c r="M90" s="90"/>
      <c r="N90" s="90"/>
      <c r="O90" s="36"/>
      <c r="P90" s="106">
        <v>2293000</v>
      </c>
      <c r="Q90" s="36"/>
      <c r="R90" s="1"/>
    </row>
    <row r="91" spans="2:18" x14ac:dyDescent="0.25">
      <c r="B91" s="1" t="s">
        <v>153</v>
      </c>
      <c r="C91" s="86">
        <v>0</v>
      </c>
      <c r="D91" s="86">
        <v>0</v>
      </c>
      <c r="E91" s="86">
        <v>0</v>
      </c>
      <c r="F91" s="86">
        <v>0</v>
      </c>
      <c r="G91" s="86">
        <v>0</v>
      </c>
      <c r="H91" s="86">
        <v>0</v>
      </c>
      <c r="I91" s="86">
        <v>0</v>
      </c>
      <c r="J91" s="86">
        <v>0</v>
      </c>
      <c r="K91" s="86">
        <v>0</v>
      </c>
      <c r="L91" s="86">
        <v>0</v>
      </c>
      <c r="M91" s="86">
        <v>0</v>
      </c>
      <c r="N91" s="86">
        <v>0</v>
      </c>
      <c r="O91" s="93">
        <f t="shared" ref="O91:O95" si="19">SUM(C91:N91)</f>
        <v>0</v>
      </c>
      <c r="P91" s="62"/>
      <c r="Q91" s="62"/>
      <c r="R91" s="1">
        <v>46</v>
      </c>
    </row>
    <row r="92" spans="2:18" x14ac:dyDescent="0.25">
      <c r="B92" s="1" t="s">
        <v>154</v>
      </c>
      <c r="C92" s="86">
        <v>43225.61</v>
      </c>
      <c r="D92" s="86">
        <v>-1086.54</v>
      </c>
      <c r="E92" s="86">
        <v>-239.7</v>
      </c>
      <c r="F92" s="86">
        <v>77498.3</v>
      </c>
      <c r="G92" s="86">
        <v>873668.56</v>
      </c>
      <c r="H92" s="86">
        <v>431657.31</v>
      </c>
      <c r="I92" s="86">
        <v>34313.39</v>
      </c>
      <c r="J92" s="86">
        <v>0</v>
      </c>
      <c r="K92" s="86">
        <v>43077.59</v>
      </c>
      <c r="L92" s="86">
        <v>0</v>
      </c>
      <c r="M92" s="86">
        <v>49543.63</v>
      </c>
      <c r="N92" s="86">
        <v>71253.33</v>
      </c>
      <c r="O92" s="93">
        <f t="shared" si="19"/>
        <v>1622911.48</v>
      </c>
      <c r="P92" s="62"/>
      <c r="Q92" s="62"/>
      <c r="R92" s="1">
        <v>47</v>
      </c>
    </row>
    <row r="93" spans="2:18" x14ac:dyDescent="0.25">
      <c r="B93" s="1" t="s">
        <v>155</v>
      </c>
      <c r="C93" s="86">
        <v>4746.09</v>
      </c>
      <c r="D93" s="86">
        <v>4710.5600000000004</v>
      </c>
      <c r="E93" s="86">
        <v>5417.89</v>
      </c>
      <c r="F93" s="86">
        <v>5112.22</v>
      </c>
      <c r="G93" s="86">
        <v>4532.22</v>
      </c>
      <c r="H93" s="86">
        <v>3526.36</v>
      </c>
      <c r="I93" s="86">
        <v>4657.1000000000004</v>
      </c>
      <c r="J93" s="86">
        <v>5318.14</v>
      </c>
      <c r="K93" s="86">
        <v>2702.46</v>
      </c>
      <c r="L93" s="86">
        <v>5312.07</v>
      </c>
      <c r="M93" s="86">
        <v>2781.08</v>
      </c>
      <c r="N93" s="86">
        <v>3676.37</v>
      </c>
      <c r="O93" s="93">
        <f t="shared" si="19"/>
        <v>52492.560000000005</v>
      </c>
      <c r="P93" s="62"/>
      <c r="Q93" s="62"/>
      <c r="R93" s="1">
        <v>48</v>
      </c>
    </row>
    <row r="94" spans="2:18" x14ac:dyDescent="0.25">
      <c r="B94" s="1" t="s">
        <v>156</v>
      </c>
      <c r="C94" s="86">
        <v>0</v>
      </c>
      <c r="D94" s="86">
        <v>0</v>
      </c>
      <c r="E94" s="86">
        <v>0</v>
      </c>
      <c r="F94" s="86">
        <v>0</v>
      </c>
      <c r="G94" s="86">
        <v>36.93</v>
      </c>
      <c r="H94" s="86">
        <v>0</v>
      </c>
      <c r="I94" s="86">
        <v>9612</v>
      </c>
      <c r="J94" s="86">
        <v>0</v>
      </c>
      <c r="K94" s="86">
        <v>0</v>
      </c>
      <c r="L94" s="86">
        <v>0</v>
      </c>
      <c r="M94" s="86">
        <v>0</v>
      </c>
      <c r="N94" s="86">
        <v>0</v>
      </c>
      <c r="O94" s="93">
        <f t="shared" si="19"/>
        <v>9648.93</v>
      </c>
      <c r="P94" s="62"/>
      <c r="Q94" s="62"/>
      <c r="R94" s="1">
        <v>49</v>
      </c>
    </row>
    <row r="95" spans="2:18" x14ac:dyDescent="0.25">
      <c r="B95" s="36" t="s">
        <v>157</v>
      </c>
      <c r="C95" s="90">
        <v>0</v>
      </c>
      <c r="D95" s="90">
        <v>124.61</v>
      </c>
      <c r="E95" s="90">
        <v>0</v>
      </c>
      <c r="F95" s="90">
        <v>243.85</v>
      </c>
      <c r="G95" s="90">
        <v>2737.03</v>
      </c>
      <c r="H95" s="90">
        <v>1326.55</v>
      </c>
      <c r="I95" s="90">
        <v>49.98</v>
      </c>
      <c r="J95" s="90">
        <v>0</v>
      </c>
      <c r="K95" s="90">
        <v>0</v>
      </c>
      <c r="L95" s="90">
        <v>0</v>
      </c>
      <c r="M95" s="90">
        <v>257.63</v>
      </c>
      <c r="N95" s="90">
        <v>22.12</v>
      </c>
      <c r="O95" s="108">
        <f t="shared" si="19"/>
        <v>4761.7699999999995</v>
      </c>
      <c r="P95" s="61"/>
      <c r="Q95" s="61"/>
      <c r="R95" s="1">
        <v>50</v>
      </c>
    </row>
    <row r="96" spans="2:18" x14ac:dyDescent="0.25">
      <c r="B96" s="1"/>
      <c r="C96" s="86"/>
      <c r="D96" s="86"/>
      <c r="E96" s="86"/>
      <c r="F96" s="86"/>
      <c r="G96" s="86"/>
      <c r="H96" s="86"/>
      <c r="I96" s="86"/>
      <c r="J96" s="86"/>
      <c r="K96" s="86"/>
      <c r="L96" s="86"/>
      <c r="M96" s="86"/>
      <c r="N96" s="86"/>
      <c r="O96" s="1"/>
      <c r="P96" s="1"/>
      <c r="Q96" s="1"/>
      <c r="R96" s="1"/>
    </row>
    <row r="97" spans="2:18" x14ac:dyDescent="0.25">
      <c r="B97" s="105" t="s">
        <v>38</v>
      </c>
      <c r="C97" s="90"/>
      <c r="D97" s="90"/>
      <c r="E97" s="90"/>
      <c r="F97" s="90"/>
      <c r="G97" s="90"/>
      <c r="H97" s="90"/>
      <c r="I97" s="90"/>
      <c r="J97" s="90"/>
      <c r="K97" s="90"/>
      <c r="L97" s="90"/>
      <c r="M97" s="90"/>
      <c r="N97" s="90"/>
      <c r="O97" s="36"/>
      <c r="P97" s="106">
        <v>10000</v>
      </c>
      <c r="Q97" s="36"/>
      <c r="R97" s="1"/>
    </row>
    <row r="98" spans="2:18" x14ac:dyDescent="0.25">
      <c r="B98" s="1" t="s">
        <v>153</v>
      </c>
      <c r="C98" s="86">
        <v>0</v>
      </c>
      <c r="D98" s="86">
        <v>0</v>
      </c>
      <c r="E98" s="86">
        <v>0</v>
      </c>
      <c r="F98" s="86">
        <v>0</v>
      </c>
      <c r="G98" s="86">
        <v>0</v>
      </c>
      <c r="H98" s="86">
        <v>0</v>
      </c>
      <c r="I98" s="86">
        <v>0</v>
      </c>
      <c r="J98" s="86">
        <v>0</v>
      </c>
      <c r="K98" s="86">
        <v>0</v>
      </c>
      <c r="L98" s="86">
        <v>0</v>
      </c>
      <c r="M98" s="86">
        <v>0</v>
      </c>
      <c r="N98" s="86">
        <v>0</v>
      </c>
      <c r="O98" s="93">
        <f t="shared" ref="O98:O102" si="20">SUM(C98:N98)</f>
        <v>0</v>
      </c>
      <c r="P98" s="62"/>
      <c r="Q98" s="62"/>
      <c r="R98" s="1"/>
    </row>
    <row r="99" spans="2:18" x14ac:dyDescent="0.25">
      <c r="B99" s="1" t="s">
        <v>154</v>
      </c>
      <c r="C99" s="86">
        <v>0</v>
      </c>
      <c r="D99" s="86">
        <v>0</v>
      </c>
      <c r="E99" s="86">
        <v>0</v>
      </c>
      <c r="F99" s="86">
        <v>0</v>
      </c>
      <c r="G99" s="86">
        <v>0</v>
      </c>
      <c r="H99" s="86">
        <v>0</v>
      </c>
      <c r="I99" s="86">
        <v>-12.56</v>
      </c>
      <c r="J99" s="86">
        <v>0</v>
      </c>
      <c r="K99" s="86">
        <v>0</v>
      </c>
      <c r="L99" s="86">
        <v>0</v>
      </c>
      <c r="M99" s="86">
        <v>0</v>
      </c>
      <c r="N99" s="86">
        <v>0</v>
      </c>
      <c r="O99" s="93">
        <f t="shared" si="20"/>
        <v>-12.56</v>
      </c>
      <c r="P99" s="62"/>
      <c r="Q99" s="62"/>
      <c r="R99" s="1">
        <v>52</v>
      </c>
    </row>
    <row r="100" spans="2:18" x14ac:dyDescent="0.25">
      <c r="B100" s="1" t="s">
        <v>155</v>
      </c>
      <c r="C100" s="86">
        <v>0</v>
      </c>
      <c r="D100" s="86">
        <v>0</v>
      </c>
      <c r="E100" s="86">
        <v>0</v>
      </c>
      <c r="F100" s="86">
        <v>0</v>
      </c>
      <c r="G100" s="86">
        <v>0</v>
      </c>
      <c r="H100" s="86">
        <v>0</v>
      </c>
      <c r="I100" s="86">
        <v>0</v>
      </c>
      <c r="J100" s="86">
        <v>0</v>
      </c>
      <c r="K100" s="86">
        <v>0</v>
      </c>
      <c r="L100" s="86">
        <v>0</v>
      </c>
      <c r="M100" s="86">
        <v>0</v>
      </c>
      <c r="N100" s="86">
        <v>0</v>
      </c>
      <c r="O100" s="93">
        <f t="shared" si="20"/>
        <v>0</v>
      </c>
      <c r="P100" s="62"/>
      <c r="Q100" s="62"/>
      <c r="R100" s="1"/>
    </row>
    <row r="101" spans="2:18" x14ac:dyDescent="0.25">
      <c r="B101" s="1" t="s">
        <v>156</v>
      </c>
      <c r="C101" s="86">
        <v>0</v>
      </c>
      <c r="D101" s="86">
        <v>0</v>
      </c>
      <c r="E101" s="86">
        <v>0</v>
      </c>
      <c r="F101" s="86">
        <v>0</v>
      </c>
      <c r="G101" s="86">
        <v>0</v>
      </c>
      <c r="H101" s="86">
        <v>502.5</v>
      </c>
      <c r="I101" s="86">
        <v>0</v>
      </c>
      <c r="J101" s="86">
        <v>0</v>
      </c>
      <c r="K101" s="86">
        <v>0</v>
      </c>
      <c r="L101" s="86">
        <v>0</v>
      </c>
      <c r="M101" s="86">
        <v>0</v>
      </c>
      <c r="N101" s="86">
        <v>0</v>
      </c>
      <c r="O101" s="93">
        <f t="shared" si="20"/>
        <v>502.5</v>
      </c>
      <c r="P101" s="62"/>
      <c r="Q101" s="62"/>
      <c r="R101" s="1">
        <v>54</v>
      </c>
    </row>
    <row r="102" spans="2:18" x14ac:dyDescent="0.25">
      <c r="B102" s="36" t="s">
        <v>157</v>
      </c>
      <c r="C102" s="90">
        <v>0</v>
      </c>
      <c r="D102" s="90">
        <v>0</v>
      </c>
      <c r="E102" s="90">
        <v>0</v>
      </c>
      <c r="F102" s="90">
        <v>0</v>
      </c>
      <c r="G102" s="90">
        <v>0</v>
      </c>
      <c r="H102" s="90">
        <v>2.61</v>
      </c>
      <c r="I102" s="90">
        <v>0</v>
      </c>
      <c r="J102" s="90">
        <v>0</v>
      </c>
      <c r="K102" s="90">
        <v>0</v>
      </c>
      <c r="L102" s="90">
        <v>0</v>
      </c>
      <c r="M102" s="90">
        <v>0</v>
      </c>
      <c r="N102" s="90">
        <v>0</v>
      </c>
      <c r="O102" s="108">
        <f t="shared" si="20"/>
        <v>2.61</v>
      </c>
      <c r="P102" s="61"/>
      <c r="Q102" s="61"/>
      <c r="R102" s="1">
        <v>55</v>
      </c>
    </row>
    <row r="103" spans="2:18" x14ac:dyDescent="0.25">
      <c r="B103" s="1"/>
      <c r="C103" s="86"/>
      <c r="D103" s="86"/>
      <c r="E103" s="86"/>
      <c r="F103" s="86"/>
      <c r="G103" s="86"/>
      <c r="H103" s="86"/>
      <c r="I103" s="86"/>
      <c r="J103" s="86"/>
      <c r="K103" s="86"/>
      <c r="L103" s="86"/>
      <c r="M103" s="86"/>
      <c r="N103" s="86"/>
      <c r="O103" s="1"/>
      <c r="P103" s="1"/>
      <c r="Q103" s="1"/>
      <c r="R103" s="1"/>
    </row>
    <row r="104" spans="2:18" x14ac:dyDescent="0.25">
      <c r="B104" s="105" t="s">
        <v>158</v>
      </c>
      <c r="C104" s="90"/>
      <c r="D104" s="90"/>
      <c r="E104" s="90"/>
      <c r="F104" s="90"/>
      <c r="G104" s="90"/>
      <c r="H104" s="90"/>
      <c r="I104" s="90"/>
      <c r="J104" s="90"/>
      <c r="K104" s="90"/>
      <c r="L104" s="90"/>
      <c r="M104" s="90"/>
      <c r="N104" s="90"/>
      <c r="O104" s="36"/>
      <c r="P104" s="106">
        <v>0</v>
      </c>
      <c r="Q104" s="36"/>
      <c r="R104" s="1"/>
    </row>
    <row r="105" spans="2:18" x14ac:dyDescent="0.25">
      <c r="B105" s="1" t="s">
        <v>153</v>
      </c>
      <c r="C105" s="86">
        <v>0</v>
      </c>
      <c r="D105" s="86">
        <v>0</v>
      </c>
      <c r="E105" s="86">
        <v>0</v>
      </c>
      <c r="F105" s="86">
        <v>0</v>
      </c>
      <c r="G105" s="86">
        <v>0</v>
      </c>
      <c r="H105" s="86">
        <v>0</v>
      </c>
      <c r="I105" s="86">
        <v>0</v>
      </c>
      <c r="J105" s="86">
        <v>0</v>
      </c>
      <c r="K105" s="86">
        <v>0</v>
      </c>
      <c r="L105" s="86">
        <v>0</v>
      </c>
      <c r="M105" s="86">
        <v>0</v>
      </c>
      <c r="N105" s="86">
        <v>0</v>
      </c>
      <c r="O105" s="93">
        <f t="shared" ref="O105:O109" si="21">SUM(C105:N105)</f>
        <v>0</v>
      </c>
      <c r="P105" s="62"/>
      <c r="Q105" s="62"/>
      <c r="R105" s="1"/>
    </row>
    <row r="106" spans="2:18" x14ac:dyDescent="0.25">
      <c r="B106" s="1" t="s">
        <v>154</v>
      </c>
      <c r="C106" s="86">
        <v>0</v>
      </c>
      <c r="D106" s="86">
        <v>0</v>
      </c>
      <c r="E106" s="86">
        <v>532722</v>
      </c>
      <c r="F106" s="86">
        <v>0</v>
      </c>
      <c r="G106" s="86">
        <v>8599.5</v>
      </c>
      <c r="H106" s="86">
        <v>-344712.75</v>
      </c>
      <c r="I106" s="86">
        <v>11718</v>
      </c>
      <c r="J106" s="86">
        <v>-172133.25</v>
      </c>
      <c r="K106" s="86">
        <v>0</v>
      </c>
      <c r="L106" s="86">
        <v>-36193.5</v>
      </c>
      <c r="M106" s="86">
        <v>0</v>
      </c>
      <c r="N106" s="86">
        <v>0</v>
      </c>
      <c r="O106" s="93">
        <f t="shared" si="21"/>
        <v>0</v>
      </c>
      <c r="P106" s="62"/>
      <c r="Q106" s="62"/>
      <c r="R106" s="1">
        <v>57</v>
      </c>
    </row>
    <row r="107" spans="2:18" x14ac:dyDescent="0.25">
      <c r="B107" s="1" t="s">
        <v>155</v>
      </c>
      <c r="C107" s="86">
        <v>0</v>
      </c>
      <c r="D107" s="86">
        <v>0</v>
      </c>
      <c r="E107" s="86">
        <v>0</v>
      </c>
      <c r="F107" s="86">
        <v>0</v>
      </c>
      <c r="G107" s="86">
        <v>0</v>
      </c>
      <c r="H107" s="86">
        <v>0</v>
      </c>
      <c r="I107" s="86">
        <v>0</v>
      </c>
      <c r="J107" s="86">
        <v>0</v>
      </c>
      <c r="K107" s="86">
        <v>0</v>
      </c>
      <c r="L107" s="86">
        <v>0</v>
      </c>
      <c r="M107" s="86">
        <v>0</v>
      </c>
      <c r="N107" s="86">
        <v>0</v>
      </c>
      <c r="O107" s="93">
        <f t="shared" si="21"/>
        <v>0</v>
      </c>
      <c r="P107" s="62"/>
      <c r="Q107" s="62"/>
      <c r="R107" s="1">
        <v>58</v>
      </c>
    </row>
    <row r="108" spans="2:18" x14ac:dyDescent="0.25">
      <c r="B108" s="1" t="s">
        <v>156</v>
      </c>
      <c r="C108" s="86">
        <v>0</v>
      </c>
      <c r="D108" s="86">
        <v>0</v>
      </c>
      <c r="E108" s="86">
        <v>0</v>
      </c>
      <c r="F108" s="86">
        <v>0</v>
      </c>
      <c r="G108" s="86">
        <v>0</v>
      </c>
      <c r="H108" s="86">
        <v>0</v>
      </c>
      <c r="I108" s="86">
        <v>0</v>
      </c>
      <c r="J108" s="86">
        <v>0</v>
      </c>
      <c r="K108" s="86">
        <v>0</v>
      </c>
      <c r="L108" s="86">
        <v>0</v>
      </c>
      <c r="M108" s="86">
        <v>0</v>
      </c>
      <c r="N108" s="86">
        <v>0</v>
      </c>
      <c r="O108" s="93">
        <f t="shared" si="21"/>
        <v>0</v>
      </c>
      <c r="P108" s="62"/>
      <c r="Q108" s="62"/>
      <c r="R108" s="1">
        <v>59</v>
      </c>
    </row>
    <row r="109" spans="2:18" x14ac:dyDescent="0.25">
      <c r="B109" s="36" t="s">
        <v>157</v>
      </c>
      <c r="C109" s="90">
        <v>0</v>
      </c>
      <c r="D109" s="90">
        <v>0</v>
      </c>
      <c r="E109" s="90">
        <v>2770.15</v>
      </c>
      <c r="F109" s="90">
        <v>0</v>
      </c>
      <c r="G109" s="90">
        <v>44.72</v>
      </c>
      <c r="H109" s="90">
        <v>-2712.91</v>
      </c>
      <c r="I109" s="90">
        <v>60.93</v>
      </c>
      <c r="J109" s="90">
        <v>25.31</v>
      </c>
      <c r="K109" s="90">
        <v>0</v>
      </c>
      <c r="L109" s="90">
        <v>-188.21</v>
      </c>
      <c r="M109" s="90">
        <v>0</v>
      </c>
      <c r="N109" s="90">
        <v>0</v>
      </c>
      <c r="O109" s="108">
        <f t="shared" si="21"/>
        <v>-9.9999999999624833E-3</v>
      </c>
      <c r="P109" s="61"/>
      <c r="Q109" s="61"/>
      <c r="R109" s="1">
        <v>60</v>
      </c>
    </row>
    <row r="110" spans="2:18" x14ac:dyDescent="0.25">
      <c r="B110" s="1"/>
      <c r="C110" s="1"/>
      <c r="D110" s="1"/>
      <c r="E110" s="1"/>
      <c r="F110" s="1"/>
      <c r="G110" s="1"/>
      <c r="H110" s="1"/>
      <c r="I110" s="1"/>
      <c r="J110" s="1"/>
      <c r="K110" s="1"/>
      <c r="L110" s="1"/>
      <c r="M110" s="1"/>
      <c r="N110" s="1"/>
      <c r="O110" s="1"/>
      <c r="P110" s="1"/>
      <c r="Q110" s="1"/>
      <c r="R110" s="1"/>
    </row>
    <row r="111" spans="2:18" x14ac:dyDescent="0.25">
      <c r="B111" s="95" t="s">
        <v>159</v>
      </c>
      <c r="C111" s="96">
        <f>SUM(C51,C56:C60,C63:C67,C70:C74,C77:C81,C84:C88,C91:C95,C98:C102,C105:C109)</f>
        <v>72542.829999999987</v>
      </c>
      <c r="D111" s="96">
        <f t="shared" ref="D111:O111" si="22">SUM(D51,D56:D60,D63:D67,D70:D74,D77:D81,D84:D88,D91:D95,D98:D102,D105:D109)</f>
        <v>-12816.550000000007</v>
      </c>
      <c r="E111" s="96">
        <f t="shared" si="22"/>
        <v>491030.53</v>
      </c>
      <c r="F111" s="96">
        <f t="shared" si="22"/>
        <v>155414.31</v>
      </c>
      <c r="G111" s="96">
        <f t="shared" si="22"/>
        <v>1081423.8</v>
      </c>
      <c r="H111" s="96">
        <f t="shared" si="22"/>
        <v>1333240.7400000002</v>
      </c>
      <c r="I111" s="96">
        <f t="shared" si="22"/>
        <v>88540.39999999998</v>
      </c>
      <c r="J111" s="96">
        <f t="shared" si="22"/>
        <v>87927.299999999988</v>
      </c>
      <c r="K111" s="96">
        <f t="shared" si="22"/>
        <v>212729.58999999997</v>
      </c>
      <c r="L111" s="96">
        <f t="shared" si="22"/>
        <v>219651.59</v>
      </c>
      <c r="M111" s="96">
        <f t="shared" si="22"/>
        <v>466464.39000000007</v>
      </c>
      <c r="N111" s="96">
        <f t="shared" si="22"/>
        <v>482372.50000000012</v>
      </c>
      <c r="O111" s="96">
        <f t="shared" si="22"/>
        <v>4678521.4300000006</v>
      </c>
      <c r="P111" s="96">
        <f>SUM(P51,P97,P90,P83,P76,P69,P62,P55,P104)</f>
        <v>4140440.3114771717</v>
      </c>
      <c r="Q111" s="109"/>
      <c r="R111" s="1"/>
    </row>
    <row r="112" spans="2:18" x14ac:dyDescent="0.25">
      <c r="B112" s="1"/>
      <c r="C112" s="1"/>
      <c r="D112" s="1"/>
      <c r="E112" s="1"/>
      <c r="F112" s="1"/>
      <c r="G112" s="1"/>
      <c r="H112" s="1"/>
      <c r="I112" s="1"/>
      <c r="J112" s="1"/>
      <c r="K112" s="1"/>
      <c r="L112" s="1"/>
      <c r="M112" s="1"/>
      <c r="N112" s="1"/>
      <c r="O112" s="1"/>
      <c r="P112" s="1"/>
      <c r="Q112" s="1"/>
      <c r="R112" s="1"/>
    </row>
    <row r="113" spans="2:18" x14ac:dyDescent="0.25">
      <c r="B113" s="105" t="s">
        <v>160</v>
      </c>
      <c r="C113" s="36"/>
      <c r="D113" s="36"/>
      <c r="E113" s="36"/>
      <c r="F113" s="36"/>
      <c r="G113" s="36"/>
      <c r="H113" s="36"/>
      <c r="I113" s="36"/>
      <c r="J113" s="36"/>
      <c r="K113" s="36"/>
      <c r="L113" s="36"/>
      <c r="M113" s="36"/>
      <c r="N113" s="36"/>
      <c r="O113" s="36"/>
      <c r="P113" s="36"/>
      <c r="Q113" s="36"/>
      <c r="R113" s="1"/>
    </row>
    <row r="114" spans="2:18" x14ac:dyDescent="0.25">
      <c r="B114" s="1" t="s">
        <v>153</v>
      </c>
      <c r="C114" s="86">
        <f>IF(ISBLANK(C56)," ",SUMIF($B$56:$B$109,$B114,C56:C109))</f>
        <v>0</v>
      </c>
      <c r="D114" s="86">
        <f>IF(ISBLANK(D56)," ",SUMIF($B$56:$B$109,$B114,D56:D109))</f>
        <v>0</v>
      </c>
      <c r="E114" s="86">
        <f>IF(ISBLANK(E56)," ",SUMIF($B$56:$B$109,$B114,E56:E109))</f>
        <v>0</v>
      </c>
      <c r="F114" s="86">
        <f t="shared" ref="F114:N114" si="23">IF(ISBLANK(F56)," ",SUMIF($B$56:$B$109,$B114,F56:F109))</f>
        <v>0</v>
      </c>
      <c r="G114" s="86">
        <f t="shared" si="23"/>
        <v>0</v>
      </c>
      <c r="H114" s="86">
        <f t="shared" si="23"/>
        <v>0</v>
      </c>
      <c r="I114" s="86">
        <f t="shared" si="23"/>
        <v>0</v>
      </c>
      <c r="J114" s="86">
        <f t="shared" si="23"/>
        <v>0</v>
      </c>
      <c r="K114" s="86">
        <f t="shared" si="23"/>
        <v>0</v>
      </c>
      <c r="L114" s="86">
        <f t="shared" si="23"/>
        <v>0</v>
      </c>
      <c r="M114" s="86">
        <f t="shared" si="23"/>
        <v>0</v>
      </c>
      <c r="N114" s="86">
        <f t="shared" si="23"/>
        <v>0</v>
      </c>
      <c r="O114" s="93">
        <f>SUM(C114:N114)</f>
        <v>0</v>
      </c>
      <c r="P114" s="62"/>
      <c r="Q114" s="62"/>
      <c r="R114" s="1"/>
    </row>
    <row r="115" spans="2:18" x14ac:dyDescent="0.25">
      <c r="B115" s="1" t="s">
        <v>154</v>
      </c>
      <c r="C115" s="86">
        <f>IF(ISBLANK(C56)," ",SUMIF($B$56:$B$109,$B115,C56:C109))</f>
        <v>62125.61</v>
      </c>
      <c r="D115" s="86">
        <f>IF(ISBLANK(D56)," ",SUMIF($B$56:$B$109,$B115,D56:D109))</f>
        <v>-26743.29</v>
      </c>
      <c r="E115" s="86">
        <f>IF(ISBLANK(E56)," ",SUMIF($B$56:$B$109,$B115,E56:E109))</f>
        <v>475010.95</v>
      </c>
      <c r="F115" s="86">
        <f t="shared" ref="F115:N115" si="24">IF(ISBLANK(F56)," ",SUMIF($B$56:$B$109,$B115,F56:F109))</f>
        <v>83144.240000000005</v>
      </c>
      <c r="G115" s="86">
        <f t="shared" si="24"/>
        <v>992944.6100000001</v>
      </c>
      <c r="H115" s="86">
        <f t="shared" si="24"/>
        <v>772229.67999999993</v>
      </c>
      <c r="I115" s="86">
        <f t="shared" si="24"/>
        <v>62119.740000000005</v>
      </c>
      <c r="J115" s="86">
        <f t="shared" si="24"/>
        <v>-44854</v>
      </c>
      <c r="K115" s="86">
        <f t="shared" si="24"/>
        <v>190097.46</v>
      </c>
      <c r="L115" s="86">
        <f t="shared" si="24"/>
        <v>10111.5</v>
      </c>
      <c r="M115" s="86">
        <f t="shared" si="24"/>
        <v>188431.55000000002</v>
      </c>
      <c r="N115" s="86">
        <f t="shared" si="24"/>
        <v>653393.6</v>
      </c>
      <c r="O115" s="93">
        <f t="shared" ref="O115:O119" si="25">SUM(C115:N115)</f>
        <v>3418011.65</v>
      </c>
      <c r="P115" s="62"/>
      <c r="Q115" s="62"/>
      <c r="R115" s="1"/>
    </row>
    <row r="116" spans="2:18" x14ac:dyDescent="0.25">
      <c r="B116" s="1" t="s">
        <v>155</v>
      </c>
      <c r="C116" s="86">
        <f>IF(ISBLANK(C56)," ",SUMIF($B$56:$B$109,$B116,C56:C109))</f>
        <v>8185.6</v>
      </c>
      <c r="D116" s="86">
        <f>IF(ISBLANK(D56)," ",SUMIF($B$56:$B$109,$B116,D56:D109))</f>
        <v>8182.01</v>
      </c>
      <c r="E116" s="86">
        <f>IF(ISBLANK(E56)," ",SUMIF($B$56:$B$109,$B116,E56:E109))</f>
        <v>2650.7300000000005</v>
      </c>
      <c r="F116" s="86">
        <f t="shared" ref="F116:N116" si="26">IF(ISBLANK(F56)," ",SUMIF($B$56:$B$109,$B116,F56:F109))</f>
        <v>13596.46</v>
      </c>
      <c r="G116" s="86">
        <f t="shared" si="26"/>
        <v>6716.42</v>
      </c>
      <c r="H116" s="86">
        <f t="shared" si="26"/>
        <v>7834.99</v>
      </c>
      <c r="I116" s="86">
        <f t="shared" si="26"/>
        <v>8408.9600000000009</v>
      </c>
      <c r="J116" s="86">
        <f t="shared" si="26"/>
        <v>9764.51</v>
      </c>
      <c r="K116" s="86">
        <f t="shared" si="26"/>
        <v>4500.8600000000006</v>
      </c>
      <c r="L116" s="86">
        <f t="shared" si="26"/>
        <v>9047.84</v>
      </c>
      <c r="M116" s="86">
        <f t="shared" si="26"/>
        <v>6414.35</v>
      </c>
      <c r="N116" s="86">
        <f t="shared" si="26"/>
        <v>-12577.470000000001</v>
      </c>
      <c r="O116" s="93">
        <f t="shared" si="25"/>
        <v>72725.260000000009</v>
      </c>
      <c r="P116" s="62"/>
      <c r="Q116" s="62"/>
      <c r="R116" s="1"/>
    </row>
    <row r="117" spans="2:18" x14ac:dyDescent="0.25">
      <c r="B117" s="1" t="s">
        <v>156</v>
      </c>
      <c r="C117" s="86">
        <f>IF(ISBLANK(C56)," ",SUMIF($B$56:$B$109,$B117,C56:C109))</f>
        <v>0</v>
      </c>
      <c r="D117" s="86">
        <f>IF(ISBLANK(D56)," ",SUMIF($B$56:$B$109,$B117,D56:D109))</f>
        <v>27265.5</v>
      </c>
      <c r="E117" s="86">
        <f>IF(ISBLANK(E56)," ",SUMIF($B$56:$B$109,$B117,E56:E109))</f>
        <v>5357</v>
      </c>
      <c r="F117" s="86">
        <f t="shared" ref="F117:N117" si="27">IF(ISBLANK(F56)," ",SUMIF($B$56:$B$109,$B117,F56:F109))</f>
        <v>0</v>
      </c>
      <c r="G117" s="86">
        <f t="shared" si="27"/>
        <v>5393.93</v>
      </c>
      <c r="H117" s="86">
        <f t="shared" si="27"/>
        <v>502.5</v>
      </c>
      <c r="I117" s="86">
        <f t="shared" si="27"/>
        <v>31189.88</v>
      </c>
      <c r="J117" s="86">
        <f t="shared" si="27"/>
        <v>0</v>
      </c>
      <c r="K117" s="86">
        <f t="shared" si="27"/>
        <v>0</v>
      </c>
      <c r="L117" s="86">
        <f t="shared" si="27"/>
        <v>5357</v>
      </c>
      <c r="M117" s="86">
        <f t="shared" si="27"/>
        <v>0</v>
      </c>
      <c r="N117" s="86">
        <f t="shared" si="27"/>
        <v>-255050.5</v>
      </c>
      <c r="O117" s="93">
        <f t="shared" si="25"/>
        <v>-179984.69</v>
      </c>
      <c r="P117" s="62"/>
      <c r="Q117" s="62"/>
      <c r="R117" s="1"/>
    </row>
    <row r="118" spans="2:18" x14ac:dyDescent="0.25">
      <c r="B118" s="1" t="s">
        <v>157</v>
      </c>
      <c r="C118" s="86">
        <f>IF(ISBLANK(C56)," ",SUMIF($B$56:$B$109,$B118,C56:C109))</f>
        <v>98.28</v>
      </c>
      <c r="D118" s="86">
        <f>IF(ISBLANK(D56)," ",SUMIF($B$56:$B$109,$B118,D56:D109))</f>
        <v>266.39</v>
      </c>
      <c r="E118" s="86">
        <f>IF(ISBLANK(E56)," ",SUMIF($B$56:$B$109,$B118,E56:E109))</f>
        <v>2801.9300000000003</v>
      </c>
      <c r="F118" s="86">
        <f t="shared" ref="F118:N118" si="28">IF(ISBLANK(F56)," ",SUMIF($B$56:$B$109,$B118,F56:F109))</f>
        <v>268.67</v>
      </c>
      <c r="G118" s="86">
        <f t="shared" si="28"/>
        <v>3378.2999999999997</v>
      </c>
      <c r="H118" s="86">
        <f t="shared" si="28"/>
        <v>1753.33</v>
      </c>
      <c r="I118" s="86">
        <f t="shared" si="28"/>
        <v>223.12</v>
      </c>
      <c r="J118" s="86">
        <f t="shared" si="28"/>
        <v>687.17</v>
      </c>
      <c r="K118" s="86">
        <f t="shared" si="28"/>
        <v>411.37</v>
      </c>
      <c r="L118" s="86">
        <f t="shared" si="28"/>
        <v>291.5</v>
      </c>
      <c r="M118" s="86">
        <f t="shared" si="28"/>
        <v>1136.8600000000001</v>
      </c>
      <c r="N118" s="86">
        <f t="shared" si="28"/>
        <v>-275.55</v>
      </c>
      <c r="O118" s="93">
        <f t="shared" si="25"/>
        <v>11041.370000000003</v>
      </c>
      <c r="P118" s="62"/>
      <c r="Q118" s="62"/>
      <c r="R118" s="1"/>
    </row>
    <row r="119" spans="2:18" x14ac:dyDescent="0.25">
      <c r="B119" s="110" t="s">
        <v>161</v>
      </c>
      <c r="C119" s="86">
        <f>IF(C51=0,"",C51)</f>
        <v>2133.34</v>
      </c>
      <c r="D119" s="86">
        <f>IF(D51=0,"",D51)</f>
        <v>-21787.16</v>
      </c>
      <c r="E119" s="86">
        <f>IF(E51=0,"",E51)</f>
        <v>5209.92</v>
      </c>
      <c r="F119" s="86">
        <f t="shared" ref="F119:N119" si="29">IF(F51=0,"",F51)</f>
        <v>58404.94</v>
      </c>
      <c r="G119" s="86">
        <f t="shared" si="29"/>
        <v>72990.539999999994</v>
      </c>
      <c r="H119" s="86">
        <f t="shared" si="29"/>
        <v>550920.24</v>
      </c>
      <c r="I119" s="86">
        <f t="shared" si="29"/>
        <v>-13401.300000000017</v>
      </c>
      <c r="J119" s="86">
        <f t="shared" si="29"/>
        <v>122329.62</v>
      </c>
      <c r="K119" s="86">
        <f t="shared" si="29"/>
        <v>17719.899999999994</v>
      </c>
      <c r="L119" s="86">
        <f t="shared" si="29"/>
        <v>194843.75</v>
      </c>
      <c r="M119" s="86">
        <f t="shared" si="29"/>
        <v>270481.63</v>
      </c>
      <c r="N119" s="86">
        <f t="shared" si="29"/>
        <v>96882.42</v>
      </c>
      <c r="O119" s="93">
        <f t="shared" si="25"/>
        <v>1356727.8399999999</v>
      </c>
      <c r="P119" s="62"/>
      <c r="Q119" s="62"/>
      <c r="R119" s="1"/>
    </row>
    <row r="120" spans="2:18" x14ac:dyDescent="0.25">
      <c r="B120" s="95" t="s">
        <v>162</v>
      </c>
      <c r="C120" s="96">
        <f>SUM(C114:C119)</f>
        <v>72542.83</v>
      </c>
      <c r="D120" s="96">
        <f t="shared" ref="D120:O120" si="30">SUM(D114:D119)</f>
        <v>-12816.55</v>
      </c>
      <c r="E120" s="96">
        <f t="shared" si="30"/>
        <v>491030.52999999997</v>
      </c>
      <c r="F120" s="96">
        <f t="shared" si="30"/>
        <v>155414.31</v>
      </c>
      <c r="G120" s="96">
        <f t="shared" si="30"/>
        <v>1081423.8000000003</v>
      </c>
      <c r="H120" s="96">
        <f t="shared" si="30"/>
        <v>1333240.7399999998</v>
      </c>
      <c r="I120" s="96">
        <f t="shared" si="30"/>
        <v>88540.4</v>
      </c>
      <c r="J120" s="96">
        <f t="shared" si="30"/>
        <v>87927.299999999988</v>
      </c>
      <c r="K120" s="96">
        <f t="shared" si="30"/>
        <v>212729.59</v>
      </c>
      <c r="L120" s="96">
        <f t="shared" si="30"/>
        <v>219651.59</v>
      </c>
      <c r="M120" s="96">
        <f t="shared" si="30"/>
        <v>466464.39</v>
      </c>
      <c r="N120" s="96">
        <f t="shared" si="30"/>
        <v>482372.5</v>
      </c>
      <c r="O120" s="96">
        <f t="shared" si="30"/>
        <v>4678521.43</v>
      </c>
      <c r="P120" s="96">
        <f>P111</f>
        <v>4140440.3114771717</v>
      </c>
      <c r="Q120" s="109"/>
      <c r="R120" s="1"/>
    </row>
    <row r="121" spans="2:18" x14ac:dyDescent="0.25">
      <c r="B121" s="1"/>
      <c r="C121" s="1"/>
      <c r="D121" s="1"/>
      <c r="E121" s="1"/>
      <c r="F121" s="1"/>
      <c r="G121" s="1"/>
      <c r="H121" s="1"/>
      <c r="I121" s="1"/>
      <c r="J121" s="1"/>
      <c r="K121" s="1"/>
      <c r="L121" s="1"/>
      <c r="M121" s="1"/>
      <c r="N121" s="1"/>
      <c r="O121" s="1"/>
      <c r="P121" s="1"/>
      <c r="Q121" s="1"/>
      <c r="R121" s="1"/>
    </row>
    <row r="122" spans="2:18" ht="15.75" x14ac:dyDescent="0.25">
      <c r="B122" s="105" t="s">
        <v>163</v>
      </c>
      <c r="C122" s="36"/>
      <c r="D122" s="36"/>
      <c r="E122" s="36"/>
      <c r="F122" s="36"/>
      <c r="G122" s="36"/>
      <c r="H122" s="36"/>
      <c r="I122" s="36"/>
      <c r="J122" s="36"/>
      <c r="K122" s="36"/>
      <c r="L122" s="36"/>
      <c r="M122" s="36"/>
      <c r="N122" s="36"/>
      <c r="O122" s="36"/>
      <c r="P122" s="36"/>
      <c r="Q122" s="36"/>
      <c r="R122" s="1"/>
    </row>
    <row r="123" spans="2:18" x14ac:dyDescent="0.25">
      <c r="B123" s="1" t="s">
        <v>164</v>
      </c>
      <c r="C123" s="86">
        <f>IF(C111=0,"",SUM(C56:C60,C17,C39*0.01))</f>
        <v>15.2332</v>
      </c>
      <c r="D123" s="86">
        <f>IF(D111=0,"",SUM(D56:D60,D17,D39*0.01))</f>
        <v>26.8248</v>
      </c>
      <c r="E123" s="86">
        <f>IF(E111=0,"",SUM(E56:E60,E17,E39*0.01))</f>
        <v>31.286799999999999</v>
      </c>
      <c r="F123" s="86">
        <f t="shared" ref="F123:N123" si="31">IF(F111=0,"",SUM(F56:F60,F17,F39*0.01))</f>
        <v>5700.7382999999991</v>
      </c>
      <c r="G123" s="86">
        <f t="shared" si="31"/>
        <v>45927.439100000003</v>
      </c>
      <c r="H123" s="86">
        <f t="shared" si="31"/>
        <v>4263.9758000000002</v>
      </c>
      <c r="I123" s="86">
        <f t="shared" si="31"/>
        <v>2658.6925999999999</v>
      </c>
      <c r="J123" s="86">
        <f t="shared" si="31"/>
        <v>1175.1977999999999</v>
      </c>
      <c r="K123" s="86">
        <f t="shared" si="31"/>
        <v>32.887300000000003</v>
      </c>
      <c r="L123" s="86">
        <f t="shared" si="31"/>
        <v>32.898499999999999</v>
      </c>
      <c r="M123" s="86">
        <f t="shared" si="31"/>
        <v>27.576900000000002</v>
      </c>
      <c r="N123" s="86">
        <f t="shared" si="31"/>
        <v>25.998699999999999</v>
      </c>
      <c r="O123" s="93">
        <f>SUM(C123:N123)</f>
        <v>59918.749800000005</v>
      </c>
      <c r="P123" s="62"/>
      <c r="Q123" s="62"/>
      <c r="R123" s="1"/>
    </row>
    <row r="124" spans="2:18" x14ac:dyDescent="0.25">
      <c r="B124" s="1" t="s">
        <v>165</v>
      </c>
      <c r="C124" s="86">
        <f>IF(C111=0,"",SUM(C63:C67)++(SUM(C70:C74)*0.5)+(SUM(C98:C102)*0.8)+(C39*0.8)+(C44*0.01)+SUM(C77:C81)+SUM(C105:C109))</f>
        <v>1218.6559999999999</v>
      </c>
      <c r="D124" s="86">
        <f>IF(D111=0,"",SUM(D63:D67)++(SUM(D70:D74)*0.5)+(SUM(D98:D102)*0.8)+(D39*0.8)+(D44*0.01)+SUM(D77:D81)+SUM(D105:D109))</f>
        <v>1891.2085</v>
      </c>
      <c r="E124" s="86">
        <f>IF(E111=0,"",SUM(E63:E67)++(SUM(E70:E74)*0.5)+(SUM(E98:E102)*0.8)+(E39*0.8)+(E44*0.01)+SUM(E77:E81)+SUM(E105:E109))</f>
        <v>538003.32030000002</v>
      </c>
      <c r="F124" s="86">
        <f>IF(F111=0,"",SUM(F63:F67)++(SUM(F70:F74)*0.5)+(SUM(F98:F102)*0.8)+(F39*0.8)+(F44*0.01)+SUM(F77:F81)+SUM(F105:F109))</f>
        <v>2398.2640000000001</v>
      </c>
      <c r="G124" s="86">
        <f>IF(G111=0,"",SUM(G63:G67)+G18+(SUM(G70:G74)*0.5)+(SUM(G98:G102)*0.8)+(G39*0.8)+(G44*0.01)+SUM(G77:G81)+SUM(G105:G109))</f>
        <v>13533.1162</v>
      </c>
      <c r="H124" s="86">
        <f t="shared" ref="H124:N124" si="32">IF(H111=0,"",SUM(H63:H67)+H18+(SUM(H70:H74)*0.5)+(SUM(H98:H102)*0.8)+(H39*0.8)+(H44*0.01)+SUM(H77:H81)+SUM(H105:H109))</f>
        <v>-340641.99899999995</v>
      </c>
      <c r="I124" s="86">
        <f t="shared" si="32"/>
        <v>18655.927500000002</v>
      </c>
      <c r="J124" s="86">
        <f t="shared" si="32"/>
        <v>-165154.50169999999</v>
      </c>
      <c r="K124" s="86">
        <f t="shared" si="32"/>
        <v>1974.8799000000004</v>
      </c>
      <c r="L124" s="86">
        <f t="shared" si="32"/>
        <v>-33702.4807</v>
      </c>
      <c r="M124" s="86">
        <f t="shared" si="32"/>
        <v>2327.7660999999998</v>
      </c>
      <c r="N124" s="86">
        <f t="shared" si="32"/>
        <v>2086.7816000000003</v>
      </c>
      <c r="O124" s="93">
        <f t="shared" ref="O124:O126" si="33">SUM(C124:N124)</f>
        <v>42590.938700000108</v>
      </c>
      <c r="P124" s="62"/>
      <c r="Q124" s="62"/>
      <c r="R124" s="1"/>
    </row>
    <row r="125" spans="2:18" x14ac:dyDescent="0.25">
      <c r="B125" s="1" t="s">
        <v>166</v>
      </c>
      <c r="C125" s="86">
        <f t="shared" ref="C125:F125" si="34">IF(C111=0,"",(SUM(C98:C102)*0.2)+C19+C38+(C39*0.19)+(C44*0.99)+(SUM(C70:C74)*0.5))</f>
        <v>289.43079999999998</v>
      </c>
      <c r="D125" s="86">
        <f t="shared" si="34"/>
        <v>-24713.103299999999</v>
      </c>
      <c r="E125" s="86">
        <f t="shared" si="34"/>
        <v>1408.8528999999999</v>
      </c>
      <c r="F125" s="86">
        <f t="shared" si="34"/>
        <v>54684.837700000004</v>
      </c>
      <c r="G125" s="86">
        <f>IF(G111=0,"",(SUM(G98:G102)*0.2)+G19+G38+(G39*0.19)+(G44*0.99)+(SUM(G70:G74)*0.5))</f>
        <v>67578.824699999997</v>
      </c>
      <c r="H125" s="86">
        <f t="shared" ref="H125:M125" si="35">IF(H111=0,"",(SUM(H98:H102)*0.2)+H19+H38+(H39*0.19)+(H44*0.99)+(SUM(H70:H74)*0.5))</f>
        <v>543977.38320000004</v>
      </c>
      <c r="I125" s="86">
        <f t="shared" si="35"/>
        <v>99412.719899999982</v>
      </c>
      <c r="J125" s="86">
        <f t="shared" si="35"/>
        <v>113289.42390000002</v>
      </c>
      <c r="K125" s="86">
        <f t="shared" si="35"/>
        <v>14494.122800000005</v>
      </c>
      <c r="L125" s="86">
        <f t="shared" si="35"/>
        <v>191126.71219999998</v>
      </c>
      <c r="M125" s="86">
        <f t="shared" si="35"/>
        <v>266961.59700000001</v>
      </c>
      <c r="N125" s="86">
        <f>IF(N111=0,"",(SUM(N98:N102)*0.2)+N19+N32+N38+(N39*0.19)+(N44*0.99)+(SUM(N70:N74)*0.5))</f>
        <v>93585.569700000007</v>
      </c>
      <c r="O125" s="93">
        <f t="shared" si="33"/>
        <v>1422096.3715000004</v>
      </c>
      <c r="P125" s="62"/>
      <c r="Q125" s="62"/>
      <c r="R125" s="1"/>
    </row>
    <row r="126" spans="2:18" x14ac:dyDescent="0.25">
      <c r="B126" s="1" t="s">
        <v>82</v>
      </c>
      <c r="C126" s="86">
        <f>IF(C111=0,"",SUM(C84:C88,C91:C95,C40))</f>
        <v>71019.509999999995</v>
      </c>
      <c r="D126" s="86">
        <f>IF(D111=0,"",SUM(D84:D88,D91:D95,D40))</f>
        <v>9978.52</v>
      </c>
      <c r="E126" s="86">
        <f>IF(E111=0,"",SUM(E84:E88,E91:E95,E40))</f>
        <v>-48412.929999999993</v>
      </c>
      <c r="F126" s="86">
        <f>IF(F111=0,"",SUM(F84:F88,F91:F95,F37,F40))</f>
        <v>92630.470000000016</v>
      </c>
      <c r="G126" s="86">
        <f>IF(G111=0,"",SUM(G84:G88,G91:G95,G37,G40))</f>
        <v>954384.42</v>
      </c>
      <c r="H126" s="86">
        <f t="shared" ref="H126:M126" si="36">IF(H111=0,"",SUM(H84:H88,H91:H95,H37,H40))</f>
        <v>1125641.3800000001</v>
      </c>
      <c r="I126" s="86">
        <f t="shared" si="36"/>
        <v>-32186.940000000017</v>
      </c>
      <c r="J126" s="86">
        <f t="shared" si="36"/>
        <v>138617.18</v>
      </c>
      <c r="K126" s="86">
        <f t="shared" si="36"/>
        <v>196227.69999999998</v>
      </c>
      <c r="L126" s="86">
        <f t="shared" si="36"/>
        <v>62194.46</v>
      </c>
      <c r="M126" s="86">
        <f t="shared" si="36"/>
        <v>197147.45</v>
      </c>
      <c r="N126" s="86">
        <f>IF(N111=0,"",SUM(N84:N88,N91:N95,N20,N37,N40))</f>
        <v>386674.15000000008</v>
      </c>
      <c r="O126" s="93">
        <f t="shared" si="33"/>
        <v>3153915.3700000006</v>
      </c>
      <c r="P126" s="62"/>
      <c r="Q126" s="62"/>
      <c r="R126" s="1"/>
    </row>
    <row r="127" spans="2:18" x14ac:dyDescent="0.25">
      <c r="B127" s="95" t="s">
        <v>167</v>
      </c>
      <c r="C127" s="96">
        <f>SUM(C123:C126)</f>
        <v>72542.829999999987</v>
      </c>
      <c r="D127" s="96">
        <f t="shared" ref="D127:O127" si="37">SUM(D123:D126)</f>
        <v>-12816.55</v>
      </c>
      <c r="E127" s="96">
        <f t="shared" si="37"/>
        <v>491030.53000000009</v>
      </c>
      <c r="F127" s="96">
        <f t="shared" si="37"/>
        <v>155414.31000000003</v>
      </c>
      <c r="G127" s="96">
        <f t="shared" si="37"/>
        <v>1081423.8</v>
      </c>
      <c r="H127" s="96">
        <f t="shared" si="37"/>
        <v>1333240.7400000002</v>
      </c>
      <c r="I127" s="96">
        <f t="shared" si="37"/>
        <v>88540.399999999965</v>
      </c>
      <c r="J127" s="96">
        <f t="shared" si="37"/>
        <v>87927.300000000017</v>
      </c>
      <c r="K127" s="96">
        <f t="shared" si="37"/>
        <v>212729.59</v>
      </c>
      <c r="L127" s="96">
        <f t="shared" si="37"/>
        <v>219651.58999999997</v>
      </c>
      <c r="M127" s="96">
        <f t="shared" si="37"/>
        <v>466464.39</v>
      </c>
      <c r="N127" s="96">
        <f t="shared" si="37"/>
        <v>482372.50000000012</v>
      </c>
      <c r="O127" s="96">
        <f t="shared" si="37"/>
        <v>4678521.4300000016</v>
      </c>
      <c r="P127" s="96">
        <f>P111</f>
        <v>4140440.3114771717</v>
      </c>
      <c r="Q127" s="109"/>
      <c r="R127" s="1"/>
    </row>
    <row r="128" spans="2:18" x14ac:dyDescent="0.25">
      <c r="B128" s="1"/>
      <c r="C128" s="1"/>
      <c r="D128" s="1"/>
      <c r="E128" s="1"/>
      <c r="F128" s="1"/>
      <c r="G128" s="1"/>
      <c r="H128" s="1"/>
      <c r="I128" s="1"/>
      <c r="J128" s="1"/>
      <c r="K128" s="1"/>
      <c r="L128" s="1"/>
      <c r="M128" s="1"/>
      <c r="N128" s="1"/>
      <c r="O128" s="1"/>
      <c r="P128" s="1"/>
      <c r="Q128" s="1"/>
      <c r="R128" s="1"/>
    </row>
    <row r="129" spans="2:18" x14ac:dyDescent="0.25">
      <c r="B129" s="2" t="s">
        <v>67</v>
      </c>
      <c r="C129" s="1"/>
      <c r="D129" s="1"/>
      <c r="E129" s="1"/>
      <c r="F129" s="1"/>
      <c r="G129" s="1"/>
      <c r="H129" s="1"/>
      <c r="I129" s="1"/>
      <c r="J129" s="1"/>
      <c r="K129" s="1"/>
      <c r="L129" s="1"/>
      <c r="M129" s="1"/>
      <c r="N129" s="1"/>
      <c r="O129" s="1"/>
      <c r="P129" s="1"/>
      <c r="Q129" s="1"/>
      <c r="R129" s="1"/>
    </row>
    <row r="130" spans="2:18" ht="39.75" customHeight="1" x14ac:dyDescent="0.25">
      <c r="B130" s="236" t="s">
        <v>168</v>
      </c>
      <c r="C130" s="236"/>
      <c r="D130" s="236"/>
      <c r="E130" s="236"/>
      <c r="F130" s="236"/>
      <c r="G130" s="236"/>
      <c r="H130" s="236"/>
      <c r="I130" s="236"/>
      <c r="J130" s="236"/>
      <c r="K130" s="236"/>
      <c r="L130" s="236"/>
      <c r="M130" s="236"/>
      <c r="N130" s="236"/>
      <c r="O130" s="236"/>
      <c r="P130" s="236"/>
      <c r="Q130" s="236"/>
      <c r="R130" s="1"/>
    </row>
    <row r="131" spans="2:18" x14ac:dyDescent="0.25">
      <c r="B131" s="1" t="s">
        <v>169</v>
      </c>
      <c r="C131" s="1"/>
      <c r="D131" s="1"/>
      <c r="E131" s="1"/>
      <c r="F131" s="1"/>
      <c r="G131" s="1"/>
      <c r="H131" s="1"/>
      <c r="I131" s="1"/>
      <c r="J131" s="1"/>
      <c r="K131" s="1"/>
      <c r="L131" s="1"/>
      <c r="M131" s="1"/>
      <c r="N131" s="1"/>
      <c r="O131" s="1"/>
      <c r="P131" s="1"/>
      <c r="Q131" s="1"/>
      <c r="R131" s="1"/>
    </row>
    <row r="132" spans="2:18" x14ac:dyDescent="0.25">
      <c r="B132" s="1" t="s">
        <v>170</v>
      </c>
      <c r="C132" s="1"/>
      <c r="D132" s="1"/>
      <c r="E132" s="1"/>
      <c r="F132" s="1"/>
      <c r="G132" s="1"/>
      <c r="H132" s="1"/>
      <c r="I132" s="1"/>
      <c r="J132" s="1"/>
      <c r="K132" s="1"/>
      <c r="L132" s="1"/>
      <c r="M132" s="1"/>
      <c r="N132" s="1"/>
      <c r="O132" s="1"/>
      <c r="P132" s="1"/>
      <c r="Q132" s="1"/>
      <c r="R132" s="1"/>
    </row>
    <row r="133" spans="2:18" x14ac:dyDescent="0.25">
      <c r="B133" s="1" t="s">
        <v>171</v>
      </c>
      <c r="C133" s="1"/>
      <c r="D133" s="1"/>
      <c r="E133" s="1"/>
      <c r="F133" s="1"/>
      <c r="G133" s="1"/>
      <c r="H133" s="1"/>
      <c r="I133" s="1"/>
      <c r="J133" s="1"/>
      <c r="K133" s="1"/>
      <c r="L133" s="1"/>
      <c r="M133" s="1"/>
      <c r="N133" s="1"/>
      <c r="O133" s="1"/>
      <c r="P133" s="1"/>
      <c r="Q133" s="1"/>
      <c r="R133" s="1"/>
    </row>
    <row r="134" spans="2:18" x14ac:dyDescent="0.25">
      <c r="B134" s="1"/>
      <c r="C134" s="1"/>
      <c r="D134" s="1"/>
      <c r="E134" s="1"/>
      <c r="F134" s="1"/>
      <c r="G134" s="1"/>
      <c r="H134" s="1"/>
      <c r="I134" s="1"/>
      <c r="J134" s="1"/>
      <c r="K134" s="1"/>
      <c r="L134" s="1"/>
      <c r="M134" s="1"/>
      <c r="N134" s="1"/>
      <c r="O134" s="1"/>
      <c r="P134" s="1"/>
      <c r="Q134" s="1"/>
      <c r="R134" s="1"/>
    </row>
    <row r="135" spans="2:18" x14ac:dyDescent="0.25">
      <c r="B135" s="1"/>
      <c r="C135" s="1"/>
      <c r="D135" s="1"/>
      <c r="E135" s="1"/>
      <c r="F135" s="1"/>
      <c r="G135" s="1"/>
      <c r="H135" s="1"/>
      <c r="I135" s="1"/>
      <c r="J135" s="1"/>
      <c r="K135" s="1"/>
      <c r="L135" s="1"/>
      <c r="M135" s="1"/>
      <c r="N135" s="1"/>
      <c r="O135" s="1"/>
      <c r="P135" s="1"/>
      <c r="Q135" s="1"/>
      <c r="R135" s="1"/>
    </row>
    <row r="136" spans="2:18" x14ac:dyDescent="0.25">
      <c r="B136" s="1"/>
      <c r="C136" s="1"/>
      <c r="D136" s="1"/>
      <c r="E136" s="1"/>
      <c r="F136" s="1"/>
      <c r="G136" s="1"/>
      <c r="H136" s="1"/>
      <c r="I136" s="1"/>
      <c r="J136" s="1"/>
      <c r="K136" s="1"/>
      <c r="L136" s="1"/>
      <c r="M136" s="1"/>
      <c r="N136" s="1"/>
      <c r="O136" s="1"/>
      <c r="P136" s="1"/>
      <c r="Q136" s="1"/>
      <c r="R136" s="1"/>
    </row>
    <row r="137" spans="2:18" x14ac:dyDescent="0.25">
      <c r="B137" s="1"/>
      <c r="C137" s="1"/>
      <c r="D137" s="1"/>
      <c r="E137" s="1"/>
      <c r="F137" s="1"/>
      <c r="G137" s="1"/>
      <c r="H137" s="1"/>
      <c r="I137" s="1"/>
      <c r="J137" s="1"/>
      <c r="K137" s="1"/>
      <c r="L137" s="1"/>
      <c r="M137" s="1"/>
      <c r="N137" s="1"/>
      <c r="O137" s="1"/>
      <c r="P137" s="1"/>
      <c r="Q137" s="1"/>
      <c r="R137" s="1"/>
    </row>
    <row r="138" spans="2:18" x14ac:dyDescent="0.25">
      <c r="B138" s="1"/>
      <c r="C138" s="1"/>
      <c r="D138" s="1"/>
      <c r="E138" s="1"/>
      <c r="F138" s="1"/>
      <c r="G138" s="1"/>
      <c r="H138" s="1"/>
      <c r="I138" s="1"/>
      <c r="J138" s="1"/>
      <c r="K138" s="1"/>
      <c r="L138" s="1"/>
      <c r="M138" s="1"/>
      <c r="N138" s="1"/>
      <c r="O138" s="1"/>
      <c r="P138" s="1"/>
      <c r="Q138" s="1"/>
      <c r="R138" s="1"/>
    </row>
    <row r="139" spans="2:18" x14ac:dyDescent="0.25">
      <c r="B139" s="1"/>
      <c r="C139" s="1"/>
      <c r="D139" s="1"/>
      <c r="E139" s="1"/>
      <c r="F139" s="1"/>
      <c r="G139" s="1"/>
      <c r="H139" s="1"/>
      <c r="I139" s="1"/>
      <c r="J139" s="1"/>
      <c r="K139" s="1"/>
      <c r="L139" s="1"/>
      <c r="M139" s="1"/>
      <c r="N139" s="1"/>
      <c r="O139" s="1"/>
      <c r="P139" s="1"/>
      <c r="Q139" s="1"/>
      <c r="R139" s="1"/>
    </row>
    <row r="140" spans="2:18" x14ac:dyDescent="0.25">
      <c r="B140" s="1"/>
      <c r="C140" s="1"/>
      <c r="D140" s="1"/>
      <c r="E140" s="1"/>
      <c r="F140" s="1"/>
      <c r="G140" s="1"/>
      <c r="H140" s="1"/>
      <c r="I140" s="1"/>
      <c r="J140" s="1"/>
      <c r="K140" s="1"/>
      <c r="L140" s="1"/>
      <c r="M140" s="1"/>
      <c r="N140" s="1"/>
      <c r="O140" s="1"/>
      <c r="P140" s="1"/>
      <c r="Q140" s="1"/>
      <c r="R140" s="1"/>
    </row>
    <row r="141" spans="2:18" x14ac:dyDescent="0.25">
      <c r="B141" s="1"/>
      <c r="C141" s="1"/>
      <c r="D141" s="1"/>
      <c r="E141" s="1"/>
      <c r="F141" s="1"/>
      <c r="G141" s="1"/>
      <c r="H141" s="1"/>
      <c r="I141" s="1"/>
      <c r="J141" s="1"/>
      <c r="K141" s="1"/>
      <c r="L141" s="1"/>
      <c r="M141" s="1"/>
      <c r="N141" s="1"/>
      <c r="O141" s="1"/>
      <c r="P141" s="1"/>
      <c r="Q141" s="1"/>
      <c r="R141" s="1"/>
    </row>
    <row r="142" spans="2:18" x14ac:dyDescent="0.25">
      <c r="B142" s="1"/>
      <c r="C142" s="1"/>
      <c r="D142" s="1"/>
      <c r="E142" s="1"/>
      <c r="F142" s="1"/>
      <c r="G142" s="1"/>
      <c r="H142" s="1"/>
      <c r="I142" s="1"/>
      <c r="J142" s="1"/>
      <c r="K142" s="1"/>
      <c r="L142" s="1"/>
      <c r="M142" s="1"/>
      <c r="N142" s="1"/>
      <c r="O142" s="1"/>
      <c r="P142" s="1"/>
      <c r="Q142" s="1"/>
      <c r="R142" s="1"/>
    </row>
    <row r="143" spans="2:18" x14ac:dyDescent="0.25">
      <c r="B143" s="1"/>
      <c r="C143" s="1"/>
      <c r="D143" s="1"/>
      <c r="E143" s="1"/>
      <c r="F143" s="1"/>
      <c r="G143" s="1"/>
      <c r="H143" s="1"/>
      <c r="I143" s="1"/>
      <c r="J143" s="1"/>
      <c r="K143" s="1"/>
      <c r="L143" s="1"/>
      <c r="M143" s="1"/>
      <c r="N143" s="1"/>
      <c r="O143" s="1"/>
      <c r="P143" s="1"/>
      <c r="Q143" s="1"/>
      <c r="R143" s="1"/>
    </row>
    <row r="144" spans="2:18" x14ac:dyDescent="0.25">
      <c r="B144" s="1"/>
      <c r="C144" s="1"/>
      <c r="D144" s="1"/>
      <c r="E144" s="1"/>
      <c r="F144" s="1"/>
      <c r="G144" s="1"/>
      <c r="H144" s="1"/>
      <c r="I144" s="1"/>
      <c r="J144" s="1"/>
      <c r="K144" s="1"/>
      <c r="L144" s="1"/>
      <c r="M144" s="1"/>
      <c r="N144" s="1"/>
      <c r="O144" s="1"/>
      <c r="P144" s="1"/>
      <c r="Q144" s="1"/>
      <c r="R144" s="1"/>
    </row>
    <row r="145" spans="2:18" x14ac:dyDescent="0.25">
      <c r="B145" s="1"/>
      <c r="C145" s="1"/>
      <c r="D145" s="1"/>
      <c r="E145" s="1"/>
      <c r="F145" s="1"/>
      <c r="G145" s="1"/>
      <c r="H145" s="1"/>
      <c r="I145" s="1"/>
      <c r="J145" s="1"/>
      <c r="K145" s="1"/>
      <c r="L145" s="1"/>
      <c r="M145" s="1"/>
      <c r="N145" s="1"/>
      <c r="O145" s="1"/>
      <c r="P145" s="1"/>
      <c r="Q145" s="1"/>
      <c r="R145" s="1"/>
    </row>
    <row r="146" spans="2:18" x14ac:dyDescent="0.25">
      <c r="B146" s="1"/>
      <c r="C146" s="1"/>
      <c r="D146" s="1"/>
      <c r="E146" s="1"/>
      <c r="F146" s="1"/>
      <c r="G146" s="1"/>
      <c r="H146" s="1"/>
      <c r="I146" s="1"/>
      <c r="J146" s="1"/>
      <c r="K146" s="1"/>
      <c r="L146" s="1"/>
      <c r="M146" s="1"/>
      <c r="N146" s="1"/>
      <c r="O146" s="1"/>
      <c r="P146" s="1"/>
      <c r="Q146" s="1"/>
      <c r="R146" s="1"/>
    </row>
    <row r="147" spans="2:18" x14ac:dyDescent="0.25">
      <c r="B147" s="1"/>
      <c r="C147" s="1"/>
      <c r="D147" s="1"/>
      <c r="E147" s="1"/>
      <c r="F147" s="1"/>
      <c r="G147" s="1"/>
      <c r="H147" s="1"/>
      <c r="I147" s="1"/>
      <c r="J147" s="1"/>
      <c r="K147" s="1"/>
      <c r="L147" s="1"/>
      <c r="M147" s="1"/>
      <c r="N147" s="1"/>
      <c r="O147" s="1"/>
      <c r="P147" s="1"/>
      <c r="Q147" s="1"/>
      <c r="R147" s="1"/>
    </row>
    <row r="148" spans="2:18" x14ac:dyDescent="0.25">
      <c r="B148" s="1"/>
      <c r="C148" s="1"/>
      <c r="D148" s="1"/>
      <c r="E148" s="1"/>
      <c r="F148" s="1"/>
      <c r="G148" s="1"/>
      <c r="H148" s="1"/>
      <c r="I148" s="1"/>
      <c r="J148" s="1"/>
      <c r="K148" s="1"/>
      <c r="L148" s="1"/>
      <c r="M148" s="1"/>
      <c r="N148" s="1"/>
      <c r="O148" s="1"/>
      <c r="P148" s="1"/>
      <c r="Q148" s="1"/>
      <c r="R148" s="1"/>
    </row>
    <row r="149" spans="2:18" x14ac:dyDescent="0.25">
      <c r="B149" s="1"/>
      <c r="C149" s="1"/>
      <c r="D149" s="1"/>
      <c r="E149" s="1"/>
      <c r="F149" s="1"/>
      <c r="G149" s="1"/>
      <c r="H149" s="1"/>
      <c r="I149" s="1"/>
      <c r="J149" s="1"/>
      <c r="K149" s="1"/>
      <c r="L149" s="1"/>
      <c r="M149" s="1"/>
      <c r="N149" s="1"/>
      <c r="O149" s="1"/>
      <c r="P149" s="1"/>
      <c r="Q149" s="1"/>
      <c r="R149" s="1"/>
    </row>
    <row r="150" spans="2:18" x14ac:dyDescent="0.25">
      <c r="B150" s="1"/>
      <c r="C150" s="1"/>
      <c r="D150" s="1"/>
      <c r="E150" s="1"/>
      <c r="F150" s="1"/>
      <c r="G150" s="1"/>
      <c r="H150" s="1"/>
      <c r="I150" s="1"/>
      <c r="J150" s="1"/>
      <c r="K150" s="1"/>
      <c r="L150" s="1"/>
      <c r="M150" s="1"/>
      <c r="N150" s="1"/>
      <c r="O150" s="1"/>
      <c r="P150" s="1"/>
      <c r="Q150" s="1"/>
      <c r="R150" s="1"/>
    </row>
    <row r="151" spans="2:18" x14ac:dyDescent="0.25">
      <c r="B151" s="1"/>
      <c r="C151" s="1"/>
      <c r="D151" s="1"/>
      <c r="E151" s="1"/>
      <c r="F151" s="1"/>
      <c r="G151" s="1"/>
      <c r="H151" s="1"/>
      <c r="I151" s="1"/>
      <c r="J151" s="1"/>
      <c r="K151" s="1"/>
      <c r="L151" s="1"/>
      <c r="M151" s="1"/>
      <c r="N151" s="1"/>
      <c r="O151" s="1"/>
      <c r="P151" s="1"/>
      <c r="Q151" s="1"/>
      <c r="R151" s="1"/>
    </row>
    <row r="152" spans="2:18" x14ac:dyDescent="0.25">
      <c r="B152" s="1"/>
      <c r="C152" s="1"/>
      <c r="D152" s="1"/>
      <c r="E152" s="1"/>
      <c r="F152" s="1"/>
      <c r="G152" s="1"/>
      <c r="H152" s="1"/>
      <c r="I152" s="1"/>
      <c r="J152" s="1"/>
      <c r="K152" s="1"/>
      <c r="L152" s="1"/>
      <c r="M152" s="1"/>
      <c r="N152" s="1"/>
      <c r="O152" s="1"/>
      <c r="P152" s="1"/>
      <c r="Q152" s="1"/>
      <c r="R152" s="1"/>
    </row>
    <row r="153" spans="2:18" x14ac:dyDescent="0.25">
      <c r="B153" s="1"/>
      <c r="C153" s="1"/>
      <c r="D153" s="1"/>
      <c r="E153" s="1"/>
      <c r="F153" s="1"/>
      <c r="G153" s="1"/>
      <c r="H153" s="1"/>
      <c r="I153" s="1"/>
      <c r="J153" s="1"/>
      <c r="K153" s="1"/>
      <c r="L153" s="1"/>
      <c r="M153" s="1"/>
      <c r="N153" s="1"/>
      <c r="O153" s="1"/>
      <c r="P153" s="1"/>
      <c r="Q153" s="1"/>
      <c r="R153" s="1"/>
    </row>
    <row r="154" spans="2:18" x14ac:dyDescent="0.25">
      <c r="B154" s="1"/>
      <c r="C154" s="1"/>
      <c r="D154" s="1"/>
      <c r="E154" s="1"/>
      <c r="F154" s="1"/>
      <c r="G154" s="1"/>
      <c r="H154" s="1"/>
      <c r="I154" s="1"/>
      <c r="J154" s="1"/>
      <c r="K154" s="1"/>
      <c r="L154" s="1"/>
      <c r="M154" s="1"/>
      <c r="N154" s="1"/>
      <c r="O154" s="1"/>
      <c r="P154" s="1"/>
      <c r="Q154" s="1"/>
      <c r="R154" s="1"/>
    </row>
    <row r="155" spans="2:18" x14ac:dyDescent="0.25">
      <c r="B155" s="1"/>
      <c r="C155" s="1"/>
      <c r="D155" s="1"/>
      <c r="E155" s="1"/>
      <c r="F155" s="1"/>
      <c r="G155" s="1"/>
      <c r="H155" s="1"/>
      <c r="I155" s="1"/>
      <c r="J155" s="1"/>
      <c r="K155" s="1"/>
      <c r="L155" s="1"/>
      <c r="M155" s="1"/>
      <c r="N155" s="1"/>
      <c r="O155" s="1"/>
      <c r="P155" s="1"/>
      <c r="Q155" s="1"/>
      <c r="R155" s="1"/>
    </row>
    <row r="156" spans="2:18" x14ac:dyDescent="0.25">
      <c r="B156" s="1"/>
      <c r="C156" s="1"/>
      <c r="D156" s="1"/>
      <c r="E156" s="1"/>
      <c r="F156" s="1"/>
      <c r="G156" s="1"/>
      <c r="H156" s="1"/>
      <c r="I156" s="1"/>
      <c r="J156" s="1"/>
      <c r="K156" s="1"/>
      <c r="L156" s="1"/>
      <c r="M156" s="1"/>
      <c r="N156" s="1"/>
      <c r="O156" s="1"/>
      <c r="P156" s="1"/>
      <c r="Q156" s="1"/>
      <c r="R156" s="1"/>
    </row>
    <row r="157" spans="2:18" x14ac:dyDescent="0.25">
      <c r="B157" s="1"/>
      <c r="C157" s="1"/>
      <c r="D157" s="1"/>
      <c r="E157" s="1"/>
      <c r="F157" s="1"/>
      <c r="G157" s="1"/>
      <c r="H157" s="1"/>
      <c r="I157" s="1"/>
      <c r="J157" s="1"/>
      <c r="K157" s="1"/>
      <c r="L157" s="1"/>
      <c r="M157" s="1"/>
      <c r="N157" s="1"/>
      <c r="O157" s="1"/>
      <c r="P157" s="1"/>
      <c r="Q157" s="1"/>
      <c r="R157" s="1"/>
    </row>
    <row r="158" spans="2:18" x14ac:dyDescent="0.25">
      <c r="B158" s="1"/>
      <c r="C158" s="1"/>
      <c r="D158" s="1"/>
      <c r="E158" s="1"/>
      <c r="F158" s="1"/>
      <c r="G158" s="1"/>
      <c r="H158" s="1"/>
      <c r="I158" s="1"/>
      <c r="J158" s="1"/>
      <c r="K158" s="1"/>
      <c r="L158" s="1"/>
      <c r="M158" s="1"/>
      <c r="N158" s="1"/>
      <c r="O158" s="1"/>
      <c r="P158" s="1"/>
      <c r="Q158" s="1"/>
      <c r="R158" s="1"/>
    </row>
    <row r="159" spans="2:18" x14ac:dyDescent="0.25">
      <c r="B159" s="1"/>
      <c r="C159" s="1"/>
      <c r="D159" s="1"/>
      <c r="E159" s="1"/>
      <c r="F159" s="1"/>
      <c r="G159" s="1"/>
      <c r="H159" s="1"/>
      <c r="I159" s="1"/>
      <c r="J159" s="1"/>
      <c r="K159" s="1"/>
      <c r="L159" s="1"/>
      <c r="M159" s="1"/>
      <c r="N159" s="1"/>
      <c r="O159" s="1"/>
      <c r="P159" s="1"/>
      <c r="Q159" s="1"/>
      <c r="R159" s="1"/>
    </row>
    <row r="160" spans="2:18" x14ac:dyDescent="0.25">
      <c r="B160" s="1"/>
      <c r="C160" s="1"/>
      <c r="D160" s="1"/>
      <c r="E160" s="1"/>
      <c r="F160" s="1"/>
      <c r="G160" s="1"/>
      <c r="H160" s="1"/>
      <c r="I160" s="1"/>
      <c r="J160" s="1"/>
      <c r="K160" s="1"/>
      <c r="L160" s="1"/>
      <c r="M160" s="1"/>
      <c r="N160" s="1"/>
      <c r="O160" s="1"/>
      <c r="P160" s="1"/>
      <c r="Q160" s="1"/>
      <c r="R160" s="1"/>
    </row>
    <row r="161" spans="2:18" x14ac:dyDescent="0.25">
      <c r="B161" s="1"/>
      <c r="C161" s="1"/>
      <c r="D161" s="1"/>
      <c r="E161" s="1"/>
      <c r="F161" s="1"/>
      <c r="G161" s="1"/>
      <c r="H161" s="1"/>
      <c r="I161" s="1"/>
      <c r="J161" s="1"/>
      <c r="K161" s="1"/>
      <c r="L161" s="1"/>
      <c r="M161" s="1"/>
      <c r="N161" s="1"/>
      <c r="O161" s="1"/>
      <c r="P161" s="1"/>
      <c r="Q161" s="1"/>
      <c r="R161" s="1"/>
    </row>
    <row r="162" spans="2:18" x14ac:dyDescent="0.25">
      <c r="B162" s="1"/>
      <c r="C162" s="1"/>
      <c r="D162" s="1"/>
      <c r="E162" s="1"/>
      <c r="F162" s="1"/>
      <c r="G162" s="1"/>
      <c r="H162" s="1"/>
      <c r="I162" s="1"/>
      <c r="J162" s="1"/>
      <c r="K162" s="1"/>
      <c r="L162" s="1"/>
      <c r="M162" s="1"/>
      <c r="N162" s="1"/>
      <c r="O162" s="1"/>
      <c r="P162" s="1"/>
      <c r="Q162" s="1"/>
      <c r="R162" s="1"/>
    </row>
    <row r="163" spans="2:18" x14ac:dyDescent="0.25">
      <c r="B163" s="1"/>
      <c r="C163" s="1"/>
      <c r="D163" s="1"/>
      <c r="E163" s="1"/>
      <c r="F163" s="1"/>
      <c r="G163" s="1"/>
      <c r="H163" s="1"/>
      <c r="I163" s="1"/>
      <c r="J163" s="1"/>
      <c r="K163" s="1"/>
      <c r="L163" s="1"/>
      <c r="M163" s="1"/>
      <c r="N163" s="1"/>
      <c r="O163" s="1"/>
      <c r="P163" s="1"/>
      <c r="Q163" s="1"/>
      <c r="R163" s="1"/>
    </row>
    <row r="164" spans="2:18" x14ac:dyDescent="0.25">
      <c r="B164" s="1"/>
      <c r="C164" s="1"/>
      <c r="D164" s="1"/>
      <c r="E164" s="1"/>
      <c r="F164" s="1"/>
      <c r="G164" s="1"/>
      <c r="H164" s="1"/>
      <c r="I164" s="1"/>
      <c r="J164" s="1"/>
      <c r="K164" s="1"/>
      <c r="L164" s="1"/>
      <c r="M164" s="1"/>
      <c r="N164" s="1"/>
      <c r="O164" s="1"/>
      <c r="P164" s="1"/>
      <c r="Q164" s="1"/>
      <c r="R164" s="1"/>
    </row>
    <row r="165" spans="2:18" x14ac:dyDescent="0.25">
      <c r="B165" s="1"/>
      <c r="C165" s="1"/>
      <c r="D165" s="1"/>
      <c r="E165" s="1"/>
      <c r="F165" s="1"/>
      <c r="G165" s="1"/>
      <c r="H165" s="1"/>
      <c r="I165" s="1"/>
      <c r="J165" s="1"/>
      <c r="K165" s="1"/>
      <c r="L165" s="1"/>
      <c r="M165" s="1"/>
      <c r="N165" s="1"/>
      <c r="O165" s="1"/>
      <c r="P165" s="1"/>
      <c r="Q165" s="1"/>
      <c r="R165" s="1"/>
    </row>
    <row r="166" spans="2:18" x14ac:dyDescent="0.25">
      <c r="B166" s="1"/>
      <c r="C166" s="1"/>
      <c r="D166" s="1"/>
      <c r="E166" s="1"/>
      <c r="F166" s="1"/>
      <c r="G166" s="1"/>
      <c r="H166" s="1"/>
      <c r="I166" s="1"/>
      <c r="J166" s="1"/>
      <c r="K166" s="1"/>
      <c r="L166" s="1"/>
      <c r="M166" s="1"/>
      <c r="N166" s="1"/>
      <c r="O166" s="1"/>
      <c r="P166" s="1"/>
      <c r="Q166" s="1"/>
      <c r="R166" s="1"/>
    </row>
    <row r="167" spans="2:18" x14ac:dyDescent="0.25">
      <c r="B167" s="1"/>
      <c r="C167" s="1"/>
      <c r="D167" s="1"/>
      <c r="E167" s="1"/>
      <c r="F167" s="1"/>
      <c r="G167" s="1"/>
      <c r="H167" s="1"/>
      <c r="I167" s="1"/>
      <c r="J167" s="1"/>
      <c r="K167" s="1"/>
      <c r="L167" s="1"/>
      <c r="M167" s="1"/>
      <c r="N167" s="1"/>
      <c r="O167" s="1"/>
      <c r="P167" s="1"/>
      <c r="Q167" s="1"/>
      <c r="R167" s="1"/>
    </row>
    <row r="168" spans="2:18" x14ac:dyDescent="0.25">
      <c r="B168" s="1"/>
      <c r="C168" s="1"/>
      <c r="D168" s="1"/>
      <c r="E168" s="1"/>
      <c r="F168" s="1"/>
      <c r="G168" s="1"/>
      <c r="H168" s="1"/>
      <c r="I168" s="1"/>
      <c r="J168" s="1"/>
      <c r="K168" s="1"/>
      <c r="L168" s="1"/>
      <c r="M168" s="1"/>
      <c r="N168" s="1"/>
      <c r="O168" s="1"/>
      <c r="P168" s="1"/>
      <c r="Q168" s="1"/>
      <c r="R168" s="1"/>
    </row>
    <row r="169" spans="2:18" x14ac:dyDescent="0.25">
      <c r="B169" s="1"/>
      <c r="C169" s="1"/>
      <c r="D169" s="1"/>
      <c r="E169" s="1"/>
      <c r="F169" s="1"/>
      <c r="G169" s="1"/>
      <c r="H169" s="1"/>
      <c r="I169" s="1"/>
      <c r="J169" s="1"/>
      <c r="K169" s="1"/>
      <c r="L169" s="1"/>
      <c r="M169" s="1"/>
      <c r="N169" s="1"/>
      <c r="O169" s="1"/>
      <c r="P169" s="1"/>
      <c r="Q169" s="1"/>
      <c r="R169" s="1"/>
    </row>
    <row r="170" spans="2:18" x14ac:dyDescent="0.25">
      <c r="B170" s="1"/>
      <c r="C170" s="1"/>
      <c r="D170" s="1"/>
      <c r="E170" s="1"/>
      <c r="F170" s="1"/>
      <c r="G170" s="1"/>
      <c r="H170" s="1"/>
      <c r="I170" s="1"/>
      <c r="J170" s="1"/>
      <c r="K170" s="1"/>
      <c r="L170" s="1"/>
      <c r="M170" s="1"/>
      <c r="N170" s="1"/>
      <c r="O170" s="1"/>
      <c r="P170" s="1"/>
      <c r="Q170" s="1"/>
      <c r="R170" s="1"/>
    </row>
    <row r="171" spans="2:18" x14ac:dyDescent="0.25">
      <c r="B171" s="1"/>
      <c r="C171" s="1"/>
      <c r="D171" s="1"/>
      <c r="E171" s="1"/>
      <c r="F171" s="1"/>
      <c r="G171" s="1"/>
      <c r="H171" s="1"/>
      <c r="I171" s="1"/>
      <c r="J171" s="1"/>
      <c r="K171" s="1"/>
      <c r="L171" s="1"/>
      <c r="M171" s="1"/>
      <c r="N171" s="1"/>
      <c r="O171" s="1"/>
      <c r="P171" s="1"/>
      <c r="Q171" s="1"/>
      <c r="R171" s="1"/>
    </row>
    <row r="172" spans="2:18" x14ac:dyDescent="0.25">
      <c r="B172" s="1"/>
      <c r="C172" s="1"/>
      <c r="D172" s="1"/>
      <c r="E172" s="1"/>
      <c r="F172" s="1"/>
      <c r="G172" s="1"/>
      <c r="H172" s="1"/>
      <c r="I172" s="1"/>
      <c r="J172" s="1"/>
      <c r="K172" s="1"/>
      <c r="L172" s="1"/>
      <c r="M172" s="1"/>
      <c r="N172" s="1"/>
      <c r="O172" s="1"/>
      <c r="P172" s="1"/>
      <c r="Q172" s="1"/>
      <c r="R172" s="1"/>
    </row>
    <row r="173" spans="2:18" x14ac:dyDescent="0.25">
      <c r="B173" s="1"/>
      <c r="C173" s="1"/>
      <c r="D173" s="1"/>
      <c r="E173" s="1"/>
      <c r="F173" s="1"/>
      <c r="G173" s="1"/>
      <c r="H173" s="1"/>
      <c r="I173" s="1"/>
      <c r="J173" s="1"/>
      <c r="K173" s="1"/>
      <c r="L173" s="1"/>
      <c r="M173" s="1"/>
      <c r="N173" s="1"/>
      <c r="O173" s="1"/>
      <c r="P173" s="1"/>
      <c r="Q173" s="1"/>
      <c r="R173" s="1"/>
    </row>
    <row r="174" spans="2:18" x14ac:dyDescent="0.25">
      <c r="B174" s="1"/>
      <c r="C174" s="1"/>
      <c r="D174" s="1"/>
      <c r="E174" s="1"/>
      <c r="F174" s="1"/>
      <c r="G174" s="1"/>
      <c r="H174" s="1"/>
      <c r="I174" s="1"/>
      <c r="J174" s="1"/>
      <c r="K174" s="1"/>
      <c r="L174" s="1"/>
      <c r="M174" s="1"/>
      <c r="N174" s="1"/>
      <c r="O174" s="1"/>
      <c r="P174" s="1"/>
      <c r="Q174" s="1"/>
      <c r="R174" s="1"/>
    </row>
    <row r="175" spans="2:18" x14ac:dyDescent="0.25">
      <c r="B175" s="1"/>
      <c r="C175" s="1"/>
      <c r="D175" s="1"/>
      <c r="E175" s="1"/>
      <c r="F175" s="1"/>
      <c r="G175" s="1"/>
      <c r="H175" s="1"/>
      <c r="I175" s="1"/>
      <c r="J175" s="1"/>
      <c r="K175" s="1"/>
      <c r="L175" s="1"/>
      <c r="M175" s="1"/>
      <c r="N175" s="1"/>
      <c r="O175" s="1"/>
      <c r="P175" s="1"/>
      <c r="Q175" s="1"/>
      <c r="R175" s="1"/>
    </row>
    <row r="176" spans="2:18" x14ac:dyDescent="0.25">
      <c r="B176" s="1"/>
      <c r="C176" s="1"/>
      <c r="D176" s="1"/>
      <c r="E176" s="1"/>
      <c r="F176" s="1"/>
      <c r="G176" s="1"/>
      <c r="H176" s="1"/>
      <c r="I176" s="1"/>
      <c r="J176" s="1"/>
      <c r="K176" s="1"/>
      <c r="L176" s="1"/>
      <c r="M176" s="1"/>
      <c r="N176" s="1"/>
      <c r="O176" s="1"/>
      <c r="P176" s="1"/>
      <c r="Q176" s="1"/>
      <c r="R176" s="1"/>
    </row>
    <row r="177" spans="2:18" x14ac:dyDescent="0.25">
      <c r="B177" s="1"/>
      <c r="C177" s="1"/>
      <c r="D177" s="1"/>
      <c r="E177" s="1"/>
      <c r="F177" s="1"/>
      <c r="G177" s="1"/>
      <c r="H177" s="1"/>
      <c r="I177" s="1"/>
      <c r="J177" s="1"/>
      <c r="K177" s="1"/>
      <c r="L177" s="1"/>
      <c r="M177" s="1"/>
      <c r="N177" s="1"/>
      <c r="O177" s="1"/>
      <c r="P177" s="1"/>
      <c r="Q177" s="1"/>
      <c r="R177" s="1"/>
    </row>
    <row r="178" spans="2:18" x14ac:dyDescent="0.25">
      <c r="B178" s="1"/>
      <c r="C178" s="1"/>
      <c r="D178" s="1"/>
      <c r="E178" s="1"/>
      <c r="F178" s="1"/>
      <c r="G178" s="1"/>
      <c r="H178" s="1"/>
      <c r="I178" s="1"/>
      <c r="J178" s="1"/>
      <c r="K178" s="1"/>
      <c r="L178" s="1"/>
      <c r="M178" s="1"/>
      <c r="N178" s="1"/>
      <c r="O178" s="1"/>
      <c r="P178" s="1"/>
      <c r="Q178" s="1"/>
      <c r="R178" s="1"/>
    </row>
    <row r="179" spans="2:18" x14ac:dyDescent="0.25">
      <c r="B179" s="1"/>
      <c r="C179" s="1"/>
      <c r="D179" s="1"/>
      <c r="E179" s="1"/>
      <c r="F179" s="1"/>
      <c r="G179" s="1"/>
      <c r="H179" s="1"/>
      <c r="I179" s="1"/>
      <c r="J179" s="1"/>
      <c r="K179" s="1"/>
      <c r="L179" s="1"/>
      <c r="M179" s="1"/>
      <c r="N179" s="1"/>
      <c r="O179" s="1"/>
      <c r="P179" s="1"/>
      <c r="Q179" s="1"/>
      <c r="R179" s="1"/>
    </row>
    <row r="180" spans="2:18" x14ac:dyDescent="0.25">
      <c r="B180" s="1"/>
      <c r="C180" s="1"/>
      <c r="D180" s="1"/>
      <c r="E180" s="1"/>
      <c r="F180" s="1"/>
      <c r="G180" s="1"/>
      <c r="H180" s="1"/>
      <c r="I180" s="1"/>
      <c r="J180" s="1"/>
      <c r="K180" s="1"/>
      <c r="L180" s="1"/>
      <c r="M180" s="1"/>
      <c r="N180" s="1"/>
      <c r="O180" s="1"/>
      <c r="P180" s="1"/>
      <c r="Q180" s="1"/>
      <c r="R180" s="1"/>
    </row>
    <row r="181" spans="2:18" x14ac:dyDescent="0.25">
      <c r="B181" s="1"/>
      <c r="C181" s="1"/>
      <c r="D181" s="1"/>
      <c r="E181" s="1"/>
      <c r="F181" s="1"/>
      <c r="G181" s="1"/>
      <c r="H181" s="1"/>
      <c r="I181" s="1"/>
      <c r="J181" s="1"/>
      <c r="K181" s="1"/>
      <c r="L181" s="1"/>
      <c r="M181" s="1"/>
      <c r="N181" s="1"/>
      <c r="O181" s="1"/>
      <c r="P181" s="1"/>
      <c r="Q181" s="1"/>
      <c r="R181" s="1"/>
    </row>
    <row r="182" spans="2:18" x14ac:dyDescent="0.25">
      <c r="B182" s="1"/>
      <c r="C182" s="1"/>
      <c r="D182" s="1"/>
      <c r="E182" s="1"/>
      <c r="F182" s="1"/>
      <c r="G182" s="1"/>
      <c r="H182" s="1"/>
      <c r="I182" s="1"/>
      <c r="J182" s="1"/>
      <c r="K182" s="1"/>
      <c r="L182" s="1"/>
      <c r="M182" s="1"/>
      <c r="N182" s="1"/>
      <c r="O182" s="1"/>
      <c r="P182" s="1"/>
      <c r="Q182" s="1"/>
      <c r="R182" s="1"/>
    </row>
    <row r="183" spans="2:18" x14ac:dyDescent="0.25">
      <c r="B183" s="1"/>
      <c r="C183" s="1"/>
      <c r="D183" s="1"/>
      <c r="E183" s="1"/>
      <c r="F183" s="1"/>
      <c r="G183" s="1"/>
      <c r="H183" s="1"/>
      <c r="I183" s="1"/>
      <c r="J183" s="1"/>
      <c r="K183" s="1"/>
      <c r="L183" s="1"/>
      <c r="M183" s="1"/>
      <c r="N183" s="1"/>
      <c r="O183" s="1"/>
      <c r="P183" s="1"/>
      <c r="Q183" s="1"/>
      <c r="R183" s="1"/>
    </row>
    <row r="184" spans="2:18" x14ac:dyDescent="0.25">
      <c r="B184" s="1"/>
      <c r="C184" s="1"/>
      <c r="D184" s="1"/>
      <c r="E184" s="1"/>
      <c r="F184" s="1"/>
      <c r="G184" s="1"/>
      <c r="H184" s="1"/>
      <c r="I184" s="1"/>
      <c r="J184" s="1"/>
      <c r="K184" s="1"/>
      <c r="L184" s="1"/>
      <c r="M184" s="1"/>
      <c r="N184" s="1"/>
      <c r="O184" s="1"/>
      <c r="P184" s="1"/>
      <c r="Q184" s="1"/>
      <c r="R184" s="1"/>
    </row>
    <row r="185" spans="2:18" x14ac:dyDescent="0.25">
      <c r="B185" s="1"/>
      <c r="C185" s="1"/>
      <c r="D185" s="1"/>
      <c r="E185" s="1"/>
      <c r="F185" s="1"/>
      <c r="G185" s="1"/>
      <c r="H185" s="1"/>
      <c r="I185" s="1"/>
      <c r="J185" s="1"/>
      <c r="K185" s="1"/>
      <c r="L185" s="1"/>
      <c r="M185" s="1"/>
      <c r="N185" s="1"/>
      <c r="O185" s="1"/>
      <c r="P185" s="1"/>
      <c r="Q185" s="1"/>
      <c r="R185" s="1"/>
    </row>
    <row r="186" spans="2:18" x14ac:dyDescent="0.25">
      <c r="B186" s="1"/>
      <c r="C186" s="1"/>
      <c r="D186" s="1"/>
      <c r="E186" s="1"/>
      <c r="F186" s="1"/>
      <c r="G186" s="1"/>
      <c r="H186" s="1"/>
      <c r="I186" s="1"/>
      <c r="J186" s="1"/>
      <c r="K186" s="1"/>
      <c r="L186" s="1"/>
      <c r="M186" s="1"/>
      <c r="N186" s="1"/>
      <c r="O186" s="1"/>
      <c r="P186" s="1"/>
      <c r="Q186" s="1"/>
      <c r="R186" s="1"/>
    </row>
    <row r="187" spans="2:18" x14ac:dyDescent="0.25">
      <c r="B187" s="1"/>
      <c r="C187" s="1"/>
      <c r="D187" s="1"/>
      <c r="E187" s="1"/>
      <c r="F187" s="1"/>
      <c r="G187" s="1"/>
      <c r="H187" s="1"/>
      <c r="I187" s="1"/>
      <c r="J187" s="1"/>
      <c r="K187" s="1"/>
      <c r="L187" s="1"/>
      <c r="M187" s="1"/>
      <c r="N187" s="1"/>
      <c r="O187" s="1"/>
      <c r="P187" s="1"/>
      <c r="Q187" s="1"/>
      <c r="R187" s="1"/>
    </row>
    <row r="188" spans="2:18" x14ac:dyDescent="0.25">
      <c r="B188" s="1"/>
      <c r="C188" s="1"/>
      <c r="D188" s="1"/>
      <c r="E188" s="1"/>
      <c r="F188" s="1"/>
      <c r="G188" s="1"/>
      <c r="H188" s="1"/>
      <c r="I188" s="1"/>
      <c r="J188" s="1"/>
      <c r="K188" s="1"/>
      <c r="L188" s="1"/>
      <c r="M188" s="1"/>
      <c r="N188" s="1"/>
      <c r="O188" s="1"/>
      <c r="P188" s="1"/>
      <c r="Q188" s="1"/>
      <c r="R188" s="1"/>
    </row>
    <row r="189" spans="2:18" x14ac:dyDescent="0.25">
      <c r="B189" s="1"/>
      <c r="C189" s="1"/>
      <c r="D189" s="1"/>
      <c r="E189" s="1"/>
      <c r="F189" s="1"/>
      <c r="G189" s="1"/>
      <c r="H189" s="1"/>
      <c r="I189" s="1"/>
      <c r="J189" s="1"/>
      <c r="K189" s="1"/>
      <c r="L189" s="1"/>
      <c r="M189" s="1"/>
      <c r="N189" s="1"/>
      <c r="O189" s="1"/>
      <c r="P189" s="1"/>
      <c r="Q189" s="1"/>
      <c r="R189" s="1"/>
    </row>
    <row r="190" spans="2:18" x14ac:dyDescent="0.25">
      <c r="B190" s="1"/>
      <c r="C190" s="1"/>
      <c r="D190" s="1"/>
      <c r="E190" s="1"/>
      <c r="F190" s="1"/>
      <c r="G190" s="1"/>
      <c r="H190" s="1"/>
      <c r="I190" s="1"/>
      <c r="J190" s="1"/>
      <c r="K190" s="1"/>
      <c r="L190" s="1"/>
      <c r="M190" s="1"/>
      <c r="N190" s="1"/>
      <c r="O190" s="1"/>
      <c r="P190" s="1"/>
      <c r="Q190" s="1"/>
      <c r="R190" s="1"/>
    </row>
    <row r="191" spans="2:18" x14ac:dyDescent="0.25">
      <c r="B191" s="1"/>
      <c r="C191" s="1"/>
      <c r="D191" s="1"/>
      <c r="E191" s="1"/>
      <c r="F191" s="1"/>
      <c r="G191" s="1"/>
      <c r="H191" s="1"/>
      <c r="I191" s="1"/>
      <c r="J191" s="1"/>
      <c r="K191" s="1"/>
      <c r="L191" s="1"/>
      <c r="M191" s="1"/>
      <c r="N191" s="1"/>
      <c r="O191" s="1"/>
      <c r="P191" s="1"/>
      <c r="Q191" s="1"/>
      <c r="R191" s="1"/>
    </row>
    <row r="192" spans="2:18" x14ac:dyDescent="0.25">
      <c r="B192" s="1"/>
      <c r="C192" s="1"/>
      <c r="D192" s="1"/>
      <c r="E192" s="1"/>
      <c r="F192" s="1"/>
      <c r="G192" s="1"/>
      <c r="H192" s="1"/>
      <c r="I192" s="1"/>
      <c r="J192" s="1"/>
      <c r="K192" s="1"/>
      <c r="L192" s="1"/>
      <c r="M192" s="1"/>
      <c r="N192" s="1"/>
      <c r="O192" s="1"/>
      <c r="P192" s="1"/>
      <c r="Q192" s="1"/>
      <c r="R192" s="1"/>
    </row>
    <row r="193" spans="2:18" x14ac:dyDescent="0.25">
      <c r="B193" s="1"/>
      <c r="C193" s="1"/>
      <c r="D193" s="1"/>
      <c r="E193" s="1"/>
      <c r="F193" s="1"/>
      <c r="G193" s="1"/>
      <c r="H193" s="1"/>
      <c r="I193" s="1"/>
      <c r="J193" s="1"/>
      <c r="K193" s="1"/>
      <c r="L193" s="1"/>
      <c r="M193" s="1"/>
      <c r="N193" s="1"/>
      <c r="O193" s="1"/>
      <c r="P193" s="1"/>
      <c r="Q193" s="1"/>
      <c r="R193" s="1"/>
    </row>
    <row r="194" spans="2:18" x14ac:dyDescent="0.25">
      <c r="B194" s="1"/>
      <c r="C194" s="1"/>
      <c r="D194" s="1"/>
      <c r="E194" s="1"/>
      <c r="F194" s="1"/>
      <c r="G194" s="1"/>
      <c r="H194" s="1"/>
      <c r="I194" s="1"/>
      <c r="J194" s="1"/>
      <c r="K194" s="1"/>
      <c r="L194" s="1"/>
      <c r="M194" s="1"/>
      <c r="N194" s="1"/>
      <c r="O194" s="1"/>
      <c r="P194" s="1"/>
      <c r="Q194" s="1"/>
      <c r="R194" s="1"/>
    </row>
    <row r="195" spans="2:18" x14ac:dyDescent="0.25">
      <c r="B195" s="1"/>
      <c r="C195" s="1"/>
      <c r="D195" s="1"/>
      <c r="E195" s="1"/>
      <c r="F195" s="1"/>
      <c r="G195" s="1"/>
      <c r="H195" s="1"/>
      <c r="I195" s="1"/>
      <c r="J195" s="1"/>
      <c r="K195" s="1"/>
      <c r="L195" s="1"/>
      <c r="M195" s="1"/>
      <c r="N195" s="1"/>
      <c r="O195" s="1"/>
      <c r="P195" s="1"/>
      <c r="Q195" s="1"/>
      <c r="R195" s="1"/>
    </row>
    <row r="196" spans="2:18" x14ac:dyDescent="0.25">
      <c r="B196" s="1"/>
      <c r="C196" s="1"/>
      <c r="D196" s="1"/>
      <c r="E196" s="1"/>
      <c r="F196" s="1"/>
      <c r="G196" s="1"/>
      <c r="H196" s="1"/>
      <c r="I196" s="1"/>
      <c r="J196" s="1"/>
      <c r="K196" s="1"/>
      <c r="L196" s="1"/>
      <c r="M196" s="1"/>
      <c r="N196" s="1"/>
      <c r="O196" s="1"/>
      <c r="P196" s="1"/>
      <c r="Q196" s="1"/>
      <c r="R196" s="1"/>
    </row>
    <row r="197" spans="2:18" x14ac:dyDescent="0.25">
      <c r="B197" s="1"/>
      <c r="C197" s="1"/>
      <c r="D197" s="1"/>
      <c r="E197" s="1"/>
      <c r="F197" s="1"/>
      <c r="G197" s="1"/>
      <c r="H197" s="1"/>
      <c r="I197" s="1"/>
      <c r="J197" s="1"/>
      <c r="K197" s="1"/>
      <c r="L197" s="1"/>
      <c r="M197" s="1"/>
      <c r="N197" s="1"/>
      <c r="O197" s="1"/>
      <c r="P197" s="1"/>
      <c r="Q197" s="1"/>
      <c r="R197" s="1"/>
    </row>
    <row r="198" spans="2:18" x14ac:dyDescent="0.25">
      <c r="B198" s="1"/>
      <c r="C198" s="1"/>
      <c r="D198" s="1"/>
      <c r="E198" s="1"/>
      <c r="F198" s="1"/>
      <c r="G198" s="1"/>
      <c r="H198" s="1"/>
      <c r="I198" s="1"/>
      <c r="J198" s="1"/>
      <c r="K198" s="1"/>
      <c r="L198" s="1"/>
      <c r="M198" s="1"/>
      <c r="N198" s="1"/>
      <c r="O198" s="1"/>
      <c r="P198" s="1"/>
      <c r="Q198" s="1"/>
      <c r="R198" s="1"/>
    </row>
    <row r="199" spans="2:18" x14ac:dyDescent="0.25">
      <c r="B199" s="1"/>
      <c r="C199" s="1"/>
      <c r="D199" s="1"/>
      <c r="E199" s="1"/>
      <c r="F199" s="1"/>
      <c r="G199" s="1"/>
      <c r="H199" s="1"/>
      <c r="I199" s="1"/>
      <c r="J199" s="1"/>
      <c r="K199" s="1"/>
      <c r="L199" s="1"/>
      <c r="M199" s="1"/>
      <c r="N199" s="1"/>
      <c r="O199" s="1"/>
      <c r="P199" s="1"/>
      <c r="Q199" s="1"/>
      <c r="R199" s="1"/>
    </row>
    <row r="200" spans="2:18" x14ac:dyDescent="0.25">
      <c r="B200" s="1"/>
      <c r="C200" s="1"/>
      <c r="D200" s="1"/>
      <c r="E200" s="1"/>
      <c r="F200" s="1"/>
      <c r="G200" s="1"/>
      <c r="H200" s="1"/>
      <c r="I200" s="1"/>
      <c r="J200" s="1"/>
      <c r="K200" s="1"/>
      <c r="L200" s="1"/>
      <c r="M200" s="1"/>
      <c r="N200" s="1"/>
      <c r="O200" s="1"/>
      <c r="P200" s="1"/>
      <c r="Q200" s="1"/>
      <c r="R200" s="1"/>
    </row>
    <row r="201" spans="2:18" x14ac:dyDescent="0.25">
      <c r="B201" s="1"/>
      <c r="C201" s="1"/>
      <c r="D201" s="1"/>
      <c r="E201" s="1"/>
      <c r="F201" s="1"/>
      <c r="G201" s="1"/>
      <c r="H201" s="1"/>
      <c r="I201" s="1"/>
      <c r="J201" s="1"/>
      <c r="K201" s="1"/>
      <c r="L201" s="1"/>
      <c r="M201" s="1"/>
      <c r="N201" s="1"/>
      <c r="O201" s="1"/>
      <c r="P201" s="1"/>
      <c r="Q201" s="1"/>
      <c r="R201" s="1"/>
    </row>
    <row r="202" spans="2:18" x14ac:dyDescent="0.25">
      <c r="B202" s="1"/>
      <c r="C202" s="1"/>
      <c r="D202" s="1"/>
      <c r="E202" s="1"/>
      <c r="F202" s="1"/>
      <c r="G202" s="1"/>
      <c r="H202" s="1"/>
      <c r="I202" s="1"/>
      <c r="J202" s="1"/>
      <c r="K202" s="1"/>
      <c r="L202" s="1"/>
      <c r="M202" s="1"/>
      <c r="N202" s="1"/>
      <c r="O202" s="1"/>
      <c r="P202" s="1"/>
      <c r="Q202" s="1"/>
      <c r="R202" s="1"/>
    </row>
    <row r="203" spans="2:18" x14ac:dyDescent="0.25">
      <c r="B203" s="1"/>
      <c r="C203" s="1"/>
      <c r="D203" s="1"/>
      <c r="E203" s="1"/>
      <c r="F203" s="1"/>
      <c r="G203" s="1"/>
      <c r="H203" s="1"/>
      <c r="I203" s="1"/>
      <c r="J203" s="1"/>
      <c r="K203" s="1"/>
      <c r="L203" s="1"/>
      <c r="M203" s="1"/>
      <c r="N203" s="1"/>
      <c r="O203" s="1"/>
      <c r="P203" s="1"/>
      <c r="Q203" s="1"/>
      <c r="R203" s="1"/>
    </row>
    <row r="204" spans="2:18" x14ac:dyDescent="0.25">
      <c r="B204" s="1"/>
      <c r="C204" s="1"/>
      <c r="D204" s="1"/>
      <c r="E204" s="1"/>
      <c r="F204" s="1"/>
      <c r="G204" s="1"/>
      <c r="H204" s="1"/>
      <c r="I204" s="1"/>
      <c r="J204" s="1"/>
      <c r="K204" s="1"/>
      <c r="L204" s="1"/>
      <c r="M204" s="1"/>
      <c r="N204" s="1"/>
      <c r="O204" s="1"/>
      <c r="P204" s="1"/>
      <c r="Q204" s="1"/>
      <c r="R204" s="1"/>
    </row>
    <row r="205" spans="2:18" x14ac:dyDescent="0.25">
      <c r="B205" s="1"/>
      <c r="C205" s="1"/>
      <c r="D205" s="1"/>
      <c r="E205" s="1"/>
      <c r="F205" s="1"/>
      <c r="G205" s="1"/>
      <c r="H205" s="1"/>
      <c r="I205" s="1"/>
      <c r="J205" s="1"/>
      <c r="K205" s="1"/>
      <c r="L205" s="1"/>
      <c r="M205" s="1"/>
      <c r="N205" s="1"/>
      <c r="O205" s="1"/>
      <c r="P205" s="1"/>
      <c r="Q205" s="1"/>
      <c r="R205" s="1"/>
    </row>
    <row r="206" spans="2:18" x14ac:dyDescent="0.25">
      <c r="B206" s="1"/>
      <c r="C206" s="1"/>
      <c r="D206" s="1"/>
      <c r="E206" s="1"/>
      <c r="F206" s="1"/>
      <c r="G206" s="1"/>
      <c r="H206" s="1"/>
      <c r="I206" s="1"/>
      <c r="J206" s="1"/>
      <c r="K206" s="1"/>
      <c r="L206" s="1"/>
      <c r="M206" s="1"/>
      <c r="N206" s="1"/>
      <c r="O206" s="1"/>
      <c r="P206" s="1"/>
      <c r="Q206" s="1"/>
      <c r="R206" s="1"/>
    </row>
    <row r="207" spans="2:18" x14ac:dyDescent="0.25">
      <c r="B207" s="1"/>
      <c r="C207" s="1"/>
      <c r="D207" s="1"/>
      <c r="E207" s="1"/>
      <c r="F207" s="1"/>
      <c r="G207" s="1"/>
      <c r="H207" s="1"/>
      <c r="I207" s="1"/>
      <c r="J207" s="1"/>
      <c r="K207" s="1"/>
      <c r="L207" s="1"/>
      <c r="M207" s="1"/>
      <c r="N207" s="1"/>
      <c r="O207" s="1"/>
      <c r="P207" s="1"/>
      <c r="Q207" s="1"/>
      <c r="R207" s="1"/>
    </row>
    <row r="208" spans="2:18" x14ac:dyDescent="0.25">
      <c r="B208" s="1"/>
      <c r="C208" s="1"/>
      <c r="D208" s="1"/>
      <c r="E208" s="1"/>
      <c r="F208" s="1"/>
      <c r="G208" s="1"/>
      <c r="H208" s="1"/>
      <c r="I208" s="1"/>
      <c r="J208" s="1"/>
      <c r="K208" s="1"/>
      <c r="L208" s="1"/>
      <c r="M208" s="1"/>
      <c r="N208" s="1"/>
      <c r="O208" s="1"/>
      <c r="P208" s="1"/>
      <c r="Q208" s="1"/>
      <c r="R208" s="1"/>
    </row>
    <row r="209" spans="2:18" x14ac:dyDescent="0.25">
      <c r="B209" s="1"/>
      <c r="C209" s="1"/>
      <c r="D209" s="1"/>
      <c r="E209" s="1"/>
      <c r="F209" s="1"/>
      <c r="G209" s="1"/>
      <c r="H209" s="1"/>
      <c r="I209" s="1"/>
      <c r="J209" s="1"/>
      <c r="K209" s="1"/>
      <c r="L209" s="1"/>
      <c r="M209" s="1"/>
      <c r="N209" s="1"/>
      <c r="O209" s="1"/>
      <c r="P209" s="1"/>
      <c r="Q209" s="1"/>
      <c r="R209" s="1"/>
    </row>
    <row r="210" spans="2:18" x14ac:dyDescent="0.25">
      <c r="B210" s="1"/>
      <c r="C210" s="1"/>
      <c r="D210" s="1"/>
      <c r="E210" s="1"/>
      <c r="F210" s="1"/>
      <c r="G210" s="1"/>
      <c r="H210" s="1"/>
      <c r="I210" s="1"/>
      <c r="J210" s="1"/>
      <c r="K210" s="1"/>
      <c r="L210" s="1"/>
      <c r="M210" s="1"/>
      <c r="N210" s="1"/>
      <c r="O210" s="1"/>
      <c r="P210" s="1"/>
      <c r="Q210" s="1"/>
      <c r="R210" s="1"/>
    </row>
    <row r="211" spans="2:18" x14ac:dyDescent="0.25">
      <c r="B211" s="1"/>
      <c r="C211" s="1"/>
      <c r="D211" s="1"/>
      <c r="E211" s="1"/>
      <c r="F211" s="1"/>
      <c r="G211" s="1"/>
      <c r="H211" s="1"/>
      <c r="I211" s="1"/>
      <c r="J211" s="1"/>
      <c r="K211" s="1"/>
      <c r="L211" s="1"/>
      <c r="M211" s="1"/>
      <c r="N211" s="1"/>
      <c r="O211" s="1"/>
      <c r="P211" s="1"/>
      <c r="Q211" s="1"/>
      <c r="R211" s="1"/>
    </row>
    <row r="212" spans="2:18" x14ac:dyDescent="0.25">
      <c r="B212" s="1"/>
      <c r="C212" s="1"/>
      <c r="D212" s="1"/>
      <c r="E212" s="1"/>
      <c r="F212" s="1"/>
      <c r="G212" s="1"/>
      <c r="H212" s="1"/>
      <c r="I212" s="1"/>
      <c r="J212" s="1"/>
      <c r="K212" s="1"/>
      <c r="L212" s="1"/>
      <c r="M212" s="1"/>
      <c r="N212" s="1"/>
      <c r="O212" s="1"/>
      <c r="P212" s="1"/>
      <c r="Q212" s="1"/>
      <c r="R212" s="1"/>
    </row>
    <row r="213" spans="2:18" x14ac:dyDescent="0.25">
      <c r="B213" s="1"/>
      <c r="C213" s="1"/>
      <c r="D213" s="1"/>
      <c r="E213" s="1"/>
      <c r="F213" s="1"/>
      <c r="G213" s="1"/>
      <c r="H213" s="1"/>
      <c r="I213" s="1"/>
      <c r="J213" s="1"/>
      <c r="K213" s="1"/>
      <c r="L213" s="1"/>
      <c r="M213" s="1"/>
      <c r="N213" s="1"/>
      <c r="O213" s="1"/>
      <c r="P213" s="1"/>
      <c r="Q213" s="1"/>
      <c r="R213" s="1"/>
    </row>
    <row r="214" spans="2:18" x14ac:dyDescent="0.25">
      <c r="B214" s="1"/>
      <c r="C214" s="1"/>
      <c r="D214" s="1"/>
      <c r="E214" s="1"/>
      <c r="F214" s="1"/>
      <c r="G214" s="1"/>
      <c r="H214" s="1"/>
      <c r="I214" s="1"/>
      <c r="J214" s="1"/>
      <c r="K214" s="1"/>
      <c r="L214" s="1"/>
      <c r="M214" s="1"/>
      <c r="N214" s="1"/>
      <c r="O214" s="1"/>
      <c r="P214" s="1"/>
      <c r="Q214" s="1"/>
      <c r="R214" s="1"/>
    </row>
    <row r="215" spans="2:18" x14ac:dyDescent="0.25">
      <c r="B215" s="1"/>
      <c r="C215" s="1"/>
      <c r="D215" s="1"/>
      <c r="E215" s="1"/>
      <c r="F215" s="1"/>
      <c r="G215" s="1"/>
      <c r="H215" s="1"/>
      <c r="I215" s="1"/>
      <c r="J215" s="1"/>
      <c r="K215" s="1"/>
      <c r="L215" s="1"/>
      <c r="M215" s="1"/>
      <c r="N215" s="1"/>
      <c r="O215" s="1"/>
      <c r="P215" s="1"/>
      <c r="Q215" s="1"/>
      <c r="R215" s="1"/>
    </row>
    <row r="216" spans="2:18" x14ac:dyDescent="0.25">
      <c r="B216" s="1"/>
      <c r="C216" s="1"/>
      <c r="D216" s="1"/>
      <c r="E216" s="1"/>
      <c r="F216" s="1"/>
      <c r="G216" s="1"/>
      <c r="H216" s="1"/>
      <c r="I216" s="1"/>
      <c r="J216" s="1"/>
      <c r="K216" s="1"/>
      <c r="L216" s="1"/>
      <c r="M216" s="1"/>
      <c r="N216" s="1"/>
      <c r="O216" s="1"/>
      <c r="P216" s="1"/>
      <c r="Q216" s="1"/>
      <c r="R216" s="1"/>
    </row>
    <row r="217" spans="2:18" x14ac:dyDescent="0.25">
      <c r="B217" s="1"/>
      <c r="C217" s="1"/>
      <c r="D217" s="1"/>
      <c r="E217" s="1"/>
      <c r="F217" s="1"/>
      <c r="G217" s="1"/>
      <c r="H217" s="1"/>
      <c r="I217" s="1"/>
      <c r="J217" s="1"/>
      <c r="K217" s="1"/>
      <c r="L217" s="1"/>
      <c r="M217" s="1"/>
      <c r="N217" s="1"/>
      <c r="O217" s="1"/>
      <c r="P217" s="1"/>
      <c r="Q217" s="1"/>
      <c r="R217" s="1"/>
    </row>
    <row r="218" spans="2:18" x14ac:dyDescent="0.25">
      <c r="B218" s="1"/>
      <c r="C218" s="1"/>
      <c r="D218" s="1"/>
      <c r="E218" s="1"/>
      <c r="F218" s="1"/>
      <c r="G218" s="1"/>
      <c r="H218" s="1"/>
      <c r="I218" s="1"/>
      <c r="J218" s="1"/>
      <c r="K218" s="1"/>
      <c r="L218" s="1"/>
      <c r="M218" s="1"/>
      <c r="N218" s="1"/>
      <c r="O218" s="1"/>
      <c r="P218" s="1"/>
      <c r="Q218" s="1"/>
      <c r="R218" s="1"/>
    </row>
    <row r="219" spans="2:18" x14ac:dyDescent="0.25">
      <c r="B219" s="1"/>
      <c r="C219" s="1"/>
      <c r="D219" s="1"/>
      <c r="E219" s="1"/>
      <c r="F219" s="1"/>
      <c r="G219" s="1"/>
      <c r="H219" s="1"/>
      <c r="I219" s="1"/>
      <c r="J219" s="1"/>
      <c r="K219" s="1"/>
      <c r="L219" s="1"/>
      <c r="M219" s="1"/>
      <c r="N219" s="1"/>
      <c r="O219" s="1"/>
      <c r="P219" s="1"/>
      <c r="Q219" s="1"/>
      <c r="R219" s="1"/>
    </row>
    <row r="220" spans="2:18" x14ac:dyDescent="0.25">
      <c r="B220" s="1"/>
      <c r="C220" s="1"/>
      <c r="D220" s="1"/>
      <c r="E220" s="1"/>
      <c r="F220" s="1"/>
      <c r="G220" s="1"/>
      <c r="H220" s="1"/>
      <c r="I220" s="1"/>
      <c r="J220" s="1"/>
      <c r="K220" s="1"/>
      <c r="L220" s="1"/>
      <c r="M220" s="1"/>
      <c r="N220" s="1"/>
      <c r="O220" s="1"/>
      <c r="P220" s="1"/>
      <c r="Q220" s="1"/>
      <c r="R220" s="1"/>
    </row>
    <row r="221" spans="2:18" x14ac:dyDescent="0.25">
      <c r="B221" s="1"/>
      <c r="C221" s="1"/>
      <c r="D221" s="1"/>
      <c r="E221" s="1"/>
      <c r="F221" s="1"/>
      <c r="G221" s="1"/>
      <c r="H221" s="1"/>
      <c r="I221" s="1"/>
      <c r="J221" s="1"/>
      <c r="K221" s="1"/>
      <c r="L221" s="1"/>
      <c r="M221" s="1"/>
      <c r="N221" s="1"/>
      <c r="O221" s="1"/>
      <c r="P221" s="1"/>
      <c r="Q221" s="1"/>
      <c r="R221" s="1"/>
    </row>
    <row r="222" spans="2:18" x14ac:dyDescent="0.25">
      <c r="B222" s="1"/>
      <c r="C222" s="1"/>
      <c r="D222" s="1"/>
      <c r="E222" s="1"/>
      <c r="F222" s="1"/>
      <c r="G222" s="1"/>
      <c r="H222" s="1"/>
      <c r="I222" s="1"/>
      <c r="J222" s="1"/>
      <c r="K222" s="1"/>
      <c r="L222" s="1"/>
      <c r="M222" s="1"/>
      <c r="N222" s="1"/>
      <c r="O222" s="1"/>
      <c r="P222" s="1"/>
      <c r="Q222" s="1"/>
      <c r="R222" s="1"/>
    </row>
    <row r="223" spans="2:18" x14ac:dyDescent="0.25">
      <c r="B223" s="1"/>
      <c r="C223" s="1"/>
      <c r="D223" s="1"/>
      <c r="E223" s="1"/>
      <c r="F223" s="1"/>
      <c r="G223" s="1"/>
      <c r="H223" s="1"/>
      <c r="I223" s="1"/>
      <c r="J223" s="1"/>
      <c r="K223" s="1"/>
      <c r="L223" s="1"/>
      <c r="M223" s="1"/>
      <c r="N223" s="1"/>
      <c r="O223" s="1"/>
      <c r="P223" s="1"/>
      <c r="Q223" s="1"/>
      <c r="R223" s="1"/>
    </row>
    <row r="224" spans="2:18" x14ac:dyDescent="0.25">
      <c r="B224" s="1"/>
      <c r="C224" s="1"/>
      <c r="D224" s="1"/>
      <c r="E224" s="1"/>
      <c r="F224" s="1"/>
      <c r="G224" s="1"/>
      <c r="H224" s="1"/>
      <c r="I224" s="1"/>
      <c r="J224" s="1"/>
      <c r="K224" s="1"/>
      <c r="L224" s="1"/>
      <c r="M224" s="1"/>
      <c r="N224" s="1"/>
      <c r="O224" s="1"/>
      <c r="P224" s="1"/>
      <c r="Q224" s="1"/>
      <c r="R224" s="1"/>
    </row>
    <row r="225" spans="2:18" x14ac:dyDescent="0.25">
      <c r="B225" s="1"/>
      <c r="C225" s="1"/>
      <c r="D225" s="1"/>
      <c r="E225" s="1"/>
      <c r="F225" s="1"/>
      <c r="G225" s="1"/>
      <c r="H225" s="1"/>
      <c r="I225" s="1"/>
      <c r="J225" s="1"/>
      <c r="K225" s="1"/>
      <c r="L225" s="1"/>
      <c r="M225" s="1"/>
      <c r="N225" s="1"/>
      <c r="O225" s="1"/>
      <c r="P225" s="1"/>
      <c r="Q225" s="1"/>
      <c r="R225" s="1"/>
    </row>
    <row r="226" spans="2:18" x14ac:dyDescent="0.25">
      <c r="B226" s="1"/>
      <c r="C226" s="1"/>
      <c r="D226" s="1"/>
      <c r="E226" s="1"/>
      <c r="F226" s="1"/>
      <c r="G226" s="1"/>
      <c r="H226" s="1"/>
      <c r="I226" s="1"/>
      <c r="J226" s="1"/>
      <c r="K226" s="1"/>
      <c r="L226" s="1"/>
      <c r="M226" s="1"/>
      <c r="N226" s="1"/>
      <c r="O226" s="1"/>
      <c r="P226" s="1"/>
      <c r="Q226" s="1"/>
      <c r="R226" s="1"/>
    </row>
    <row r="227" spans="2:18" x14ac:dyDescent="0.25">
      <c r="B227" s="1"/>
      <c r="C227" s="1"/>
      <c r="D227" s="1"/>
      <c r="E227" s="1"/>
      <c r="F227" s="1"/>
      <c r="G227" s="1"/>
      <c r="H227" s="1"/>
      <c r="I227" s="1"/>
      <c r="J227" s="1"/>
      <c r="K227" s="1"/>
      <c r="L227" s="1"/>
      <c r="M227" s="1"/>
      <c r="N227" s="1"/>
      <c r="O227" s="1"/>
      <c r="P227" s="1"/>
      <c r="Q227" s="1"/>
      <c r="R227" s="1"/>
    </row>
    <row r="228" spans="2:18" x14ac:dyDescent="0.25">
      <c r="B228" s="1"/>
      <c r="C228" s="1"/>
      <c r="D228" s="1"/>
      <c r="E228" s="1"/>
      <c r="F228" s="1"/>
      <c r="G228" s="1"/>
      <c r="H228" s="1"/>
      <c r="I228" s="1"/>
      <c r="J228" s="1"/>
      <c r="K228" s="1"/>
      <c r="L228" s="1"/>
      <c r="M228" s="1"/>
      <c r="N228" s="1"/>
      <c r="O228" s="1"/>
      <c r="P228" s="1"/>
      <c r="Q228" s="1"/>
      <c r="R228" s="1"/>
    </row>
    <row r="229" spans="2:18" x14ac:dyDescent="0.25">
      <c r="B229" s="1"/>
      <c r="C229" s="1"/>
      <c r="D229" s="1"/>
      <c r="E229" s="1"/>
      <c r="F229" s="1"/>
      <c r="G229" s="1"/>
      <c r="H229" s="1"/>
      <c r="I229" s="1"/>
      <c r="J229" s="1"/>
      <c r="K229" s="1"/>
      <c r="L229" s="1"/>
      <c r="M229" s="1"/>
      <c r="N229" s="1"/>
      <c r="O229" s="1"/>
      <c r="P229" s="1"/>
      <c r="Q229" s="1"/>
      <c r="R229" s="1"/>
    </row>
    <row r="230" spans="2:18" x14ac:dyDescent="0.25">
      <c r="B230" s="1"/>
      <c r="C230" s="1"/>
      <c r="D230" s="1"/>
      <c r="E230" s="1"/>
      <c r="F230" s="1"/>
      <c r="G230" s="1"/>
      <c r="H230" s="1"/>
      <c r="I230" s="1"/>
      <c r="J230" s="1"/>
      <c r="K230" s="1"/>
      <c r="L230" s="1"/>
      <c r="M230" s="1"/>
      <c r="N230" s="1"/>
      <c r="O230" s="1"/>
      <c r="P230" s="1"/>
      <c r="Q230" s="1"/>
      <c r="R230" s="1"/>
    </row>
    <row r="231" spans="2:18" x14ac:dyDescent="0.25">
      <c r="B231" s="1"/>
      <c r="C231" s="1"/>
      <c r="D231" s="1"/>
      <c r="E231" s="1"/>
      <c r="F231" s="1"/>
      <c r="G231" s="1"/>
      <c r="H231" s="1"/>
      <c r="I231" s="1"/>
      <c r="J231" s="1"/>
      <c r="K231" s="1"/>
      <c r="L231" s="1"/>
      <c r="M231" s="1"/>
      <c r="N231" s="1"/>
      <c r="O231" s="1"/>
      <c r="P231" s="1"/>
      <c r="Q231" s="1"/>
      <c r="R231" s="1"/>
    </row>
    <row r="232" spans="2:18" x14ac:dyDescent="0.25">
      <c r="B232" s="1"/>
      <c r="C232" s="1"/>
      <c r="D232" s="1"/>
      <c r="E232" s="1"/>
      <c r="F232" s="1"/>
      <c r="G232" s="1"/>
      <c r="H232" s="1"/>
      <c r="I232" s="1"/>
      <c r="J232" s="1"/>
      <c r="K232" s="1"/>
      <c r="L232" s="1"/>
      <c r="M232" s="1"/>
      <c r="N232" s="1"/>
      <c r="O232" s="1"/>
      <c r="P232" s="1"/>
      <c r="Q232" s="1"/>
      <c r="R232" s="1"/>
    </row>
    <row r="233" spans="2:18" x14ac:dyDescent="0.25">
      <c r="B233" s="1"/>
      <c r="C233" s="1"/>
      <c r="D233" s="1"/>
      <c r="E233" s="1"/>
      <c r="F233" s="1"/>
      <c r="G233" s="1"/>
      <c r="H233" s="1"/>
      <c r="I233" s="1"/>
      <c r="J233" s="1"/>
      <c r="K233" s="1"/>
      <c r="L233" s="1"/>
      <c r="M233" s="1"/>
      <c r="N233" s="1"/>
      <c r="O233" s="1"/>
      <c r="P233" s="1"/>
      <c r="Q233" s="1"/>
      <c r="R233" s="1"/>
    </row>
    <row r="234" spans="2:18" x14ac:dyDescent="0.25">
      <c r="B234" s="1"/>
      <c r="C234" s="1"/>
      <c r="D234" s="1"/>
      <c r="E234" s="1"/>
      <c r="F234" s="1"/>
      <c r="G234" s="1"/>
      <c r="H234" s="1"/>
      <c r="I234" s="1"/>
      <c r="J234" s="1"/>
      <c r="K234" s="1"/>
      <c r="L234" s="1"/>
      <c r="M234" s="1"/>
      <c r="N234" s="1"/>
      <c r="O234" s="1"/>
      <c r="P234" s="1"/>
      <c r="Q234" s="1"/>
      <c r="R234" s="1"/>
    </row>
    <row r="235" spans="2:18" x14ac:dyDescent="0.25">
      <c r="B235" s="1"/>
      <c r="C235" s="1"/>
      <c r="D235" s="1"/>
      <c r="E235" s="1"/>
      <c r="F235" s="1"/>
      <c r="G235" s="1"/>
      <c r="H235" s="1"/>
      <c r="I235" s="1"/>
      <c r="J235" s="1"/>
      <c r="K235" s="1"/>
      <c r="L235" s="1"/>
      <c r="M235" s="1"/>
      <c r="N235" s="1"/>
      <c r="O235" s="1"/>
      <c r="P235" s="1"/>
      <c r="Q235" s="1"/>
      <c r="R235" s="1"/>
    </row>
    <row r="236" spans="2:18" x14ac:dyDescent="0.25">
      <c r="B236" s="1"/>
      <c r="C236" s="1"/>
      <c r="D236" s="1"/>
      <c r="E236" s="1"/>
      <c r="F236" s="1"/>
      <c r="G236" s="1"/>
      <c r="H236" s="1"/>
      <c r="I236" s="1"/>
      <c r="J236" s="1"/>
      <c r="K236" s="1"/>
      <c r="L236" s="1"/>
      <c r="M236" s="1"/>
      <c r="N236" s="1"/>
      <c r="O236" s="1"/>
      <c r="P236" s="1"/>
      <c r="Q236" s="1"/>
      <c r="R236" s="1"/>
    </row>
    <row r="237" spans="2:18" x14ac:dyDescent="0.25">
      <c r="B237" s="1"/>
      <c r="C237" s="1"/>
      <c r="D237" s="1"/>
      <c r="E237" s="1"/>
      <c r="F237" s="1"/>
      <c r="G237" s="1"/>
      <c r="H237" s="1"/>
      <c r="I237" s="1"/>
      <c r="J237" s="1"/>
      <c r="K237" s="1"/>
      <c r="L237" s="1"/>
      <c r="M237" s="1"/>
      <c r="N237" s="1"/>
      <c r="O237" s="1"/>
      <c r="P237" s="1"/>
      <c r="Q237" s="1"/>
      <c r="R237" s="1"/>
    </row>
    <row r="238" spans="2:18" x14ac:dyDescent="0.25">
      <c r="B238" s="1"/>
      <c r="C238" s="1"/>
      <c r="D238" s="1"/>
      <c r="E238" s="1"/>
      <c r="F238" s="1"/>
      <c r="G238" s="1"/>
      <c r="H238" s="1"/>
      <c r="I238" s="1"/>
      <c r="J238" s="1"/>
      <c r="K238" s="1"/>
      <c r="L238" s="1"/>
      <c r="M238" s="1"/>
      <c r="N238" s="1"/>
      <c r="O238" s="1"/>
      <c r="P238" s="1"/>
      <c r="Q238" s="1"/>
      <c r="R238" s="1"/>
    </row>
    <row r="239" spans="2:18" x14ac:dyDescent="0.25">
      <c r="B239" s="1"/>
      <c r="C239" s="1"/>
      <c r="D239" s="1"/>
      <c r="E239" s="1"/>
      <c r="F239" s="1"/>
      <c r="G239" s="1"/>
      <c r="H239" s="1"/>
      <c r="I239" s="1"/>
      <c r="J239" s="1"/>
      <c r="K239" s="1"/>
      <c r="L239" s="1"/>
      <c r="M239" s="1"/>
      <c r="N239" s="1"/>
      <c r="O239" s="1"/>
      <c r="P239" s="1"/>
      <c r="Q239" s="1"/>
      <c r="R239" s="1"/>
    </row>
    <row r="240" spans="2:18" x14ac:dyDescent="0.25">
      <c r="B240" s="1"/>
      <c r="C240" s="1"/>
      <c r="D240" s="1"/>
      <c r="E240" s="1"/>
      <c r="F240" s="1"/>
      <c r="G240" s="1"/>
      <c r="H240" s="1"/>
      <c r="I240" s="1"/>
      <c r="J240" s="1"/>
      <c r="K240" s="1"/>
      <c r="L240" s="1"/>
      <c r="M240" s="1"/>
      <c r="N240" s="1"/>
      <c r="O240" s="1"/>
      <c r="P240" s="1"/>
      <c r="Q240" s="1"/>
      <c r="R240" s="1"/>
    </row>
  </sheetData>
  <mergeCells count="6">
    <mergeCell ref="B130:Q130"/>
    <mergeCell ref="B1:Q1"/>
    <mergeCell ref="C5:N5"/>
    <mergeCell ref="O5:O6"/>
    <mergeCell ref="P5:P6"/>
    <mergeCell ref="Q5:Q6"/>
  </mergeCells>
  <pageMargins left="0.2" right="0.2" top="0.5" bottom="0.5" header="0.3" footer="0.3"/>
  <pageSetup paperSize="5" scale="45" fitToWidth="0" fitToHeight="0" orientation="landscape" r:id="rId1"/>
  <headerFooter>
    <oddFooter>&amp;L&amp;F&amp;C-Public-&amp;RA-&amp;P</oddFooter>
  </headerFooter>
  <rowBreaks count="1" manualBreakCount="1">
    <brk id="55" min="1"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8D29E-50E5-4B2B-B63A-6E500CB61CB0}">
  <dimension ref="B1:J240"/>
  <sheetViews>
    <sheetView showGridLines="0" view="pageBreakPreview" zoomScale="60" zoomScaleNormal="70" zoomScalePageLayoutView="60" workbookViewId="0">
      <selection activeCell="D43" sqref="D43:U44"/>
    </sheetView>
  </sheetViews>
  <sheetFormatPr defaultRowHeight="15" x14ac:dyDescent="0.25"/>
  <cols>
    <col min="1" max="1" width="1.85546875" customWidth="1"/>
    <col min="2" max="2" width="94.5703125" customWidth="1"/>
    <col min="3" max="6" width="14.7109375" customWidth="1"/>
    <col min="7" max="7" width="15.42578125" customWidth="1"/>
    <col min="8" max="9" width="15.7109375" customWidth="1"/>
    <col min="10" max="10" width="9.140625" hidden="1" customWidth="1"/>
  </cols>
  <sheetData>
    <row r="1" spans="2:10" ht="62.25" customHeight="1" x14ac:dyDescent="0.25">
      <c r="B1" s="262" t="s">
        <v>182</v>
      </c>
      <c r="C1" s="262"/>
      <c r="D1" s="262"/>
      <c r="E1" s="262"/>
      <c r="F1" s="262"/>
      <c r="G1" s="262"/>
      <c r="H1" s="262"/>
      <c r="I1" s="262"/>
    </row>
    <row r="2" spans="2:10" ht="12.75" customHeight="1" x14ac:dyDescent="0.25">
      <c r="B2" s="2" t="s">
        <v>58</v>
      </c>
      <c r="C2" s="1"/>
      <c r="D2" s="1"/>
      <c r="E2" s="1"/>
      <c r="F2" s="1"/>
      <c r="G2" s="1"/>
      <c r="H2" s="1"/>
      <c r="I2" s="1"/>
      <c r="J2" s="1"/>
    </row>
    <row r="3" spans="2:10" ht="12.75" customHeight="1" x14ac:dyDescent="0.25">
      <c r="B3" s="2" t="s">
        <v>141</v>
      </c>
      <c r="C3" s="1"/>
      <c r="D3" s="1"/>
      <c r="E3" s="1"/>
      <c r="F3" s="1"/>
      <c r="G3" s="1"/>
      <c r="H3" s="1"/>
      <c r="I3" s="1"/>
      <c r="J3" s="1"/>
    </row>
    <row r="4" spans="2:10" ht="12.75" customHeight="1" x14ac:dyDescent="0.25">
      <c r="B4" s="1"/>
      <c r="C4" s="1"/>
      <c r="D4" s="1"/>
      <c r="E4" s="1"/>
      <c r="F4" s="1"/>
      <c r="G4" s="1"/>
      <c r="H4" s="1"/>
      <c r="I4" s="1"/>
      <c r="J4" s="1"/>
    </row>
    <row r="5" spans="2:10" ht="18" customHeight="1" x14ac:dyDescent="0.25">
      <c r="B5" s="1"/>
      <c r="C5" s="233" t="s">
        <v>183</v>
      </c>
      <c r="D5" s="234"/>
      <c r="E5" s="234"/>
      <c r="F5" s="234"/>
      <c r="G5" s="266" t="s">
        <v>200</v>
      </c>
      <c r="H5" s="268" t="s">
        <v>209</v>
      </c>
      <c r="I5" s="242" t="s">
        <v>92</v>
      </c>
      <c r="J5" s="1"/>
    </row>
    <row r="6" spans="2:10" ht="38.25" customHeight="1" x14ac:dyDescent="0.25">
      <c r="B6" s="1"/>
      <c r="C6" s="203" t="s">
        <v>184</v>
      </c>
      <c r="D6" s="204" t="s">
        <v>185</v>
      </c>
      <c r="E6" s="204" t="s">
        <v>186</v>
      </c>
      <c r="F6" s="204" t="s">
        <v>187</v>
      </c>
      <c r="G6" s="267"/>
      <c r="H6" s="269"/>
      <c r="I6" s="270"/>
      <c r="J6" s="1"/>
    </row>
    <row r="7" spans="2:10" x14ac:dyDescent="0.25">
      <c r="B7" s="32" t="s">
        <v>142</v>
      </c>
      <c r="C7" s="31"/>
      <c r="D7" s="31"/>
      <c r="E7" s="31"/>
      <c r="F7" s="31"/>
      <c r="G7" s="31"/>
      <c r="H7" s="31"/>
      <c r="I7" s="31"/>
      <c r="J7" s="1"/>
    </row>
    <row r="8" spans="2:10" ht="12.75" customHeight="1" x14ac:dyDescent="0.25">
      <c r="B8" s="1" t="s">
        <v>143</v>
      </c>
      <c r="C8" s="86">
        <f>IF('Marketing Monthly'!E8="","",SUM('Marketing Monthly'!C8:E8))</f>
        <v>16020.02</v>
      </c>
      <c r="D8" s="86">
        <f>IF('Marketing Monthly'!H8="","",SUM('Marketing Monthly'!F8:H8))</f>
        <v>16309.099999999999</v>
      </c>
      <c r="E8" s="86">
        <f>IF('Marketing Monthly'!K8="","",SUM('Marketing Monthly'!I8:K8))</f>
        <v>20694.870000000003</v>
      </c>
      <c r="F8" s="86">
        <f>IF('Marketing Monthly'!L8="","",SUM('Marketing Monthly'!L8:N8))</f>
        <v>20401.419999999998</v>
      </c>
      <c r="G8" s="93">
        <f>SUM(C8:F8)</f>
        <v>73425.41</v>
      </c>
      <c r="H8" s="93"/>
      <c r="I8" s="94">
        <f>IFERROR(G8/H8,0)</f>
        <v>0</v>
      </c>
      <c r="J8" s="1">
        <v>1</v>
      </c>
    </row>
    <row r="9" spans="2:10" ht="12.75" customHeight="1" x14ac:dyDescent="0.25">
      <c r="B9" s="1" t="s">
        <v>144</v>
      </c>
      <c r="C9" s="86">
        <f>IF('Marketing Monthly'!E9="","",SUM('Marketing Monthly'!C9:E9))</f>
        <v>1700364.86</v>
      </c>
      <c r="D9" s="86">
        <f>IF('Marketing Monthly'!H9="","",SUM('Marketing Monthly'!F9:H9))</f>
        <v>1855054.93</v>
      </c>
      <c r="E9" s="86">
        <f>IF('Marketing Monthly'!K9="","",SUM('Marketing Monthly'!I9:K9))</f>
        <v>2637546.88</v>
      </c>
      <c r="F9" s="86">
        <f>IF('Marketing Monthly'!L9="","",SUM('Marketing Monthly'!L9:N9))</f>
        <v>3159920.4</v>
      </c>
      <c r="G9" s="93">
        <f>SUM(C9:F9)</f>
        <v>9352887.0700000003</v>
      </c>
      <c r="H9" s="93"/>
      <c r="I9" s="94">
        <f>IFERROR(G9/H9,0)</f>
        <v>0</v>
      </c>
      <c r="J9" s="1">
        <v>2</v>
      </c>
    </row>
    <row r="10" spans="2:10" x14ac:dyDescent="0.25">
      <c r="B10" s="95" t="s">
        <v>145</v>
      </c>
      <c r="C10" s="96">
        <f>SUM(C8:C9)</f>
        <v>1716384.8800000001</v>
      </c>
      <c r="D10" s="96">
        <f t="shared" ref="D10:F10" si="0">SUM(D8:D9)</f>
        <v>1871364.03</v>
      </c>
      <c r="E10" s="96">
        <f t="shared" si="0"/>
        <v>2658241.75</v>
      </c>
      <c r="F10" s="96">
        <f t="shared" si="0"/>
        <v>3180321.82</v>
      </c>
      <c r="G10" s="96">
        <f>SUM(G8:G9)</f>
        <v>9426312.4800000004</v>
      </c>
      <c r="H10" s="96">
        <f>SUM(H8:H9)</f>
        <v>0</v>
      </c>
      <c r="I10" s="97">
        <f>IFERROR(G10/H10,0)</f>
        <v>0</v>
      </c>
      <c r="J10" s="1"/>
    </row>
    <row r="11" spans="2:10" x14ac:dyDescent="0.25">
      <c r="B11" s="1"/>
      <c r="C11" s="98" t="b">
        <f>C10=SUM('2022 DRP Expenditures'!H53:J53)</f>
        <v>1</v>
      </c>
      <c r="D11" s="98" t="b">
        <f>D10=SUM('2022 DRP Expenditures'!K53:M53)</f>
        <v>1</v>
      </c>
      <c r="E11" s="98" t="b">
        <f>E10=SUM('2022 DRP Expenditures'!N53:P53)</f>
        <v>1</v>
      </c>
      <c r="F11" s="98"/>
      <c r="G11" s="98"/>
      <c r="H11" s="1"/>
      <c r="I11" s="1"/>
      <c r="J11" s="1"/>
    </row>
    <row r="12" spans="2:10" ht="18" customHeight="1" x14ac:dyDescent="0.25">
      <c r="B12" s="2" t="s">
        <v>146</v>
      </c>
      <c r="C12" s="1"/>
      <c r="D12" s="1"/>
      <c r="E12" s="1"/>
      <c r="F12" s="1"/>
      <c r="G12" s="1"/>
      <c r="H12" s="1"/>
      <c r="I12" s="1"/>
      <c r="J12" s="1"/>
    </row>
    <row r="13" spans="2:10" ht="13.5" customHeight="1" x14ac:dyDescent="0.25">
      <c r="B13" s="99" t="s">
        <v>147</v>
      </c>
      <c r="C13" s="36"/>
      <c r="D13" s="36"/>
      <c r="E13" s="36"/>
      <c r="F13" s="36"/>
      <c r="G13" s="36"/>
      <c r="H13" s="36"/>
      <c r="I13" s="36"/>
      <c r="J13" s="1"/>
    </row>
    <row r="14" spans="2:10" x14ac:dyDescent="0.25">
      <c r="B14" s="1"/>
      <c r="C14" s="1"/>
      <c r="D14" s="1"/>
      <c r="E14" s="1"/>
      <c r="F14" s="1"/>
      <c r="G14" s="1"/>
      <c r="H14" s="1"/>
      <c r="I14" s="1"/>
      <c r="J14" s="1"/>
    </row>
    <row r="15" spans="2:10" x14ac:dyDescent="0.25">
      <c r="B15" s="100" t="s">
        <v>148</v>
      </c>
      <c r="C15" s="101"/>
      <c r="D15" s="101"/>
      <c r="E15" s="101"/>
      <c r="F15" s="101"/>
      <c r="G15" s="101"/>
      <c r="H15" s="101"/>
      <c r="I15" s="101"/>
      <c r="J15" s="1"/>
    </row>
    <row r="16" spans="2:10" x14ac:dyDescent="0.25">
      <c r="B16" s="57" t="s">
        <v>286</v>
      </c>
      <c r="C16" s="1"/>
      <c r="D16" s="1"/>
      <c r="E16" s="1"/>
      <c r="F16" s="1"/>
      <c r="G16" s="62"/>
      <c r="H16" s="62"/>
      <c r="I16" s="62"/>
      <c r="J16" s="1"/>
    </row>
    <row r="17" spans="2:10" ht="12.75" customHeight="1" x14ac:dyDescent="0.25">
      <c r="B17" s="1" t="s">
        <v>1</v>
      </c>
      <c r="C17" s="86">
        <f>IF('Marketing Monthly'!E17="","",SUM('Marketing Monthly'!C17:E17))</f>
        <v>0</v>
      </c>
      <c r="D17" s="86">
        <f>IF('Marketing Monthly'!H17="","",SUM('Marketing Monthly'!F17:H17))</f>
        <v>632.04999999999995</v>
      </c>
      <c r="E17" s="86">
        <f>IF('Marketing Monthly'!K17="","",SUM('Marketing Monthly'!I17:K17))</f>
        <v>2619.06</v>
      </c>
      <c r="F17" s="86">
        <f>IF('Marketing Monthly'!L17="","",SUM('Marketing Monthly'!L17:N17))</f>
        <v>0</v>
      </c>
      <c r="G17" s="93">
        <f>SUM(C17:F17)</f>
        <v>3251.1099999999997</v>
      </c>
      <c r="H17" s="62"/>
      <c r="I17" s="94">
        <f t="shared" ref="I17:I21" si="1">IFERROR(G17/H17,0)</f>
        <v>0</v>
      </c>
      <c r="J17" s="1">
        <v>3</v>
      </c>
    </row>
    <row r="18" spans="2:10" ht="12.75" customHeight="1" x14ac:dyDescent="0.25">
      <c r="B18" s="1" t="s">
        <v>5</v>
      </c>
      <c r="C18" s="86">
        <f>IF('Marketing Monthly'!E18="","",SUM('Marketing Monthly'!C18:E18))</f>
        <v>0</v>
      </c>
      <c r="D18" s="86">
        <f>IF('Marketing Monthly'!H18="","",SUM('Marketing Monthly'!F18:H18))</f>
        <v>844.68</v>
      </c>
      <c r="E18" s="86">
        <f>IF('Marketing Monthly'!K18="","",SUM('Marketing Monthly'!I18:K18))</f>
        <v>2542.0300000000002</v>
      </c>
      <c r="F18" s="86">
        <f>IF('Marketing Monthly'!L18="","",SUM('Marketing Monthly'!L18:N18))</f>
        <v>0</v>
      </c>
      <c r="G18" s="93">
        <f>SUM(C18:F18)</f>
        <v>3386.71</v>
      </c>
      <c r="H18" s="62"/>
      <c r="I18" s="94">
        <f t="shared" si="1"/>
        <v>0</v>
      </c>
      <c r="J18" s="1">
        <v>4</v>
      </c>
    </row>
    <row r="19" spans="2:10" ht="12.75" customHeight="1" x14ac:dyDescent="0.25">
      <c r="B19" s="1" t="s">
        <v>7</v>
      </c>
      <c r="C19" s="86">
        <f>IF('Marketing Monthly'!E19="","",SUM('Marketing Monthly'!C19:E19))</f>
        <v>0</v>
      </c>
      <c r="D19" s="86">
        <f>IF('Marketing Monthly'!H19="","",SUM('Marketing Monthly'!F19:H19))</f>
        <v>635.85</v>
      </c>
      <c r="E19" s="86">
        <f>IF('Marketing Monthly'!K19="","",SUM('Marketing Monthly'!I19:K19))</f>
        <v>0</v>
      </c>
      <c r="F19" s="86">
        <f>IF('Marketing Monthly'!L19="","",SUM('Marketing Monthly'!L19:N19))</f>
        <v>0</v>
      </c>
      <c r="G19" s="93">
        <f>SUM(C19:F19)</f>
        <v>635.85</v>
      </c>
      <c r="H19" s="62"/>
      <c r="I19" s="94">
        <f t="shared" si="1"/>
        <v>0</v>
      </c>
      <c r="J19" s="1"/>
    </row>
    <row r="20" spans="2:10" ht="12.75" customHeight="1" x14ac:dyDescent="0.25">
      <c r="B20" s="1" t="s">
        <v>197</v>
      </c>
      <c r="C20" s="86">
        <f>IF('Marketing Monthly'!E20="","",SUM('Marketing Monthly'!C20:E20))</f>
        <v>0</v>
      </c>
      <c r="D20" s="86">
        <f>IF('Marketing Monthly'!H20="","",SUM('Marketing Monthly'!F20:H20))</f>
        <v>0</v>
      </c>
      <c r="E20" s="86">
        <f>IF('Marketing Monthly'!K20="","",SUM('Marketing Monthly'!I20:K20))</f>
        <v>0</v>
      </c>
      <c r="F20" s="86">
        <f>IF('Marketing Monthly'!L20="","",SUM('Marketing Monthly'!L20:N20))</f>
        <v>0</v>
      </c>
      <c r="G20" s="93">
        <f>SUM(C20:F20)</f>
        <v>0</v>
      </c>
      <c r="H20" s="62"/>
      <c r="I20" s="94">
        <f t="shared" si="1"/>
        <v>0</v>
      </c>
      <c r="J20" s="1"/>
    </row>
    <row r="21" spans="2:10" ht="12.75" customHeight="1" x14ac:dyDescent="0.25">
      <c r="B21" s="1" t="s">
        <v>34</v>
      </c>
      <c r="C21" s="86">
        <f>IF('Marketing Monthly'!E21="","",SUM('Marketing Monthly'!C21:E21))</f>
        <v>0</v>
      </c>
      <c r="D21" s="86">
        <f>IF('Marketing Monthly'!H21="","",SUM('Marketing Monthly'!F21:H21))</f>
        <v>0</v>
      </c>
      <c r="E21" s="86">
        <f>IF('Marketing Monthly'!K21="","",SUM('Marketing Monthly'!I21:K21))</f>
        <v>0</v>
      </c>
      <c r="F21" s="86">
        <f>IF('Marketing Monthly'!L21="","",SUM('Marketing Monthly'!L21:N21))</f>
        <v>0</v>
      </c>
      <c r="G21" s="93">
        <f>SUM(C21:F21)</f>
        <v>0</v>
      </c>
      <c r="H21" s="62"/>
      <c r="I21" s="94">
        <f t="shared" si="1"/>
        <v>0</v>
      </c>
      <c r="J21" s="1"/>
    </row>
    <row r="22" spans="2:10" x14ac:dyDescent="0.25">
      <c r="B22" s="1" t="s">
        <v>149</v>
      </c>
      <c r="C22" s="1"/>
      <c r="D22" s="1"/>
      <c r="E22" s="1"/>
      <c r="F22" s="1"/>
      <c r="G22" s="62"/>
      <c r="H22" s="62"/>
      <c r="I22" s="102"/>
      <c r="J22" s="1"/>
    </row>
    <row r="23" spans="2:10" x14ac:dyDescent="0.25">
      <c r="B23" s="57" t="s">
        <v>89</v>
      </c>
      <c r="C23" s="1"/>
      <c r="D23" s="1"/>
      <c r="E23" s="1"/>
      <c r="F23" s="1"/>
      <c r="G23" s="62"/>
      <c r="H23" s="62"/>
      <c r="I23" s="102"/>
      <c r="J23" s="1"/>
    </row>
    <row r="24" spans="2:10" ht="12.75" customHeight="1" x14ac:dyDescent="0.25">
      <c r="B24" s="1" t="s">
        <v>28</v>
      </c>
      <c r="C24" s="86">
        <f>IF('Marketing Monthly'!E24="","",SUM('Marketing Monthly'!C24:E24))</f>
        <v>0</v>
      </c>
      <c r="D24" s="86">
        <f>IF('Marketing Monthly'!H24="","",SUM('Marketing Monthly'!F24:H24))</f>
        <v>0</v>
      </c>
      <c r="E24" s="86">
        <f>IF('Marketing Monthly'!K24="","",SUM('Marketing Monthly'!I24:K24))</f>
        <v>0</v>
      </c>
      <c r="F24" s="86">
        <f>IF('Marketing Monthly'!L24="","",SUM('Marketing Monthly'!L24:N24))</f>
        <v>0</v>
      </c>
      <c r="G24" s="93">
        <f>SUM(C24:F24)</f>
        <v>0</v>
      </c>
      <c r="H24" s="62"/>
      <c r="I24" s="94">
        <f t="shared" ref="I24:I26" si="2">IFERROR(G24/H24,0)</f>
        <v>0</v>
      </c>
      <c r="J24" s="1"/>
    </row>
    <row r="25" spans="2:10" ht="12.75" customHeight="1" x14ac:dyDescent="0.25">
      <c r="B25" s="1" t="s">
        <v>30</v>
      </c>
      <c r="C25" s="86">
        <f>IF('Marketing Monthly'!E25="","",SUM('Marketing Monthly'!C25:E25))</f>
        <v>0</v>
      </c>
      <c r="D25" s="86">
        <f>IF('Marketing Monthly'!H25="","",SUM('Marketing Monthly'!F25:H25))</f>
        <v>0</v>
      </c>
      <c r="E25" s="86">
        <f>IF('Marketing Monthly'!K25="","",SUM('Marketing Monthly'!I25:K25))</f>
        <v>0</v>
      </c>
      <c r="F25" s="86">
        <f>IF('Marketing Monthly'!L25="","",SUM('Marketing Monthly'!L25:N25))</f>
        <v>0</v>
      </c>
      <c r="G25" s="93">
        <f>SUM(C25:F25)</f>
        <v>0</v>
      </c>
      <c r="H25" s="62"/>
      <c r="I25" s="94">
        <f t="shared" si="2"/>
        <v>0</v>
      </c>
      <c r="J25" s="1"/>
    </row>
    <row r="26" spans="2:10" ht="12.75" customHeight="1" x14ac:dyDescent="0.25">
      <c r="B26" s="1" t="s">
        <v>31</v>
      </c>
      <c r="C26" s="86">
        <f>IF('Marketing Monthly'!E26="","",SUM('Marketing Monthly'!C26:E26))</f>
        <v>0</v>
      </c>
      <c r="D26" s="86">
        <f>IF('Marketing Monthly'!H26="","",SUM('Marketing Monthly'!F26:H26))</f>
        <v>0</v>
      </c>
      <c r="E26" s="86">
        <f>IF('Marketing Monthly'!K26="","",SUM('Marketing Monthly'!I26:K26))</f>
        <v>0</v>
      </c>
      <c r="F26" s="86">
        <f>IF('Marketing Monthly'!L26="","",SUM('Marketing Monthly'!L26:N26))</f>
        <v>0</v>
      </c>
      <c r="G26" s="93">
        <f>SUM(C26:F26)</f>
        <v>0</v>
      </c>
      <c r="H26" s="62"/>
      <c r="I26" s="94">
        <f t="shared" si="2"/>
        <v>0</v>
      </c>
      <c r="J26" s="1"/>
    </row>
    <row r="27" spans="2:10" x14ac:dyDescent="0.25">
      <c r="B27" s="1"/>
      <c r="C27" s="1"/>
      <c r="D27" s="1"/>
      <c r="E27" s="1"/>
      <c r="F27" s="1"/>
      <c r="G27" s="62"/>
      <c r="H27" s="62"/>
      <c r="I27" s="102"/>
      <c r="J27" s="1"/>
    </row>
    <row r="28" spans="2:10" ht="28.5" customHeight="1" x14ac:dyDescent="0.25">
      <c r="B28" s="57" t="s">
        <v>288</v>
      </c>
      <c r="C28" s="1"/>
      <c r="D28" s="1"/>
      <c r="E28" s="1"/>
      <c r="F28" s="1"/>
      <c r="G28" s="62"/>
      <c r="H28" s="62"/>
      <c r="I28" s="102"/>
      <c r="J28" s="1"/>
    </row>
    <row r="29" spans="2:10" ht="12.75" customHeight="1" x14ac:dyDescent="0.25">
      <c r="B29" s="1" t="s">
        <v>19</v>
      </c>
      <c r="C29" s="86">
        <f>IF('Marketing Monthly'!E29="","",SUM('Marketing Monthly'!C29:E29))</f>
        <v>0</v>
      </c>
      <c r="D29" s="86">
        <f>IF('Marketing Monthly'!H29="","",SUM('Marketing Monthly'!F29:H29))</f>
        <v>0</v>
      </c>
      <c r="E29" s="86">
        <f>IF('Marketing Monthly'!K29="","",SUM('Marketing Monthly'!I29:K29))</f>
        <v>0</v>
      </c>
      <c r="F29" s="86">
        <f>IF('Marketing Monthly'!L29="","",SUM('Marketing Monthly'!L29:N29))</f>
        <v>0</v>
      </c>
      <c r="G29" s="93">
        <f>SUM(C29:F29)</f>
        <v>0</v>
      </c>
      <c r="H29" s="62"/>
      <c r="I29" s="94">
        <f>IFERROR(G29/H29,0)</f>
        <v>0</v>
      </c>
      <c r="J29" s="1"/>
    </row>
    <row r="30" spans="2:10" x14ac:dyDescent="0.25">
      <c r="B30" s="1"/>
      <c r="C30" s="1"/>
      <c r="D30" s="1"/>
      <c r="E30" s="1"/>
      <c r="F30" s="1"/>
      <c r="G30" s="62"/>
      <c r="H30" s="62"/>
      <c r="I30" s="102"/>
      <c r="J30" s="1"/>
    </row>
    <row r="31" spans="2:10" x14ac:dyDescent="0.25">
      <c r="B31" s="57" t="s">
        <v>93</v>
      </c>
      <c r="C31" s="1"/>
      <c r="D31" s="1"/>
      <c r="E31" s="1"/>
      <c r="F31" s="1"/>
      <c r="G31" s="62"/>
      <c r="H31" s="62"/>
      <c r="I31" s="102"/>
      <c r="J31" s="1"/>
    </row>
    <row r="32" spans="2:10" ht="12.75" customHeight="1" x14ac:dyDescent="0.25">
      <c r="B32" s="1" t="s">
        <v>23</v>
      </c>
      <c r="C32" s="86">
        <f>IF('Marketing Monthly'!E32="","",SUM('Marketing Monthly'!C32:E32))</f>
        <v>0</v>
      </c>
      <c r="D32" s="86">
        <f>IF('Marketing Monthly'!H32="","",SUM('Marketing Monthly'!F32:H32))</f>
        <v>0</v>
      </c>
      <c r="E32" s="86">
        <f>IF('Marketing Monthly'!K32="","",SUM('Marketing Monthly'!I32:K32))</f>
        <v>0</v>
      </c>
      <c r="F32" s="86">
        <f>IF('Marketing Monthly'!L32="","",SUM('Marketing Monthly'!L32:N32))</f>
        <v>3945</v>
      </c>
      <c r="G32" s="93">
        <f>SUM(C32:F32)</f>
        <v>3945</v>
      </c>
      <c r="H32" s="62"/>
      <c r="I32" s="94">
        <f t="shared" ref="I32:I33" si="3">IFERROR(G32/H32,0)</f>
        <v>0</v>
      </c>
      <c r="J32" s="1"/>
    </row>
    <row r="33" spans="2:10" ht="12.75" customHeight="1" x14ac:dyDescent="0.25">
      <c r="B33" s="1" t="s">
        <v>38</v>
      </c>
      <c r="C33" s="86">
        <f>IF('Marketing Monthly'!E33="","",SUM('Marketing Monthly'!C33:E33))</f>
        <v>0</v>
      </c>
      <c r="D33" s="86">
        <f>IF('Marketing Monthly'!H33="","",SUM('Marketing Monthly'!F33:H33))</f>
        <v>0</v>
      </c>
      <c r="E33" s="86">
        <f>IF('Marketing Monthly'!K33="","",SUM('Marketing Monthly'!I33:K33))</f>
        <v>0</v>
      </c>
      <c r="F33" s="86">
        <f>IF('Marketing Monthly'!L33="","",SUM('Marketing Monthly'!L33:N33))</f>
        <v>0</v>
      </c>
      <c r="G33" s="93">
        <f>SUM(C33:F33)</f>
        <v>0</v>
      </c>
      <c r="H33" s="62"/>
      <c r="I33" s="94">
        <f t="shared" si="3"/>
        <v>0</v>
      </c>
      <c r="J33" s="1"/>
    </row>
    <row r="34" spans="2:10" x14ac:dyDescent="0.25">
      <c r="B34" s="1"/>
      <c r="C34" s="1"/>
      <c r="D34" s="1"/>
      <c r="E34" s="1"/>
      <c r="F34" s="1"/>
      <c r="G34" s="62"/>
      <c r="H34" s="62"/>
      <c r="I34" s="102"/>
      <c r="J34" s="1"/>
    </row>
    <row r="35" spans="2:10" x14ac:dyDescent="0.25">
      <c r="B35" s="30" t="s">
        <v>95</v>
      </c>
      <c r="C35" s="1"/>
      <c r="D35" s="1"/>
      <c r="E35" s="1"/>
      <c r="F35" s="1"/>
      <c r="G35" s="62"/>
      <c r="H35" s="62"/>
      <c r="I35" s="102"/>
      <c r="J35" s="1"/>
    </row>
    <row r="36" spans="2:10" ht="12.75" customHeight="1" x14ac:dyDescent="0.25">
      <c r="B36" s="1" t="s">
        <v>12</v>
      </c>
      <c r="C36" s="86">
        <f>IF('Marketing Monthly'!E36="","",SUM('Marketing Monthly'!C36:E36))</f>
        <v>0</v>
      </c>
      <c r="D36" s="86">
        <f>IF('Marketing Monthly'!H36="","",SUM('Marketing Monthly'!F36:H36))</f>
        <v>0</v>
      </c>
      <c r="E36" s="86">
        <f>IF('Marketing Monthly'!K36="","",SUM('Marketing Monthly'!I36:K36))</f>
        <v>0</v>
      </c>
      <c r="F36" s="86">
        <f>IF('Marketing Monthly'!L36="","",SUM('Marketing Monthly'!L36:N36))</f>
        <v>0</v>
      </c>
      <c r="G36" s="93">
        <f>SUM(C36:F36)</f>
        <v>0</v>
      </c>
      <c r="H36" s="62"/>
      <c r="I36" s="94">
        <f>IFERROR(G36/H36,0)</f>
        <v>0</v>
      </c>
      <c r="J36" s="1"/>
    </row>
    <row r="37" spans="2:10" ht="12.75" customHeight="1" x14ac:dyDescent="0.25">
      <c r="B37" s="1" t="str">
        <f>CLCP</f>
        <v>Constrained Local Capacity Planning Areas &amp; Disadvantaged Communities Pilot</v>
      </c>
      <c r="C37" s="86">
        <f>IF('Marketing Monthly'!E37="","",SUM('Marketing Monthly'!C37:E37))</f>
        <v>0</v>
      </c>
      <c r="D37" s="86">
        <f>IF('Marketing Monthly'!H37="","",SUM('Marketing Monthly'!F37:H37))</f>
        <v>257.04000000000002</v>
      </c>
      <c r="E37" s="86">
        <f>IF('Marketing Monthly'!K37="","",SUM('Marketing Monthly'!I37:K37))</f>
        <v>0</v>
      </c>
      <c r="F37" s="86">
        <f>IF('Marketing Monthly'!L37="","",SUM('Marketing Monthly'!L37:N37))</f>
        <v>0</v>
      </c>
      <c r="G37" s="93">
        <f>SUM(C37:F37)</f>
        <v>257.04000000000002</v>
      </c>
      <c r="H37" s="62"/>
      <c r="I37" s="94">
        <f>IFERROR(G37/H37,0)</f>
        <v>0</v>
      </c>
      <c r="J37" s="1">
        <v>68</v>
      </c>
    </row>
    <row r="38" spans="2:10" ht="12.75" customHeight="1" x14ac:dyDescent="0.25">
      <c r="B38" s="1" t="str">
        <f>ELRP</f>
        <v>Emergency Load Reduction Program (ELRP)</v>
      </c>
      <c r="C38" s="86">
        <f>IF('Marketing Monthly'!E38="","",SUM('Marketing Monthly'!C38:E38))</f>
        <v>0</v>
      </c>
      <c r="D38" s="86">
        <f>IF('Marketing Monthly'!H38="","",SUM('Marketing Monthly'!F38:H38))</f>
        <v>231963.79</v>
      </c>
      <c r="E38" s="86">
        <f>IF('Marketing Monthly'!K38="","",SUM('Marketing Monthly'!I38:K38))</f>
        <v>302955.25</v>
      </c>
      <c r="F38" s="86">
        <f>IF('Marketing Monthly'!L38="","",SUM('Marketing Monthly'!L38:N38))</f>
        <v>528676.82000000007</v>
      </c>
      <c r="G38" s="93">
        <f>SUM(C38:F38)</f>
        <v>1063595.8600000001</v>
      </c>
      <c r="H38" s="62"/>
      <c r="I38" s="94">
        <f>IFERROR(G38/H38,0)</f>
        <v>0</v>
      </c>
      <c r="J38" s="1">
        <v>66</v>
      </c>
    </row>
    <row r="39" spans="2:10" ht="12.75" customHeight="1" x14ac:dyDescent="0.25">
      <c r="B39" s="1" t="s">
        <v>25</v>
      </c>
      <c r="C39" s="86">
        <f>IF('Marketing Monthly'!E39="","",SUM('Marketing Monthly'!C39:E39))</f>
        <v>7334.48</v>
      </c>
      <c r="D39" s="86">
        <f>IF('Marketing Monthly'!H39="","",SUM('Marketing Monthly'!F39:H39))</f>
        <v>8935.32</v>
      </c>
      <c r="E39" s="86">
        <f>IF('Marketing Monthly'!K39="","",SUM('Marketing Monthly'!I39:K39))</f>
        <v>15123.77</v>
      </c>
      <c r="F39" s="86">
        <f>IF('Marketing Monthly'!L39="","",SUM('Marketing Monthly'!L39:N39))</f>
        <v>8647.41</v>
      </c>
      <c r="G39" s="93">
        <f>SUM(C39:F39)</f>
        <v>40040.979999999996</v>
      </c>
      <c r="H39" s="93"/>
      <c r="I39" s="94">
        <f t="shared" ref="I39:I40" si="4">IFERROR(G39/H39,0)</f>
        <v>0</v>
      </c>
      <c r="J39" s="1">
        <v>19</v>
      </c>
    </row>
    <row r="40" spans="2:10" ht="12.75" customHeight="1" x14ac:dyDescent="0.25">
      <c r="B40" s="1" t="s">
        <v>26</v>
      </c>
      <c r="C40" s="86">
        <f>IF('Marketing Monthly'!E40="","",SUM('Marketing Monthly'!C40:E40))</f>
        <v>2876.54</v>
      </c>
      <c r="D40" s="86">
        <f>IF('Marketing Monthly'!H40="","",SUM('Marketing Monthly'!F40:H40))</f>
        <v>2842.27</v>
      </c>
      <c r="E40" s="86">
        <f>IF('Marketing Monthly'!K40="","",SUM('Marketing Monthly'!I40:K40))</f>
        <v>-117167.66000000002</v>
      </c>
      <c r="F40" s="86">
        <f>IF('Marketing Monthly'!L40="","",SUM('Marketing Monthly'!L40:N40))</f>
        <v>3353.67</v>
      </c>
      <c r="G40" s="93">
        <f>SUM(C40:F40)</f>
        <v>-108095.18000000002</v>
      </c>
      <c r="H40" s="93"/>
      <c r="I40" s="94">
        <f t="shared" si="4"/>
        <v>0</v>
      </c>
      <c r="J40" s="1">
        <v>20</v>
      </c>
    </row>
    <row r="41" spans="2:10" x14ac:dyDescent="0.25">
      <c r="B41" s="1"/>
      <c r="C41" s="1"/>
      <c r="D41" s="1"/>
      <c r="E41" s="1"/>
      <c r="F41" s="1"/>
      <c r="G41" s="62"/>
      <c r="H41" s="62"/>
      <c r="I41" s="102"/>
      <c r="J41" s="1"/>
    </row>
    <row r="42" spans="2:10" ht="15.75" x14ac:dyDescent="0.25">
      <c r="B42" s="57" t="s">
        <v>150</v>
      </c>
      <c r="C42" s="1"/>
      <c r="D42" s="1"/>
      <c r="E42" s="1"/>
      <c r="F42" s="1"/>
      <c r="G42" s="62"/>
      <c r="H42" s="62"/>
      <c r="I42" s="102"/>
      <c r="J42" s="1"/>
    </row>
    <row r="43" spans="2:10" ht="12.75" customHeight="1" x14ac:dyDescent="0.25">
      <c r="B43" s="1" t="s">
        <v>27</v>
      </c>
      <c r="C43" s="86">
        <f>IF('Marketing Monthly'!E43="","",SUM('Marketing Monthly'!C43:E43))</f>
        <v>0</v>
      </c>
      <c r="D43" s="86">
        <f>IF('Marketing Monthly'!H43="","",SUM('Marketing Monthly'!F43:H43))</f>
        <v>0</v>
      </c>
      <c r="E43" s="86">
        <f>IF('Marketing Monthly'!K43="","",SUM('Marketing Monthly'!I43:K43))</f>
        <v>0</v>
      </c>
      <c r="F43" s="86">
        <f>IF('Marketing Monthly'!L43="","",SUM('Marketing Monthly'!L43:N43))</f>
        <v>0</v>
      </c>
      <c r="G43" s="93">
        <f>SUM(C43:F43)</f>
        <v>0</v>
      </c>
      <c r="H43" s="62"/>
      <c r="I43" s="94">
        <f>IFERROR(G43/H43,0)</f>
        <v>0</v>
      </c>
      <c r="J43" s="1"/>
    </row>
    <row r="44" spans="2:10" ht="12.75" customHeight="1" x14ac:dyDescent="0.25">
      <c r="B44" s="1" t="str">
        <f>CPP</f>
        <v>Critical Peak Pricing (CPP)</v>
      </c>
      <c r="C44" s="86">
        <f>IF('Marketing Monthly'!E44="","",SUM('Marketing Monthly'!C44:E44))</f>
        <v>-24654.92</v>
      </c>
      <c r="D44" s="86">
        <f>IF('Marketing Monthly'!H44="","",SUM('Marketing Monthly'!F44:H44))</f>
        <v>436204.72000000003</v>
      </c>
      <c r="E44" s="86">
        <f>IF('Marketing Monthly'!K44="","",SUM('Marketing Monthly'!I44:K44))</f>
        <v>-79424.23000000001</v>
      </c>
      <c r="F44" s="86">
        <f>IF('Marketing Monthly'!L44="","",SUM('Marketing Monthly'!L44:N44))</f>
        <v>17584.900000000001</v>
      </c>
      <c r="G44" s="93">
        <f>SUM(C44:F44)</f>
        <v>349710.47000000009</v>
      </c>
      <c r="H44" s="62"/>
      <c r="I44" s="94">
        <f>IFERROR(G44/H44,0)</f>
        <v>0</v>
      </c>
      <c r="J44" s="1">
        <v>67</v>
      </c>
    </row>
    <row r="45" spans="2:10" x14ac:dyDescent="0.25">
      <c r="B45" s="1"/>
      <c r="C45" s="1"/>
      <c r="D45" s="1"/>
      <c r="E45" s="1"/>
      <c r="F45" s="1"/>
      <c r="G45" s="62"/>
      <c r="H45" s="62"/>
      <c r="I45" s="102"/>
      <c r="J45" s="1"/>
    </row>
    <row r="46" spans="2:10" ht="26.25" customHeight="1" x14ac:dyDescent="0.25">
      <c r="B46" s="57" t="s">
        <v>289</v>
      </c>
      <c r="C46" s="1"/>
      <c r="D46" s="1"/>
      <c r="E46" s="1"/>
      <c r="F46" s="1"/>
      <c r="G46" s="62"/>
      <c r="H46" s="62"/>
      <c r="I46" s="102"/>
      <c r="J46" s="1"/>
    </row>
    <row r="47" spans="2:10" ht="12.75" customHeight="1" x14ac:dyDescent="0.25">
      <c r="B47" s="1" t="s">
        <v>20</v>
      </c>
      <c r="C47" s="86">
        <f>IF('Marketing Monthly'!E47="","",SUM('Marketing Monthly'!C47:E47))</f>
        <v>0</v>
      </c>
      <c r="D47" s="86">
        <f>IF('Marketing Monthly'!H47="","",SUM('Marketing Monthly'!F47:H47))</f>
        <v>0</v>
      </c>
      <c r="E47" s="86">
        <f>IF('Marketing Monthly'!K47="","",SUM('Marketing Monthly'!I47:K47))</f>
        <v>0</v>
      </c>
      <c r="F47" s="86">
        <f>IF('Marketing Monthly'!L47="","",SUM('Marketing Monthly'!L47:N47))</f>
        <v>0</v>
      </c>
      <c r="G47" s="93">
        <f>SUM(C47:F47)</f>
        <v>0</v>
      </c>
      <c r="H47" s="62"/>
      <c r="I47" s="94">
        <f t="shared" ref="I47:I49" si="5">IFERROR(G47/H47,0)</f>
        <v>0</v>
      </c>
      <c r="J47" s="1"/>
    </row>
    <row r="48" spans="2:10" ht="12.75" customHeight="1" x14ac:dyDescent="0.25">
      <c r="B48" s="1" t="s">
        <v>22</v>
      </c>
      <c r="C48" s="86">
        <f>IF('Marketing Monthly'!E48="","",SUM('Marketing Monthly'!C48:E48))</f>
        <v>0</v>
      </c>
      <c r="D48" s="86">
        <f>IF('Marketing Monthly'!H48="","",SUM('Marketing Monthly'!F48:H48))</f>
        <v>0</v>
      </c>
      <c r="E48" s="86">
        <f>IF('Marketing Monthly'!K48="","",SUM('Marketing Monthly'!I48:K48))</f>
        <v>0</v>
      </c>
      <c r="F48" s="86">
        <f>IF('Marketing Monthly'!L48="","",SUM('Marketing Monthly'!L48:N48))</f>
        <v>0</v>
      </c>
      <c r="G48" s="93">
        <f>SUM(C48:F48)</f>
        <v>0</v>
      </c>
      <c r="H48" s="62"/>
      <c r="I48" s="94">
        <f t="shared" si="5"/>
        <v>0</v>
      </c>
      <c r="J48" s="1"/>
    </row>
    <row r="49" spans="2:10" ht="12.75" customHeight="1" x14ac:dyDescent="0.25">
      <c r="B49" s="1" t="s">
        <v>24</v>
      </c>
      <c r="C49" s="86">
        <f>IF('Marketing Monthly'!E49="","",SUM('Marketing Monthly'!C49:E49))</f>
        <v>0</v>
      </c>
      <c r="D49" s="86">
        <f>IF('Marketing Monthly'!H49="","",SUM('Marketing Monthly'!F49:H49))</f>
        <v>0</v>
      </c>
      <c r="E49" s="86">
        <f>IF('Marketing Monthly'!K49="","",SUM('Marketing Monthly'!I49:K49))</f>
        <v>0</v>
      </c>
      <c r="F49" s="86">
        <f>IF('Marketing Monthly'!L49="","",SUM('Marketing Monthly'!L49:N49))</f>
        <v>0</v>
      </c>
      <c r="G49" s="93">
        <f>SUM(C49:F49)</f>
        <v>0</v>
      </c>
      <c r="H49" s="62"/>
      <c r="I49" s="94">
        <f t="shared" si="5"/>
        <v>0</v>
      </c>
      <c r="J49" s="1"/>
    </row>
    <row r="50" spans="2:10" x14ac:dyDescent="0.25">
      <c r="B50" s="1"/>
      <c r="C50" s="1"/>
      <c r="D50" s="1"/>
      <c r="E50" s="1"/>
      <c r="F50" s="1"/>
      <c r="G50" s="62"/>
      <c r="H50" s="62"/>
      <c r="I50" s="102"/>
      <c r="J50" s="1"/>
    </row>
    <row r="51" spans="2:10" x14ac:dyDescent="0.25">
      <c r="B51" s="103" t="s">
        <v>151</v>
      </c>
      <c r="C51" s="104">
        <f>SUM(C17:C21,C24:C26,C29,C32:C33,C36:C40,C43:C44,C47:C49)</f>
        <v>-14443.899999999998</v>
      </c>
      <c r="D51" s="104">
        <f>SUM(D17:D21,D24:D26,D29,D32:D33,D36:D40,D43:D44,D47:D49)</f>
        <v>682315.72</v>
      </c>
      <c r="E51" s="104">
        <f>SUM(E17:E21,E24:E26,E29,E32:E33,E36:E40,E43:E44,E47:E49)</f>
        <v>126648.22</v>
      </c>
      <c r="F51" s="104">
        <f>SUM(F17:F21,F24:F26,F29,F32:F33,F36:F40,F43:F44,F47:F49)</f>
        <v>562207.80000000016</v>
      </c>
      <c r="G51" s="104">
        <f>SUM(G17:G21,G24:G26,G29,G32:G33,G36:G40,G43:G44,G47:G49)</f>
        <v>1356727.84</v>
      </c>
      <c r="H51" s="104">
        <f>SUM(H17:H21,H24:H26,H29,H32:H33,H36,H43,H47:H49)</f>
        <v>0</v>
      </c>
      <c r="I51" s="73"/>
      <c r="J51" s="1"/>
    </row>
    <row r="52" spans="2:10" x14ac:dyDescent="0.25">
      <c r="B52" s="1"/>
      <c r="C52" s="1"/>
      <c r="D52" s="1"/>
      <c r="E52" s="1"/>
      <c r="F52" s="1"/>
      <c r="G52" s="1"/>
      <c r="H52" s="1"/>
      <c r="I52" s="1"/>
      <c r="J52" s="1"/>
    </row>
    <row r="53" spans="2:10" x14ac:dyDescent="0.25">
      <c r="B53" s="2" t="s">
        <v>152</v>
      </c>
      <c r="C53" s="1"/>
      <c r="D53" s="1"/>
      <c r="E53" s="1"/>
      <c r="F53" s="1"/>
      <c r="G53" s="1"/>
      <c r="H53" s="1"/>
      <c r="I53" s="1"/>
      <c r="J53" s="1"/>
    </row>
    <row r="54" spans="2:10" x14ac:dyDescent="0.25">
      <c r="B54" s="1"/>
      <c r="C54" s="1"/>
      <c r="D54" s="1"/>
      <c r="E54" s="1"/>
      <c r="F54" s="1"/>
      <c r="G54" s="1"/>
      <c r="H54" s="1"/>
      <c r="I54" s="1"/>
      <c r="J54" s="1"/>
    </row>
    <row r="55" spans="2:10" x14ac:dyDescent="0.25">
      <c r="B55" s="105" t="s">
        <v>1</v>
      </c>
      <c r="C55" s="36"/>
      <c r="D55" s="36"/>
      <c r="E55" s="36"/>
      <c r="F55" s="36"/>
      <c r="G55" s="36"/>
      <c r="H55" s="106"/>
      <c r="I55" s="36"/>
      <c r="J55" s="1"/>
    </row>
    <row r="56" spans="2:10" x14ac:dyDescent="0.25">
      <c r="B56" s="1" t="s">
        <v>153</v>
      </c>
      <c r="C56" s="86">
        <f>IF('Marketing Monthly'!E56="","",SUM('Marketing Monthly'!C56:E56))</f>
        <v>0</v>
      </c>
      <c r="D56" s="86">
        <f>IF('Marketing Monthly'!H56="","",SUM('Marketing Monthly'!F56:H56))</f>
        <v>0</v>
      </c>
      <c r="E56" s="86">
        <f>IF('Marketing Monthly'!K56="","",SUM('Marketing Monthly'!I56:K56))</f>
        <v>0</v>
      </c>
      <c r="F56" s="86">
        <f>IF('Marketing Monthly'!L56="","",SUM('Marketing Monthly'!L56:N56))</f>
        <v>0</v>
      </c>
      <c r="G56" s="107">
        <f>SUM(C56:F56)</f>
        <v>0</v>
      </c>
      <c r="H56" s="62"/>
      <c r="I56" s="62"/>
      <c r="J56" s="1"/>
    </row>
    <row r="57" spans="2:10" x14ac:dyDescent="0.25">
      <c r="B57" s="1" t="s">
        <v>154</v>
      </c>
      <c r="C57" s="86">
        <f>IF('Marketing Monthly'!E57="","",SUM('Marketing Monthly'!C57:E57))</f>
        <v>0</v>
      </c>
      <c r="D57" s="86">
        <f>IF('Marketing Monthly'!H57="","",SUM('Marketing Monthly'!F57:H57))</f>
        <v>54889.860000000008</v>
      </c>
      <c r="E57" s="86">
        <f>IF('Marketing Monthly'!K57="","",SUM('Marketing Monthly'!I57:K57))</f>
        <v>1080</v>
      </c>
      <c r="F57" s="86">
        <f>IF('Marketing Monthly'!L57="","",SUM('Marketing Monthly'!L57:N57))</f>
        <v>0</v>
      </c>
      <c r="G57" s="93">
        <f>SUM(C57:F57)</f>
        <v>55969.860000000008</v>
      </c>
      <c r="H57" s="62"/>
      <c r="I57" s="62"/>
      <c r="J57" s="1">
        <v>22</v>
      </c>
    </row>
    <row r="58" spans="2:10" x14ac:dyDescent="0.25">
      <c r="B58" s="1" t="s">
        <v>155</v>
      </c>
      <c r="C58" s="86">
        <f>IF('Marketing Monthly'!E58="","",SUM('Marketing Monthly'!C58:E58))</f>
        <v>0</v>
      </c>
      <c r="D58" s="86">
        <f>IF('Marketing Monthly'!H58="","",SUM('Marketing Monthly'!F58:H58))</f>
        <v>0</v>
      </c>
      <c r="E58" s="86">
        <f>IF('Marketing Monthly'!K58="","",SUM('Marketing Monthly'!I58:K58))</f>
        <v>0</v>
      </c>
      <c r="F58" s="86">
        <f>IF('Marketing Monthly'!L58="","",SUM('Marketing Monthly'!L58:N58))</f>
        <v>0</v>
      </c>
      <c r="G58" s="93">
        <f>SUM(C58:F58)</f>
        <v>0</v>
      </c>
      <c r="H58" s="62"/>
      <c r="I58" s="62"/>
      <c r="J58" s="1"/>
    </row>
    <row r="59" spans="2:10" x14ac:dyDescent="0.25">
      <c r="B59" s="1" t="s">
        <v>156</v>
      </c>
      <c r="C59" s="86">
        <f>IF('Marketing Monthly'!E59="","",SUM('Marketing Monthly'!C59:E59))</f>
        <v>0</v>
      </c>
      <c r="D59" s="86">
        <f>IF('Marketing Monthly'!H59="","",SUM('Marketing Monthly'!F59:H59))</f>
        <v>0</v>
      </c>
      <c r="E59" s="86">
        <f>IF('Marketing Monthly'!K59="","",SUM('Marketing Monthly'!I59:K59))</f>
        <v>10.8</v>
      </c>
      <c r="F59" s="86">
        <f>IF('Marketing Monthly'!L59="","",SUM('Marketing Monthly'!L59:N59))</f>
        <v>0</v>
      </c>
      <c r="G59" s="93">
        <f>SUM(C59:F59)</f>
        <v>10.8</v>
      </c>
      <c r="H59" s="62"/>
      <c r="I59" s="62"/>
      <c r="J59" s="1"/>
    </row>
    <row r="60" spans="2:10" x14ac:dyDescent="0.25">
      <c r="B60" s="36" t="s">
        <v>157</v>
      </c>
      <c r="C60" s="90">
        <f>IF('Marketing Monthly'!E60="","",SUM('Marketing Monthly'!C60:E60))</f>
        <v>0</v>
      </c>
      <c r="D60" s="90">
        <f>IF('Marketing Monthly'!H60="","",SUM('Marketing Monthly'!F60:H60))</f>
        <v>280.89</v>
      </c>
      <c r="E60" s="90">
        <f>IF('Marketing Monthly'!K60="","",SUM('Marketing Monthly'!I60:K60))</f>
        <v>5.68</v>
      </c>
      <c r="F60" s="90">
        <f>IF('Marketing Monthly'!L60="","",SUM('Marketing Monthly'!L60:N60))</f>
        <v>0</v>
      </c>
      <c r="G60" s="108">
        <f>SUM(C60:F60)</f>
        <v>286.57</v>
      </c>
      <c r="H60" s="61"/>
      <c r="I60" s="61"/>
      <c r="J60" s="1">
        <v>25</v>
      </c>
    </row>
    <row r="61" spans="2:10" x14ac:dyDescent="0.25">
      <c r="B61" s="1"/>
      <c r="C61" s="1"/>
      <c r="D61" s="1"/>
      <c r="E61" s="1"/>
      <c r="F61" s="1"/>
      <c r="G61" s="1"/>
      <c r="H61" s="1"/>
      <c r="I61" s="1"/>
      <c r="J61" s="1"/>
    </row>
    <row r="62" spans="2:10" x14ac:dyDescent="0.25">
      <c r="B62" s="105" t="s">
        <v>5</v>
      </c>
      <c r="C62" s="36"/>
      <c r="D62" s="36"/>
      <c r="E62" s="36"/>
      <c r="F62" s="36"/>
      <c r="G62" s="36"/>
      <c r="H62" s="106"/>
      <c r="I62" s="36"/>
      <c r="J62" s="1"/>
    </row>
    <row r="63" spans="2:10" x14ac:dyDescent="0.25">
      <c r="B63" s="1" t="s">
        <v>153</v>
      </c>
      <c r="C63" s="86">
        <f>IF('Marketing Monthly'!E63="","",SUM('Marketing Monthly'!C63:E63))</f>
        <v>0</v>
      </c>
      <c r="D63" s="86">
        <f>IF('Marketing Monthly'!H63="","",SUM('Marketing Monthly'!F63:H63))</f>
        <v>0</v>
      </c>
      <c r="E63" s="86">
        <f>IF('Marketing Monthly'!K63="","",SUM('Marketing Monthly'!I63:K63))</f>
        <v>0</v>
      </c>
      <c r="F63" s="86">
        <f>IF('Marketing Monthly'!L63="","",SUM('Marketing Monthly'!L63:N63))</f>
        <v>0</v>
      </c>
      <c r="G63" s="93">
        <f>SUM(C63:F63)</f>
        <v>0</v>
      </c>
      <c r="H63" s="62"/>
      <c r="I63" s="62"/>
      <c r="J63" s="1"/>
    </row>
    <row r="64" spans="2:10" x14ac:dyDescent="0.25">
      <c r="B64" s="1" t="s">
        <v>154</v>
      </c>
      <c r="C64" s="86">
        <f>IF('Marketing Monthly'!E64="","",SUM('Marketing Monthly'!C64:E64))</f>
        <v>0</v>
      </c>
      <c r="D64" s="86">
        <f>IF('Marketing Monthly'!H64="","",SUM('Marketing Monthly'!F64:H64))</f>
        <v>1311.75</v>
      </c>
      <c r="E64" s="86">
        <f>IF('Marketing Monthly'!K64="","",SUM('Marketing Monthly'!I64:K64))</f>
        <v>1958.43</v>
      </c>
      <c r="F64" s="86">
        <f>IF('Marketing Monthly'!L64="","",SUM('Marketing Monthly'!L64:N64))</f>
        <v>0</v>
      </c>
      <c r="G64" s="93">
        <f>SUM(C64:F64)</f>
        <v>3270.1800000000003</v>
      </c>
      <c r="H64" s="62"/>
      <c r="I64" s="62"/>
      <c r="J64" s="1">
        <v>27</v>
      </c>
    </row>
    <row r="65" spans="2:10" x14ac:dyDescent="0.25">
      <c r="B65" s="1" t="s">
        <v>155</v>
      </c>
      <c r="C65" s="86">
        <f>IF('Marketing Monthly'!E65="","",SUM('Marketing Monthly'!C65:E65))</f>
        <v>0</v>
      </c>
      <c r="D65" s="86">
        <f>IF('Marketing Monthly'!H65="","",SUM('Marketing Monthly'!F65:H65))</f>
        <v>0</v>
      </c>
      <c r="E65" s="86">
        <f>IF('Marketing Monthly'!K65="","",SUM('Marketing Monthly'!I65:K65))</f>
        <v>0</v>
      </c>
      <c r="F65" s="86">
        <f>IF('Marketing Monthly'!L65="","",SUM('Marketing Monthly'!L65:N65))</f>
        <v>0</v>
      </c>
      <c r="G65" s="93">
        <f>SUM(C65:F65)</f>
        <v>0</v>
      </c>
      <c r="H65" s="62"/>
      <c r="I65" s="62"/>
      <c r="J65" s="1"/>
    </row>
    <row r="66" spans="2:10" x14ac:dyDescent="0.25">
      <c r="B66" s="1" t="s">
        <v>156</v>
      </c>
      <c r="C66" s="86">
        <f>IF('Marketing Monthly'!E66="","",SUM('Marketing Monthly'!C66:E66))</f>
        <v>0</v>
      </c>
      <c r="D66" s="86">
        <f>IF('Marketing Monthly'!H66="","",SUM('Marketing Monthly'!F66:H66))</f>
        <v>0</v>
      </c>
      <c r="E66" s="86">
        <f>IF('Marketing Monthly'!K66="","",SUM('Marketing Monthly'!I66:K66))</f>
        <v>10.08</v>
      </c>
      <c r="F66" s="86">
        <f>IF('Marketing Monthly'!L66="","",SUM('Marketing Monthly'!L66:N66))</f>
        <v>0</v>
      </c>
      <c r="G66" s="93">
        <f>SUM(C66:F66)</f>
        <v>10.08</v>
      </c>
      <c r="H66" s="62"/>
      <c r="I66" s="62"/>
      <c r="J66" s="1"/>
    </row>
    <row r="67" spans="2:10" x14ac:dyDescent="0.25">
      <c r="B67" s="36" t="s">
        <v>157</v>
      </c>
      <c r="C67" s="90">
        <f>IF('Marketing Monthly'!E67="","",SUM('Marketing Monthly'!C67:E67))</f>
        <v>0</v>
      </c>
      <c r="D67" s="90">
        <f>IF('Marketing Monthly'!H67="","",SUM('Marketing Monthly'!F67:H67))</f>
        <v>0</v>
      </c>
      <c r="E67" s="90">
        <f>IF('Marketing Monthly'!K67="","",SUM('Marketing Monthly'!I67:K67))</f>
        <v>0.05</v>
      </c>
      <c r="F67" s="90">
        <f>IF('Marketing Monthly'!L67="","",SUM('Marketing Monthly'!L67:N67))</f>
        <v>0</v>
      </c>
      <c r="G67" s="108">
        <f>SUM(C67:F67)</f>
        <v>0.05</v>
      </c>
      <c r="H67" s="61"/>
      <c r="I67" s="61"/>
      <c r="J67" s="1">
        <v>30</v>
      </c>
    </row>
    <row r="68" spans="2:10" x14ac:dyDescent="0.25">
      <c r="B68" s="1"/>
      <c r="C68" s="86"/>
      <c r="D68" s="86"/>
      <c r="E68" s="86"/>
      <c r="F68" s="86"/>
      <c r="G68" s="1"/>
      <c r="H68" s="1"/>
      <c r="I68" s="1"/>
      <c r="J68" s="1"/>
    </row>
    <row r="69" spans="2:10" x14ac:dyDescent="0.25">
      <c r="B69" s="105" t="s">
        <v>12</v>
      </c>
      <c r="C69" s="90"/>
      <c r="D69" s="90"/>
      <c r="E69" s="90"/>
      <c r="F69" s="90"/>
      <c r="G69" s="36"/>
      <c r="H69" s="106"/>
      <c r="I69" s="36"/>
      <c r="J69" s="1"/>
    </row>
    <row r="70" spans="2:10" x14ac:dyDescent="0.25">
      <c r="B70" s="1" t="s">
        <v>153</v>
      </c>
      <c r="C70" s="86">
        <f>IF('Marketing Monthly'!E70="","",SUM('Marketing Monthly'!C70:E70))</f>
        <v>0</v>
      </c>
      <c r="D70" s="86">
        <f>IF('Marketing Monthly'!H70="","",SUM('Marketing Monthly'!F70:H70))</f>
        <v>0</v>
      </c>
      <c r="E70" s="86">
        <f>IF('Marketing Monthly'!K70="","",SUM('Marketing Monthly'!I70:K70))</f>
        <v>0</v>
      </c>
      <c r="F70" s="86">
        <f>IF('Marketing Monthly'!L70="","",SUM('Marketing Monthly'!L70:N70))</f>
        <v>0</v>
      </c>
      <c r="G70" s="93">
        <f>SUM(C70:F70)</f>
        <v>0</v>
      </c>
      <c r="H70" s="62"/>
      <c r="I70" s="62"/>
      <c r="J70" s="1"/>
    </row>
    <row r="71" spans="2:10" x14ac:dyDescent="0.25">
      <c r="B71" s="1" t="s">
        <v>154</v>
      </c>
      <c r="C71" s="86">
        <f>IF('Marketing Monthly'!E71="","",SUM('Marketing Monthly'!C71:E71))</f>
        <v>0</v>
      </c>
      <c r="D71" s="86">
        <f>IF('Marketing Monthly'!H71="","",SUM('Marketing Monthly'!F71:H71))</f>
        <v>0</v>
      </c>
      <c r="E71" s="86">
        <f>IF('Marketing Monthly'!K71="","",SUM('Marketing Monthly'!I71:K71))</f>
        <v>0</v>
      </c>
      <c r="F71" s="86">
        <f>IF('Marketing Monthly'!L71="","",SUM('Marketing Monthly'!L71:N71))</f>
        <v>0</v>
      </c>
      <c r="G71" s="93">
        <f>SUM(C71:F71)</f>
        <v>0</v>
      </c>
      <c r="H71" s="62"/>
      <c r="I71" s="62"/>
      <c r="J71" s="1">
        <v>32</v>
      </c>
    </row>
    <row r="72" spans="2:10" x14ac:dyDescent="0.25">
      <c r="B72" s="1" t="s">
        <v>155</v>
      </c>
      <c r="C72" s="86">
        <f>IF('Marketing Monthly'!E72="","",SUM('Marketing Monthly'!C72:E72))</f>
        <v>0</v>
      </c>
      <c r="D72" s="86">
        <f>IF('Marketing Monthly'!H72="","",SUM('Marketing Monthly'!F72:H72))</f>
        <v>0</v>
      </c>
      <c r="E72" s="86">
        <f>IF('Marketing Monthly'!K72="","",SUM('Marketing Monthly'!I72:K72))</f>
        <v>0</v>
      </c>
      <c r="F72" s="86">
        <f>IF('Marketing Monthly'!L72="","",SUM('Marketing Monthly'!L72:N72))</f>
        <v>0</v>
      </c>
      <c r="G72" s="93">
        <f>SUM(C72:F72)</f>
        <v>0</v>
      </c>
      <c r="H72" s="62"/>
      <c r="I72" s="62"/>
      <c r="J72" s="1"/>
    </row>
    <row r="73" spans="2:10" x14ac:dyDescent="0.25">
      <c r="B73" s="1" t="s">
        <v>156</v>
      </c>
      <c r="C73" s="86">
        <f>IF('Marketing Monthly'!E73="","",SUM('Marketing Monthly'!C73:E73))</f>
        <v>0</v>
      </c>
      <c r="D73" s="86">
        <f>IF('Marketing Monthly'!H73="","",SUM('Marketing Monthly'!F73:H73))</f>
        <v>0</v>
      </c>
      <c r="E73" s="86">
        <f>IF('Marketing Monthly'!K73="","",SUM('Marketing Monthly'!I73:K73))</f>
        <v>0</v>
      </c>
      <c r="F73" s="86">
        <f>IF('Marketing Monthly'!L73="","",SUM('Marketing Monthly'!L73:N73))</f>
        <v>0</v>
      </c>
      <c r="G73" s="93">
        <f>SUM(C73:F73)</f>
        <v>0</v>
      </c>
      <c r="H73" s="62"/>
      <c r="I73" s="62"/>
      <c r="J73" s="1"/>
    </row>
    <row r="74" spans="2:10" x14ac:dyDescent="0.25">
      <c r="B74" s="36" t="s">
        <v>157</v>
      </c>
      <c r="C74" s="90">
        <f>IF('Marketing Monthly'!E74="","",SUM('Marketing Monthly'!C74:E74))</f>
        <v>0</v>
      </c>
      <c r="D74" s="90">
        <f>IF('Marketing Monthly'!H74="","",SUM('Marketing Monthly'!F74:H74))</f>
        <v>0</v>
      </c>
      <c r="E74" s="90">
        <f>IF('Marketing Monthly'!K74="","",SUM('Marketing Monthly'!I74:K74))</f>
        <v>0</v>
      </c>
      <c r="F74" s="90">
        <f>IF('Marketing Monthly'!L74="","",SUM('Marketing Monthly'!L74:N74))</f>
        <v>0</v>
      </c>
      <c r="G74" s="108">
        <f>SUM(C74:F74)</f>
        <v>0</v>
      </c>
      <c r="H74" s="61"/>
      <c r="I74" s="61"/>
      <c r="J74" s="1">
        <v>35</v>
      </c>
    </row>
    <row r="75" spans="2:10" x14ac:dyDescent="0.25">
      <c r="B75" s="1"/>
      <c r="C75" s="86"/>
      <c r="D75" s="86"/>
      <c r="E75" s="86"/>
      <c r="F75" s="86"/>
      <c r="G75" s="1"/>
      <c r="H75" s="1"/>
      <c r="I75" s="1"/>
      <c r="J75" s="1"/>
    </row>
    <row r="76" spans="2:10" x14ac:dyDescent="0.25">
      <c r="B76" s="105" t="s">
        <v>31</v>
      </c>
      <c r="C76" s="90"/>
      <c r="D76" s="90"/>
      <c r="E76" s="90"/>
      <c r="F76" s="90"/>
      <c r="G76" s="36"/>
      <c r="H76" s="106"/>
      <c r="I76" s="36"/>
      <c r="J76" s="1"/>
    </row>
    <row r="77" spans="2:10" x14ac:dyDescent="0.25">
      <c r="B77" s="1" t="s">
        <v>153</v>
      </c>
      <c r="C77" s="86">
        <f>IF('Marketing Monthly'!E77="","",SUM('Marketing Monthly'!C77:E77))</f>
        <v>0</v>
      </c>
      <c r="D77" s="86">
        <f>IF('Marketing Monthly'!H77="","",SUM('Marketing Monthly'!F77:H77))</f>
        <v>0</v>
      </c>
      <c r="E77" s="86">
        <f>IF('Marketing Monthly'!K77="","",SUM('Marketing Monthly'!I77:K77))</f>
        <v>0</v>
      </c>
      <c r="F77" s="86">
        <f>IF('Marketing Monthly'!L77="","",SUM('Marketing Monthly'!L77:N77))</f>
        <v>0</v>
      </c>
      <c r="G77" s="93">
        <f>SUM(C77:F77)</f>
        <v>0</v>
      </c>
      <c r="H77" s="62"/>
      <c r="I77" s="62"/>
      <c r="J77" s="1"/>
    </row>
    <row r="78" spans="2:10" x14ac:dyDescent="0.25">
      <c r="B78" s="1" t="s">
        <v>154</v>
      </c>
      <c r="C78" s="86">
        <f>IF('Marketing Monthly'!E78="","",SUM('Marketing Monthly'!C78:E78))</f>
        <v>0</v>
      </c>
      <c r="D78" s="86">
        <f>IF('Marketing Monthly'!H78="","",SUM('Marketing Monthly'!F78:H78))</f>
        <v>0</v>
      </c>
      <c r="E78" s="86">
        <f>IF('Marketing Monthly'!K78="","",SUM('Marketing Monthly'!I78:K78))</f>
        <v>0</v>
      </c>
      <c r="F78" s="86">
        <f>IF('Marketing Monthly'!L78="","",SUM('Marketing Monthly'!L78:N78))</f>
        <v>0</v>
      </c>
      <c r="G78" s="93">
        <f>SUM(C78:F78)</f>
        <v>0</v>
      </c>
      <c r="H78" s="62"/>
      <c r="I78" s="62"/>
      <c r="J78" s="1"/>
    </row>
    <row r="79" spans="2:10" x14ac:dyDescent="0.25">
      <c r="B79" s="1" t="s">
        <v>155</v>
      </c>
      <c r="C79" s="86">
        <f>IF('Marketing Monthly'!E79="","",SUM('Marketing Monthly'!C79:E79))</f>
        <v>0</v>
      </c>
      <c r="D79" s="86">
        <f>IF('Marketing Monthly'!H79="","",SUM('Marketing Monthly'!F79:H79))</f>
        <v>0</v>
      </c>
      <c r="E79" s="86">
        <f>IF('Marketing Monthly'!K79="","",SUM('Marketing Monthly'!I79:K79))</f>
        <v>0</v>
      </c>
      <c r="F79" s="86">
        <f>IF('Marketing Monthly'!L79="","",SUM('Marketing Monthly'!L79:N79))</f>
        <v>0</v>
      </c>
      <c r="G79" s="93">
        <f>SUM(C79:F79)</f>
        <v>0</v>
      </c>
      <c r="H79" s="62"/>
      <c r="I79" s="62"/>
      <c r="J79" s="1"/>
    </row>
    <row r="80" spans="2:10" x14ac:dyDescent="0.25">
      <c r="B80" s="1" t="s">
        <v>156</v>
      </c>
      <c r="C80" s="86">
        <f>IF('Marketing Monthly'!E80="","",SUM('Marketing Monthly'!C80:E80))</f>
        <v>0</v>
      </c>
      <c r="D80" s="86">
        <f>IF('Marketing Monthly'!H80="","",SUM('Marketing Monthly'!F80:H80))</f>
        <v>0</v>
      </c>
      <c r="E80" s="86">
        <f>IF('Marketing Monthly'!K80="","",SUM('Marketing Monthly'!I80:K80))</f>
        <v>0</v>
      </c>
      <c r="F80" s="86">
        <f>IF('Marketing Monthly'!L80="","",SUM('Marketing Monthly'!L80:N80))</f>
        <v>0</v>
      </c>
      <c r="G80" s="93">
        <f>SUM(C80:F80)</f>
        <v>0</v>
      </c>
      <c r="H80" s="62"/>
      <c r="I80" s="62"/>
      <c r="J80" s="1"/>
    </row>
    <row r="81" spans="2:10" x14ac:dyDescent="0.25">
      <c r="B81" s="36" t="s">
        <v>157</v>
      </c>
      <c r="C81" s="90">
        <f>IF('Marketing Monthly'!E81="","",SUM('Marketing Monthly'!C81:E81))</f>
        <v>0</v>
      </c>
      <c r="D81" s="90">
        <f>IF('Marketing Monthly'!H81="","",SUM('Marketing Monthly'!F81:H81))</f>
        <v>0</v>
      </c>
      <c r="E81" s="90">
        <f>IF('Marketing Monthly'!K81="","",SUM('Marketing Monthly'!I81:K81))</f>
        <v>0</v>
      </c>
      <c r="F81" s="90">
        <f>IF('Marketing Monthly'!L81="","",SUM('Marketing Monthly'!L81:N81))</f>
        <v>0</v>
      </c>
      <c r="G81" s="108">
        <f>SUM(C81:F81)</f>
        <v>0</v>
      </c>
      <c r="H81" s="61"/>
      <c r="I81" s="61"/>
      <c r="J81" s="1"/>
    </row>
    <row r="82" spans="2:10" x14ac:dyDescent="0.25">
      <c r="B82" s="1"/>
      <c r="C82" s="86"/>
      <c r="D82" s="86"/>
      <c r="E82" s="86"/>
      <c r="F82" s="86"/>
      <c r="G82" s="1"/>
      <c r="H82" s="1"/>
      <c r="I82" s="1"/>
      <c r="J82" s="1"/>
    </row>
    <row r="83" spans="2:10" x14ac:dyDescent="0.25">
      <c r="B83" s="105" t="s">
        <v>197</v>
      </c>
      <c r="C83" s="90"/>
      <c r="D83" s="90"/>
      <c r="E83" s="90"/>
      <c r="F83" s="90"/>
      <c r="G83" s="36"/>
      <c r="H83" s="106"/>
      <c r="I83" s="36"/>
      <c r="J83" s="1"/>
    </row>
    <row r="84" spans="2:10" x14ac:dyDescent="0.25">
      <c r="B84" s="1" t="s">
        <v>153</v>
      </c>
      <c r="C84" s="86">
        <f>IF('Marketing Monthly'!E84="","",SUM('Marketing Monthly'!C84:E84))</f>
        <v>0</v>
      </c>
      <c r="D84" s="86">
        <f>IF('Marketing Monthly'!H84="","",SUM('Marketing Monthly'!F84:H84))</f>
        <v>0</v>
      </c>
      <c r="E84" s="86">
        <f>IF('Marketing Monthly'!K84="","",SUM('Marketing Monthly'!I84:K84))</f>
        <v>0</v>
      </c>
      <c r="F84" s="86">
        <f>IF('Marketing Monthly'!L84="","",SUM('Marketing Monthly'!L84:N84))</f>
        <v>0</v>
      </c>
      <c r="G84" s="93">
        <f>SUM(C84:F84)</f>
        <v>0</v>
      </c>
      <c r="H84" s="62"/>
      <c r="I84" s="62"/>
      <c r="J84" s="1"/>
    </row>
    <row r="85" spans="2:10" x14ac:dyDescent="0.25">
      <c r="B85" s="1" t="s">
        <v>154</v>
      </c>
      <c r="C85" s="86">
        <f>IF('Marketing Monthly'!E85="","",SUM('Marketing Monthly'!C85:E85))</f>
        <v>-64228.1</v>
      </c>
      <c r="D85" s="86">
        <f>IF('Marketing Monthly'!H85="","",SUM('Marketing Monthly'!F85:H85))</f>
        <v>745406</v>
      </c>
      <c r="E85" s="86">
        <f>IF('Marketing Monthly'!K85="","",SUM('Marketing Monthly'!I85:K85))</f>
        <v>287361.59999999998</v>
      </c>
      <c r="F85" s="86">
        <f>IF('Marketing Monthly'!L85="","",SUM('Marketing Monthly'!L85:N85))</f>
        <v>767333.19000000006</v>
      </c>
      <c r="G85" s="93">
        <f>SUM(C85:F85)</f>
        <v>1735872.69</v>
      </c>
      <c r="H85" s="62"/>
      <c r="I85" s="62"/>
      <c r="J85" s="1">
        <v>42</v>
      </c>
    </row>
    <row r="86" spans="2:10" x14ac:dyDescent="0.25">
      <c r="B86" s="1" t="s">
        <v>155</v>
      </c>
      <c r="C86" s="86">
        <f>IF('Marketing Monthly'!E86="","",SUM('Marketing Monthly'!C86:E86))</f>
        <v>4143.8</v>
      </c>
      <c r="D86" s="86">
        <f>IF('Marketing Monthly'!H86="","",SUM('Marketing Monthly'!F86:H86))</f>
        <v>14977.07</v>
      </c>
      <c r="E86" s="86">
        <f>IF('Marketing Monthly'!K86="","",SUM('Marketing Monthly'!I86:K86))</f>
        <v>9996.6299999999992</v>
      </c>
      <c r="F86" s="86">
        <f>IF('Marketing Monthly'!L86="","",SUM('Marketing Monthly'!L86:N86))</f>
        <v>-8884.7999999999993</v>
      </c>
      <c r="G86" s="93">
        <f>SUM(C86:F86)</f>
        <v>20232.7</v>
      </c>
      <c r="H86" s="62"/>
      <c r="I86" s="62"/>
      <c r="J86" s="1">
        <v>43</v>
      </c>
    </row>
    <row r="87" spans="2:10" x14ac:dyDescent="0.25">
      <c r="B87" s="1" t="s">
        <v>156</v>
      </c>
      <c r="C87" s="86">
        <f>IF('Marketing Monthly'!E87="","",SUM('Marketing Monthly'!C87:E87))</f>
        <v>32622.5</v>
      </c>
      <c r="D87" s="86">
        <f>IF('Marketing Monthly'!H87="","",SUM('Marketing Monthly'!F87:H87))</f>
        <v>5357</v>
      </c>
      <c r="E87" s="86">
        <f>IF('Marketing Monthly'!K87="","",SUM('Marketing Monthly'!I87:K87))</f>
        <v>21557</v>
      </c>
      <c r="F87" s="86">
        <f>IF('Marketing Monthly'!L87="","",SUM('Marketing Monthly'!L87:N87))</f>
        <v>-249693.5</v>
      </c>
      <c r="G87" s="93">
        <f>SUM(C87:F87)</f>
        <v>-190157</v>
      </c>
      <c r="H87" s="62"/>
      <c r="I87" s="62"/>
      <c r="J87" s="1">
        <v>44</v>
      </c>
    </row>
    <row r="88" spans="2:10" x14ac:dyDescent="0.25">
      <c r="B88" s="36" t="s">
        <v>157</v>
      </c>
      <c r="C88" s="90">
        <f>IF('Marketing Monthly'!E88="","",SUM('Marketing Monthly'!C88:E88))</f>
        <v>271.84000000000003</v>
      </c>
      <c r="D88" s="90">
        <f>IF('Marketing Monthly'!H88="","",SUM('Marketing Monthly'!F88:H88))</f>
        <v>3477.56</v>
      </c>
      <c r="E88" s="90">
        <f>IF('Marketing Monthly'!K88="","",SUM('Marketing Monthly'!I88:K88))</f>
        <v>1179.71</v>
      </c>
      <c r="F88" s="90">
        <f>IF('Marketing Monthly'!L88="","",SUM('Marketing Monthly'!L88:N88))</f>
        <v>1061.27</v>
      </c>
      <c r="G88" s="108">
        <f>SUM(C88:F88)</f>
        <v>5990.380000000001</v>
      </c>
      <c r="H88" s="61"/>
      <c r="I88" s="61"/>
      <c r="J88" s="1">
        <v>45</v>
      </c>
    </row>
    <row r="89" spans="2:10" x14ac:dyDescent="0.25">
      <c r="B89" s="1"/>
      <c r="C89" s="86"/>
      <c r="D89" s="86"/>
      <c r="E89" s="86"/>
      <c r="F89" s="86"/>
      <c r="G89" s="1"/>
      <c r="H89" s="1"/>
      <c r="I89" s="1"/>
      <c r="J89" s="1"/>
    </row>
    <row r="90" spans="2:10" x14ac:dyDescent="0.25">
      <c r="B90" s="105" t="s">
        <v>34</v>
      </c>
      <c r="C90" s="90"/>
      <c r="D90" s="90"/>
      <c r="E90" s="90"/>
      <c r="F90" s="90"/>
      <c r="G90" s="36"/>
      <c r="H90" s="106"/>
      <c r="I90" s="36"/>
      <c r="J90" s="1"/>
    </row>
    <row r="91" spans="2:10" x14ac:dyDescent="0.25">
      <c r="B91" s="1" t="s">
        <v>153</v>
      </c>
      <c r="C91" s="86">
        <f>IF('Marketing Monthly'!E91="","",SUM('Marketing Monthly'!C91:E91))</f>
        <v>0</v>
      </c>
      <c r="D91" s="86">
        <f>IF('Marketing Monthly'!H91="","",SUM('Marketing Monthly'!F91:H91))</f>
        <v>0</v>
      </c>
      <c r="E91" s="86">
        <f>IF('Marketing Monthly'!K91="","",SUM('Marketing Monthly'!I91:K91))</f>
        <v>0</v>
      </c>
      <c r="F91" s="86">
        <f>IF('Marketing Monthly'!L91="","",SUM('Marketing Monthly'!L91:N91))</f>
        <v>0</v>
      </c>
      <c r="G91" s="93">
        <f>SUM(C91:F91)</f>
        <v>0</v>
      </c>
      <c r="H91" s="62"/>
      <c r="I91" s="62"/>
      <c r="J91" s="1">
        <v>46</v>
      </c>
    </row>
    <row r="92" spans="2:10" x14ac:dyDescent="0.25">
      <c r="B92" s="1" t="s">
        <v>154</v>
      </c>
      <c r="C92" s="86">
        <f>IF('Marketing Monthly'!E92="","",SUM('Marketing Monthly'!C92:E92))</f>
        <v>41899.370000000003</v>
      </c>
      <c r="D92" s="86">
        <f>IF('Marketing Monthly'!H92="","",SUM('Marketing Monthly'!F92:H92))</f>
        <v>1382824.1700000002</v>
      </c>
      <c r="E92" s="86">
        <f>IF('Marketing Monthly'!K92="","",SUM('Marketing Monthly'!I92:K92))</f>
        <v>77390.98</v>
      </c>
      <c r="F92" s="86">
        <f>IF('Marketing Monthly'!L92="","",SUM('Marketing Monthly'!L92:N92))</f>
        <v>120796.95999999999</v>
      </c>
      <c r="G92" s="93">
        <f>SUM(C92:F92)</f>
        <v>1622911.4800000002</v>
      </c>
      <c r="H92" s="62"/>
      <c r="I92" s="62"/>
      <c r="J92" s="1">
        <v>47</v>
      </c>
    </row>
    <row r="93" spans="2:10" x14ac:dyDescent="0.25">
      <c r="B93" s="1" t="s">
        <v>155</v>
      </c>
      <c r="C93" s="86">
        <f>IF('Marketing Monthly'!E93="","",SUM('Marketing Monthly'!C93:E93))</f>
        <v>14874.54</v>
      </c>
      <c r="D93" s="86">
        <f>IF('Marketing Monthly'!H93="","",SUM('Marketing Monthly'!F93:H93))</f>
        <v>13170.800000000001</v>
      </c>
      <c r="E93" s="86">
        <f>IF('Marketing Monthly'!K93="","",SUM('Marketing Monthly'!I93:K93))</f>
        <v>12677.7</v>
      </c>
      <c r="F93" s="86">
        <f>IF('Marketing Monthly'!L93="","",SUM('Marketing Monthly'!L93:N93))</f>
        <v>11769.52</v>
      </c>
      <c r="G93" s="93">
        <f>SUM(C93:F93)</f>
        <v>52492.560000000012</v>
      </c>
      <c r="H93" s="62"/>
      <c r="I93" s="62"/>
      <c r="J93" s="1">
        <v>48</v>
      </c>
    </row>
    <row r="94" spans="2:10" x14ac:dyDescent="0.25">
      <c r="B94" s="1" t="s">
        <v>156</v>
      </c>
      <c r="C94" s="86">
        <f>IF('Marketing Monthly'!E94="","",SUM('Marketing Monthly'!C94:E94))</f>
        <v>0</v>
      </c>
      <c r="D94" s="86">
        <f>IF('Marketing Monthly'!H94="","",SUM('Marketing Monthly'!F94:H94))</f>
        <v>36.93</v>
      </c>
      <c r="E94" s="86">
        <f>IF('Marketing Monthly'!K94="","",SUM('Marketing Monthly'!I94:K94))</f>
        <v>9612</v>
      </c>
      <c r="F94" s="86">
        <f>IF('Marketing Monthly'!L94="","",SUM('Marketing Monthly'!L94:N94))</f>
        <v>0</v>
      </c>
      <c r="G94" s="93">
        <f>SUM(C94:F94)</f>
        <v>9648.93</v>
      </c>
      <c r="H94" s="62"/>
      <c r="I94" s="62"/>
      <c r="J94" s="1">
        <v>49</v>
      </c>
    </row>
    <row r="95" spans="2:10" x14ac:dyDescent="0.25">
      <c r="B95" s="36" t="s">
        <v>157</v>
      </c>
      <c r="C95" s="90">
        <f>IF('Marketing Monthly'!E95="","",SUM('Marketing Monthly'!C95:E95))</f>
        <v>124.61</v>
      </c>
      <c r="D95" s="90">
        <f>IF('Marketing Monthly'!H95="","",SUM('Marketing Monthly'!F95:H95))</f>
        <v>4307.43</v>
      </c>
      <c r="E95" s="90">
        <f>IF('Marketing Monthly'!K95="","",SUM('Marketing Monthly'!I95:K95))</f>
        <v>49.98</v>
      </c>
      <c r="F95" s="90">
        <f>IF('Marketing Monthly'!L95="","",SUM('Marketing Monthly'!L95:N95))</f>
        <v>279.75</v>
      </c>
      <c r="G95" s="108">
        <f>SUM(C95:F95)</f>
        <v>4761.7699999999995</v>
      </c>
      <c r="H95" s="61"/>
      <c r="I95" s="61"/>
      <c r="J95" s="1">
        <v>50</v>
      </c>
    </row>
    <row r="96" spans="2:10" x14ac:dyDescent="0.25">
      <c r="B96" s="1"/>
      <c r="C96" s="86"/>
      <c r="D96" s="86"/>
      <c r="E96" s="86"/>
      <c r="F96" s="86"/>
      <c r="G96" s="1"/>
      <c r="H96" s="1"/>
      <c r="I96" s="1"/>
      <c r="J96" s="1"/>
    </row>
    <row r="97" spans="2:10" x14ac:dyDescent="0.25">
      <c r="B97" s="105" t="s">
        <v>38</v>
      </c>
      <c r="C97" s="90"/>
      <c r="D97" s="90"/>
      <c r="E97" s="90"/>
      <c r="F97" s="90"/>
      <c r="G97" s="36"/>
      <c r="H97" s="106"/>
      <c r="I97" s="36"/>
      <c r="J97" s="1"/>
    </row>
    <row r="98" spans="2:10" x14ac:dyDescent="0.25">
      <c r="B98" s="1" t="s">
        <v>153</v>
      </c>
      <c r="C98" s="86">
        <f>IF('Marketing Monthly'!E98="","",SUM('Marketing Monthly'!C98:E98))</f>
        <v>0</v>
      </c>
      <c r="D98" s="86">
        <f>IF('Marketing Monthly'!H98="","",SUM('Marketing Monthly'!F98:H98))</f>
        <v>0</v>
      </c>
      <c r="E98" s="86">
        <f>IF('Marketing Monthly'!K98="","",SUM('Marketing Monthly'!I98:K98))</f>
        <v>0</v>
      </c>
      <c r="F98" s="86">
        <f>IF('Marketing Monthly'!L98="","",SUM('Marketing Monthly'!L98:N98))</f>
        <v>0</v>
      </c>
      <c r="G98" s="93">
        <f>SUM(C98:F98)</f>
        <v>0</v>
      </c>
      <c r="H98" s="62"/>
      <c r="I98" s="62"/>
      <c r="J98" s="1"/>
    </row>
    <row r="99" spans="2:10" x14ac:dyDescent="0.25">
      <c r="B99" s="1" t="s">
        <v>154</v>
      </c>
      <c r="C99" s="86">
        <f>IF('Marketing Monthly'!E99="","",SUM('Marketing Monthly'!C99:E99))</f>
        <v>0</v>
      </c>
      <c r="D99" s="86">
        <f>IF('Marketing Monthly'!H99="","",SUM('Marketing Monthly'!F99:H99))</f>
        <v>0</v>
      </c>
      <c r="E99" s="86">
        <f>IF('Marketing Monthly'!K99="","",SUM('Marketing Monthly'!I99:K99))</f>
        <v>-12.56</v>
      </c>
      <c r="F99" s="86">
        <f>IF('Marketing Monthly'!L99="","",SUM('Marketing Monthly'!L99:N99))</f>
        <v>0</v>
      </c>
      <c r="G99" s="93">
        <f>SUM(C99:F99)</f>
        <v>-12.56</v>
      </c>
      <c r="H99" s="62"/>
      <c r="I99" s="62"/>
      <c r="J99" s="1">
        <v>52</v>
      </c>
    </row>
    <row r="100" spans="2:10" x14ac:dyDescent="0.25">
      <c r="B100" s="1" t="s">
        <v>155</v>
      </c>
      <c r="C100" s="86">
        <f>IF('Marketing Monthly'!E100="","",SUM('Marketing Monthly'!C100:E100))</f>
        <v>0</v>
      </c>
      <c r="D100" s="86">
        <f>IF('Marketing Monthly'!H100="","",SUM('Marketing Monthly'!F100:H100))</f>
        <v>0</v>
      </c>
      <c r="E100" s="86">
        <f>IF('Marketing Monthly'!K100="","",SUM('Marketing Monthly'!I100:K100))</f>
        <v>0</v>
      </c>
      <c r="F100" s="86">
        <f>IF('Marketing Monthly'!L100="","",SUM('Marketing Monthly'!L100:N100))</f>
        <v>0</v>
      </c>
      <c r="G100" s="93">
        <f>SUM(C100:F100)</f>
        <v>0</v>
      </c>
      <c r="H100" s="62"/>
      <c r="I100" s="62"/>
      <c r="J100" s="1"/>
    </row>
    <row r="101" spans="2:10" x14ac:dyDescent="0.25">
      <c r="B101" s="1" t="s">
        <v>156</v>
      </c>
      <c r="C101" s="86">
        <f>IF('Marketing Monthly'!E101="","",SUM('Marketing Monthly'!C101:E101))</f>
        <v>0</v>
      </c>
      <c r="D101" s="86">
        <f>IF('Marketing Monthly'!H101="","",SUM('Marketing Monthly'!F101:H101))</f>
        <v>502.5</v>
      </c>
      <c r="E101" s="86">
        <f>IF('Marketing Monthly'!K101="","",SUM('Marketing Monthly'!I101:K101))</f>
        <v>0</v>
      </c>
      <c r="F101" s="86">
        <f>IF('Marketing Monthly'!L101="","",SUM('Marketing Monthly'!L101:N101))</f>
        <v>0</v>
      </c>
      <c r="G101" s="93">
        <f>SUM(C101:F101)</f>
        <v>502.5</v>
      </c>
      <c r="H101" s="62"/>
      <c r="I101" s="62"/>
      <c r="J101" s="1"/>
    </row>
    <row r="102" spans="2:10" x14ac:dyDescent="0.25">
      <c r="B102" s="36" t="s">
        <v>157</v>
      </c>
      <c r="C102" s="90">
        <f>IF('Marketing Monthly'!E102="","",SUM('Marketing Monthly'!C102:E102))</f>
        <v>0</v>
      </c>
      <c r="D102" s="90">
        <f>IF('Marketing Monthly'!H102="","",SUM('Marketing Monthly'!F102:H102))</f>
        <v>2.61</v>
      </c>
      <c r="E102" s="90">
        <f>IF('Marketing Monthly'!K102="","",SUM('Marketing Monthly'!I102:K102))</f>
        <v>0</v>
      </c>
      <c r="F102" s="90">
        <f>IF('Marketing Monthly'!L102="","",SUM('Marketing Monthly'!L102:N102))</f>
        <v>0</v>
      </c>
      <c r="G102" s="108">
        <f>SUM(C102:F102)</f>
        <v>2.61</v>
      </c>
      <c r="H102" s="61"/>
      <c r="I102" s="61"/>
      <c r="J102" s="1">
        <v>55</v>
      </c>
    </row>
    <row r="103" spans="2:10" x14ac:dyDescent="0.25">
      <c r="B103" s="1"/>
      <c r="C103" s="86"/>
      <c r="D103" s="86"/>
      <c r="E103" s="86"/>
      <c r="F103" s="86"/>
      <c r="G103" s="1"/>
      <c r="H103" s="1"/>
      <c r="I103" s="1"/>
      <c r="J103" s="1"/>
    </row>
    <row r="104" spans="2:10" x14ac:dyDescent="0.25">
      <c r="B104" s="105" t="s">
        <v>158</v>
      </c>
      <c r="C104" s="90"/>
      <c r="D104" s="90"/>
      <c r="E104" s="90"/>
      <c r="F104" s="90"/>
      <c r="G104" s="36"/>
      <c r="H104" s="106"/>
      <c r="I104" s="36"/>
      <c r="J104" s="1"/>
    </row>
    <row r="105" spans="2:10" x14ac:dyDescent="0.25">
      <c r="B105" s="1" t="s">
        <v>153</v>
      </c>
      <c r="C105" s="86">
        <f>IF('Marketing Monthly'!E105="","",SUM('Marketing Monthly'!C105:E105))</f>
        <v>0</v>
      </c>
      <c r="D105" s="86">
        <f>IF('Marketing Monthly'!H105="","",SUM('Marketing Monthly'!F105:H105))</f>
        <v>0</v>
      </c>
      <c r="E105" s="86">
        <f>IF('Marketing Monthly'!K105="","",SUM('Marketing Monthly'!I105:K105))</f>
        <v>0</v>
      </c>
      <c r="F105" s="86">
        <f>IF('Marketing Monthly'!L105="","",SUM('Marketing Monthly'!L105:N105))</f>
        <v>0</v>
      </c>
      <c r="G105" s="93">
        <f>SUM(C105:F105)</f>
        <v>0</v>
      </c>
      <c r="H105" s="62"/>
      <c r="I105" s="62"/>
      <c r="J105" s="1"/>
    </row>
    <row r="106" spans="2:10" x14ac:dyDescent="0.25">
      <c r="B106" s="1" t="s">
        <v>154</v>
      </c>
      <c r="C106" s="86">
        <f>IF('Marketing Monthly'!E106="","",SUM('Marketing Monthly'!C106:E106))</f>
        <v>532722</v>
      </c>
      <c r="D106" s="86">
        <f>IF('Marketing Monthly'!H106="","",SUM('Marketing Monthly'!F106:H106))</f>
        <v>-336113.25</v>
      </c>
      <c r="E106" s="86">
        <f>IF('Marketing Monthly'!K106="","",SUM('Marketing Monthly'!I106:K106))</f>
        <v>-160415.25</v>
      </c>
      <c r="F106" s="86">
        <f>IF('Marketing Monthly'!L106="","",SUM('Marketing Monthly'!L106:N106))</f>
        <v>-36193.5</v>
      </c>
      <c r="G106" s="93">
        <f>SUM(C106:F106)</f>
        <v>0</v>
      </c>
      <c r="H106" s="62"/>
      <c r="I106" s="62"/>
      <c r="J106" s="1">
        <v>57</v>
      </c>
    </row>
    <row r="107" spans="2:10" x14ac:dyDescent="0.25">
      <c r="B107" s="1" t="s">
        <v>155</v>
      </c>
      <c r="C107" s="86">
        <f>IF('Marketing Monthly'!E107="","",SUM('Marketing Monthly'!C107:E107))</f>
        <v>0</v>
      </c>
      <c r="D107" s="86">
        <f>IF('Marketing Monthly'!H107="","",SUM('Marketing Monthly'!F107:H107))</f>
        <v>0</v>
      </c>
      <c r="E107" s="86">
        <f>IF('Marketing Monthly'!K107="","",SUM('Marketing Monthly'!I107:K107))</f>
        <v>0</v>
      </c>
      <c r="F107" s="86">
        <f>IF('Marketing Monthly'!L107="","",SUM('Marketing Monthly'!L107:N107))</f>
        <v>0</v>
      </c>
      <c r="G107" s="93">
        <f>SUM(C107:F107)</f>
        <v>0</v>
      </c>
      <c r="H107" s="62"/>
      <c r="I107" s="62"/>
      <c r="J107" s="1">
        <v>58</v>
      </c>
    </row>
    <row r="108" spans="2:10" x14ac:dyDescent="0.25">
      <c r="B108" s="1" t="s">
        <v>156</v>
      </c>
      <c r="C108" s="86">
        <f>IF('Marketing Monthly'!E108="","",SUM('Marketing Monthly'!C108:E108))</f>
        <v>0</v>
      </c>
      <c r="D108" s="86">
        <f>IF('Marketing Monthly'!H108="","",SUM('Marketing Monthly'!F108:H108))</f>
        <v>0</v>
      </c>
      <c r="E108" s="86">
        <f>IF('Marketing Monthly'!K108="","",SUM('Marketing Monthly'!I108:K108))</f>
        <v>0</v>
      </c>
      <c r="F108" s="86">
        <f>IF('Marketing Monthly'!L108="","",SUM('Marketing Monthly'!L108:N108))</f>
        <v>0</v>
      </c>
      <c r="G108" s="93">
        <f>SUM(C108:F108)</f>
        <v>0</v>
      </c>
      <c r="H108" s="62"/>
      <c r="I108" s="62"/>
      <c r="J108" s="1">
        <v>59</v>
      </c>
    </row>
    <row r="109" spans="2:10" x14ac:dyDescent="0.25">
      <c r="B109" s="36" t="s">
        <v>157</v>
      </c>
      <c r="C109" s="90">
        <f>IF('Marketing Monthly'!E109="","",SUM('Marketing Monthly'!C109:E109))</f>
        <v>2770.15</v>
      </c>
      <c r="D109" s="90">
        <f>IF('Marketing Monthly'!H109="","",SUM('Marketing Monthly'!F109:H109))</f>
        <v>-2668.19</v>
      </c>
      <c r="E109" s="90">
        <f>IF('Marketing Monthly'!K109="","",SUM('Marketing Monthly'!I109:K109))</f>
        <v>86.24</v>
      </c>
      <c r="F109" s="90">
        <f>IF('Marketing Monthly'!L109="","",SUM('Marketing Monthly'!L109:N109))</f>
        <v>-188.21</v>
      </c>
      <c r="G109" s="108">
        <f>SUM(C109:F109)</f>
        <v>-9.9999999999624833E-3</v>
      </c>
      <c r="H109" s="61"/>
      <c r="I109" s="61"/>
      <c r="J109" s="1">
        <v>60</v>
      </c>
    </row>
    <row r="110" spans="2:10" x14ac:dyDescent="0.25">
      <c r="B110" s="1"/>
      <c r="C110" s="1"/>
      <c r="D110" s="1"/>
      <c r="E110" s="1"/>
      <c r="F110" s="1"/>
      <c r="G110" s="1"/>
      <c r="H110" s="1"/>
      <c r="I110" s="1"/>
      <c r="J110" s="1"/>
    </row>
    <row r="111" spans="2:10" x14ac:dyDescent="0.25">
      <c r="B111" s="95" t="s">
        <v>159</v>
      </c>
      <c r="C111" s="96">
        <f>SUM(C51,C56:C60,C63:C67,C70:C74,C77:C81,C84:C88,C91:C95,C98:C102,C105:C109)</f>
        <v>550756.81000000006</v>
      </c>
      <c r="D111" s="96">
        <f t="shared" ref="D111:G111" si="6">SUM(D51,D56:D60,D63:D67,D70:D74,D77:D81,D84:D88,D91:D95,D98:D102,D105:D109)</f>
        <v>2570078.8500000006</v>
      </c>
      <c r="E111" s="96">
        <f t="shared" si="6"/>
        <v>389197.28999999992</v>
      </c>
      <c r="F111" s="96">
        <f t="shared" si="6"/>
        <v>1168488.4800000002</v>
      </c>
      <c r="G111" s="96">
        <f t="shared" si="6"/>
        <v>4678521.4300000006</v>
      </c>
      <c r="H111" s="96">
        <f>SUM(H51,H97,H90,H83,H76,H69,H62,H55,H104)</f>
        <v>0</v>
      </c>
      <c r="I111" s="109"/>
      <c r="J111" s="1"/>
    </row>
    <row r="112" spans="2:10" x14ac:dyDescent="0.25">
      <c r="B112" s="1"/>
      <c r="C112" s="1"/>
      <c r="D112" s="1"/>
      <c r="E112" s="1"/>
      <c r="F112" s="1"/>
      <c r="G112" s="1"/>
      <c r="H112" s="1"/>
      <c r="I112" s="1"/>
      <c r="J112" s="1"/>
    </row>
    <row r="113" spans="2:10" x14ac:dyDescent="0.25">
      <c r="B113" s="105" t="s">
        <v>160</v>
      </c>
      <c r="C113" s="36"/>
      <c r="D113" s="36"/>
      <c r="E113" s="36"/>
      <c r="F113" s="36"/>
      <c r="G113" s="36"/>
      <c r="H113" s="36"/>
      <c r="I113" s="36"/>
      <c r="J113" s="1"/>
    </row>
    <row r="114" spans="2:10" x14ac:dyDescent="0.25">
      <c r="B114" s="1" t="s">
        <v>153</v>
      </c>
      <c r="C114" s="86">
        <f>IF('Marketing Monthly'!E114="","",SUM('Marketing Monthly'!C114:E114))</f>
        <v>0</v>
      </c>
      <c r="D114" s="86">
        <f>IF('Marketing Monthly'!H114="","",SUM('Marketing Monthly'!F114:H114))</f>
        <v>0</v>
      </c>
      <c r="E114" s="86">
        <f>IF(ISBLANK(E56)," ",SUMIF($B$56:$B$109,$B114,E56:E109))</f>
        <v>0</v>
      </c>
      <c r="F114" s="86">
        <f t="shared" ref="F114" si="7">IF(ISBLANK(F56)," ",SUMIF($B$56:$B$109,$B114,F56:F109))</f>
        <v>0</v>
      </c>
      <c r="G114" s="93">
        <f t="shared" ref="G114:G119" si="8">SUM(C114:F114)</f>
        <v>0</v>
      </c>
      <c r="H114" s="62"/>
      <c r="I114" s="62"/>
      <c r="J114" s="1"/>
    </row>
    <row r="115" spans="2:10" x14ac:dyDescent="0.25">
      <c r="B115" s="1" t="s">
        <v>154</v>
      </c>
      <c r="C115" s="86">
        <f>IF('Marketing Monthly'!E115="","",SUM('Marketing Monthly'!C115:E115))</f>
        <v>510393.27</v>
      </c>
      <c r="D115" s="86">
        <f>IF('Marketing Monthly'!H115="","",SUM('Marketing Monthly'!F115:H115))</f>
        <v>1848318.53</v>
      </c>
      <c r="E115" s="86">
        <f>IF(ISBLANK(E56)," ",SUMIF($B$56:$B$109,$B115,E56:E109))</f>
        <v>207363.19999999995</v>
      </c>
      <c r="F115" s="86">
        <f t="shared" ref="F115" si="9">IF(ISBLANK(F56)," ",SUMIF($B$56:$B$109,$B115,F56:F109))</f>
        <v>851936.65</v>
      </c>
      <c r="G115" s="93">
        <f t="shared" si="8"/>
        <v>3418011.65</v>
      </c>
      <c r="H115" s="62"/>
      <c r="I115" s="62"/>
      <c r="J115" s="1"/>
    </row>
    <row r="116" spans="2:10" x14ac:dyDescent="0.25">
      <c r="B116" s="1" t="s">
        <v>155</v>
      </c>
      <c r="C116" s="86">
        <f>IF('Marketing Monthly'!E116="","",SUM('Marketing Monthly'!C116:E116))</f>
        <v>19018.34</v>
      </c>
      <c r="D116" s="86">
        <f>IF('Marketing Monthly'!H116="","",SUM('Marketing Monthly'!F116:H116))</f>
        <v>28147.869999999995</v>
      </c>
      <c r="E116" s="86">
        <f>IF(ISBLANK(E56)," ",SUMIF($B$56:$B$109,$B116,E56:E109))</f>
        <v>22674.33</v>
      </c>
      <c r="F116" s="86">
        <f t="shared" ref="F116" si="10">IF(ISBLANK(F56)," ",SUMIF($B$56:$B$109,$B116,F56:F109))</f>
        <v>2884.7200000000012</v>
      </c>
      <c r="G116" s="93">
        <f t="shared" si="8"/>
        <v>72725.259999999995</v>
      </c>
      <c r="H116" s="62"/>
      <c r="I116" s="62"/>
      <c r="J116" s="1"/>
    </row>
    <row r="117" spans="2:10" x14ac:dyDescent="0.25">
      <c r="B117" s="1" t="s">
        <v>156</v>
      </c>
      <c r="C117" s="86">
        <f>IF('Marketing Monthly'!E117="","",SUM('Marketing Monthly'!C117:E117))</f>
        <v>32622.5</v>
      </c>
      <c r="D117" s="86">
        <f>IF('Marketing Monthly'!H117="","",SUM('Marketing Monthly'!F117:H117))</f>
        <v>5896.43</v>
      </c>
      <c r="E117" s="86">
        <f>IF(ISBLANK(E56)," ",SUMIF($B$56:$B$109,$B117,E56:E109))</f>
        <v>31189.88</v>
      </c>
      <c r="F117" s="86">
        <f t="shared" ref="F117" si="11">IF(ISBLANK(F56)," ",SUMIF($B$56:$B$109,$B117,F56:F109))</f>
        <v>-249693.5</v>
      </c>
      <c r="G117" s="93">
        <f t="shared" si="8"/>
        <v>-179984.69</v>
      </c>
      <c r="H117" s="62"/>
      <c r="I117" s="62"/>
      <c r="J117" s="1"/>
    </row>
    <row r="118" spans="2:10" x14ac:dyDescent="0.25">
      <c r="B118" s="1" t="s">
        <v>157</v>
      </c>
      <c r="C118" s="86">
        <f>IF('Marketing Monthly'!E118="","",SUM('Marketing Monthly'!C118:E118))</f>
        <v>3166.6000000000004</v>
      </c>
      <c r="D118" s="86">
        <f>IF('Marketing Monthly'!H118="","",SUM('Marketing Monthly'!F118:H118))</f>
        <v>5400.2999999999993</v>
      </c>
      <c r="E118" s="86">
        <f>IF(ISBLANK(E56)," ",SUMIF($B$56:$B$109,$B118,E56:E109))</f>
        <v>1321.66</v>
      </c>
      <c r="F118" s="86">
        <f t="shared" ref="F118" si="12">IF(ISBLANK(F56)," ",SUMIF($B$56:$B$109,$B118,F56:F109))</f>
        <v>1152.81</v>
      </c>
      <c r="G118" s="93">
        <f t="shared" si="8"/>
        <v>11041.369999999999</v>
      </c>
      <c r="H118" s="62"/>
      <c r="I118" s="62"/>
      <c r="J118" s="1"/>
    </row>
    <row r="119" spans="2:10" x14ac:dyDescent="0.25">
      <c r="B119" s="110" t="s">
        <v>161</v>
      </c>
      <c r="C119" s="86">
        <f>IF(C51=0,"",C51)</f>
        <v>-14443.899999999998</v>
      </c>
      <c r="D119" s="86">
        <f>IF('Marketing Monthly'!H119="","",SUM('Marketing Monthly'!F119:H119))</f>
        <v>682315.72</v>
      </c>
      <c r="E119" s="86">
        <f>IF(E51=0,"",E51)</f>
        <v>126648.22</v>
      </c>
      <c r="F119" s="86">
        <f t="shared" ref="F119" si="13">IF(F51=0,"",F51)</f>
        <v>562207.80000000016</v>
      </c>
      <c r="G119" s="93">
        <f t="shared" si="8"/>
        <v>1356727.84</v>
      </c>
      <c r="H119" s="62"/>
      <c r="I119" s="62"/>
      <c r="J119" s="1"/>
    </row>
    <row r="120" spans="2:10" x14ac:dyDescent="0.25">
      <c r="B120" s="95" t="s">
        <v>162</v>
      </c>
      <c r="C120" s="96">
        <f>SUM(C114:C119)</f>
        <v>550756.80999999994</v>
      </c>
      <c r="D120" s="96">
        <f t="shared" ref="D120:G120" si="14">SUM(D114:D119)</f>
        <v>2570078.8499999996</v>
      </c>
      <c r="E120" s="96">
        <f t="shared" si="14"/>
        <v>389197.28999999992</v>
      </c>
      <c r="F120" s="96">
        <f t="shared" si="14"/>
        <v>1168488.4800000002</v>
      </c>
      <c r="G120" s="96">
        <f t="shared" si="14"/>
        <v>4678521.43</v>
      </c>
      <c r="H120" s="96">
        <f>H111</f>
        <v>0</v>
      </c>
      <c r="I120" s="109"/>
      <c r="J120" s="1"/>
    </row>
    <row r="121" spans="2:10" x14ac:dyDescent="0.25">
      <c r="B121" s="1"/>
      <c r="C121" s="1"/>
      <c r="D121" s="1"/>
      <c r="E121" s="1"/>
      <c r="F121" s="1"/>
      <c r="G121" s="1"/>
      <c r="H121" s="1"/>
      <c r="I121" s="1"/>
      <c r="J121" s="1"/>
    </row>
    <row r="122" spans="2:10" ht="15.75" x14ac:dyDescent="0.25">
      <c r="B122" s="105" t="s">
        <v>163</v>
      </c>
      <c r="C122" s="36"/>
      <c r="D122" s="36"/>
      <c r="E122" s="36"/>
      <c r="F122" s="36"/>
      <c r="G122" s="36"/>
      <c r="H122" s="36"/>
      <c r="I122" s="36"/>
      <c r="J122" s="1"/>
    </row>
    <row r="123" spans="2:10" x14ac:dyDescent="0.25">
      <c r="B123" s="1" t="s">
        <v>164</v>
      </c>
      <c r="C123" s="86">
        <f>IF('Marketing Monthly'!E123="","",SUM('Marketing Monthly'!C123:E123))</f>
        <v>73.344799999999992</v>
      </c>
      <c r="D123" s="86">
        <f>IF('Marketing Monthly'!H123="","",SUM('Marketing Monthly'!F123:H123))</f>
        <v>55892.153200000001</v>
      </c>
      <c r="E123" s="86">
        <f>IF('Marketing Monthly'!K123="","",SUM('Marketing Monthly'!I123:K123))</f>
        <v>3866.7776999999996</v>
      </c>
      <c r="F123" s="86">
        <f>IF('Marketing Monthly'!L123="","",SUM('Marketing Monthly'!L123:N123))</f>
        <v>86.474099999999993</v>
      </c>
      <c r="G123" s="93">
        <f>SUM(C123:F123)</f>
        <v>59918.749799999998</v>
      </c>
      <c r="H123" s="62"/>
      <c r="I123" s="62"/>
      <c r="J123" s="1"/>
    </row>
    <row r="124" spans="2:10" x14ac:dyDescent="0.25">
      <c r="B124" s="1" t="s">
        <v>165</v>
      </c>
      <c r="C124" s="86">
        <f>IF('Marketing Monthly'!E124="","",SUM('Marketing Monthly'!C124:E124))</f>
        <v>541113.18480000005</v>
      </c>
      <c r="D124" s="86">
        <f>IF('Marketing Monthly'!H124="","",SUM('Marketing Monthly'!F124:H124))</f>
        <v>-324710.61879999994</v>
      </c>
      <c r="E124" s="86">
        <f>IF('Marketing Monthly'!K124="","",SUM('Marketing Monthly'!I124:K124))</f>
        <v>-144523.6943</v>
      </c>
      <c r="F124" s="86">
        <f>IF('Marketing Monthly'!L124="","",SUM('Marketing Monthly'!L124:N124))</f>
        <v>-29287.932999999997</v>
      </c>
      <c r="G124" s="93">
        <f>SUM(C124:F124)</f>
        <v>42590.938700000108</v>
      </c>
      <c r="H124" s="62"/>
      <c r="I124" s="62"/>
      <c r="J124" s="1"/>
    </row>
    <row r="125" spans="2:10" x14ac:dyDescent="0.25">
      <c r="B125" s="1" t="s">
        <v>166</v>
      </c>
      <c r="C125" s="86">
        <f>IF('Marketing Monthly'!E125="","",SUM('Marketing Monthly'!C125:E125))</f>
        <v>-23014.819600000003</v>
      </c>
      <c r="D125" s="86">
        <f>IF('Marketing Monthly'!H125="","",SUM('Marketing Monthly'!F125:H125))</f>
        <v>666241.04560000007</v>
      </c>
      <c r="E125" s="86">
        <f>IF('Marketing Monthly'!K125="","",SUM('Marketing Monthly'!I125:K125))</f>
        <v>227196.26660000003</v>
      </c>
      <c r="F125" s="86">
        <f>IF('Marketing Monthly'!L125="","",SUM('Marketing Monthly'!L125:N125))</f>
        <v>551673.87890000001</v>
      </c>
      <c r="G125" s="93">
        <f>SUM(C125:F125)</f>
        <v>1422096.3714999999</v>
      </c>
      <c r="H125" s="62"/>
      <c r="I125" s="62"/>
      <c r="J125" s="1"/>
    </row>
    <row r="126" spans="2:10" x14ac:dyDescent="0.25">
      <c r="B126" s="1" t="s">
        <v>82</v>
      </c>
      <c r="C126" s="86">
        <f>IF('Marketing Monthly'!E126="","",SUM('Marketing Monthly'!C126:E126))</f>
        <v>32585.100000000006</v>
      </c>
      <c r="D126" s="86">
        <f>IF('Marketing Monthly'!H126="","",SUM('Marketing Monthly'!F126:H126))</f>
        <v>2172656.27</v>
      </c>
      <c r="E126" s="86">
        <f>IF('Marketing Monthly'!K126="","",SUM('Marketing Monthly'!I126:K126))</f>
        <v>302657.93999999994</v>
      </c>
      <c r="F126" s="86">
        <f>IF('Marketing Monthly'!L126="","",SUM('Marketing Monthly'!L126:N126))</f>
        <v>646016.06000000006</v>
      </c>
      <c r="G126" s="93">
        <f>SUM(C126:F126)</f>
        <v>3153915.37</v>
      </c>
      <c r="H126" s="62"/>
      <c r="I126" s="62"/>
      <c r="J126" s="1"/>
    </row>
    <row r="127" spans="2:10" x14ac:dyDescent="0.25">
      <c r="B127" s="95" t="s">
        <v>167</v>
      </c>
      <c r="C127" s="96">
        <f>SUM(C123:C126)</f>
        <v>550756.81000000006</v>
      </c>
      <c r="D127" s="96">
        <f t="shared" ref="D127:G127" si="15">SUM(D123:D126)</f>
        <v>2570078.85</v>
      </c>
      <c r="E127" s="96">
        <f t="shared" si="15"/>
        <v>389197.29</v>
      </c>
      <c r="F127" s="96">
        <f t="shared" si="15"/>
        <v>1168488.48</v>
      </c>
      <c r="G127" s="96">
        <f t="shared" si="15"/>
        <v>4678521.43</v>
      </c>
      <c r="H127" s="96">
        <f>H111</f>
        <v>0</v>
      </c>
      <c r="I127" s="109"/>
      <c r="J127" s="1"/>
    </row>
    <row r="128" spans="2:10" x14ac:dyDescent="0.25">
      <c r="B128" s="1"/>
      <c r="C128" s="1"/>
      <c r="D128" s="1"/>
      <c r="E128" s="1"/>
      <c r="F128" s="1"/>
      <c r="G128" s="1"/>
      <c r="H128" s="1"/>
      <c r="I128" s="1"/>
      <c r="J128" s="1"/>
    </row>
    <row r="129" spans="2:10" x14ac:dyDescent="0.25">
      <c r="B129" s="2" t="s">
        <v>67</v>
      </c>
      <c r="C129" s="1"/>
      <c r="D129" s="1"/>
      <c r="E129" s="1"/>
      <c r="F129" s="1"/>
      <c r="G129" s="1"/>
      <c r="H129" s="1"/>
      <c r="I129" s="1"/>
      <c r="J129" s="1"/>
    </row>
    <row r="130" spans="2:10" ht="39.75" customHeight="1" x14ac:dyDescent="0.25">
      <c r="B130" s="236" t="s">
        <v>168</v>
      </c>
      <c r="C130" s="236"/>
      <c r="D130" s="236"/>
      <c r="E130" s="236"/>
      <c r="F130" s="236"/>
      <c r="G130" s="236"/>
      <c r="H130" s="236"/>
      <c r="I130" s="236"/>
      <c r="J130" s="1"/>
    </row>
    <row r="131" spans="2:10" x14ac:dyDescent="0.25">
      <c r="B131" s="1" t="s">
        <v>169</v>
      </c>
      <c r="C131" s="1"/>
      <c r="D131" s="1"/>
      <c r="E131" s="1"/>
      <c r="F131" s="1"/>
      <c r="G131" s="1"/>
      <c r="H131" s="1"/>
      <c r="I131" s="1"/>
      <c r="J131" s="1"/>
    </row>
    <row r="132" spans="2:10" x14ac:dyDescent="0.25">
      <c r="B132" s="1" t="s">
        <v>170</v>
      </c>
      <c r="C132" s="1"/>
      <c r="D132" s="1"/>
      <c r="E132" s="1"/>
      <c r="F132" s="1"/>
      <c r="G132" s="1"/>
      <c r="H132" s="1"/>
      <c r="I132" s="1"/>
      <c r="J132" s="1"/>
    </row>
    <row r="133" spans="2:10" x14ac:dyDescent="0.25">
      <c r="B133" s="1" t="s">
        <v>171</v>
      </c>
      <c r="C133" s="1"/>
      <c r="D133" s="1"/>
      <c r="E133" s="1"/>
      <c r="F133" s="1"/>
      <c r="G133" s="1"/>
      <c r="H133" s="1"/>
      <c r="I133" s="1"/>
      <c r="J133" s="1"/>
    </row>
    <row r="134" spans="2:10" x14ac:dyDescent="0.25">
      <c r="B134" s="1"/>
      <c r="C134" s="1"/>
      <c r="D134" s="1"/>
      <c r="E134" s="1"/>
      <c r="F134" s="1"/>
      <c r="G134" s="1"/>
      <c r="H134" s="1"/>
      <c r="I134" s="1"/>
      <c r="J134" s="1"/>
    </row>
    <row r="135" spans="2:10" x14ac:dyDescent="0.25">
      <c r="B135" s="1"/>
      <c r="C135" s="1"/>
      <c r="D135" s="1"/>
      <c r="E135" s="1"/>
      <c r="F135" s="1"/>
      <c r="G135" s="1"/>
      <c r="H135" s="1"/>
      <c r="I135" s="1"/>
      <c r="J135" s="1"/>
    </row>
    <row r="136" spans="2:10" x14ac:dyDescent="0.25">
      <c r="B136" s="1"/>
      <c r="C136" s="1"/>
      <c r="D136" s="1"/>
      <c r="E136" s="1"/>
      <c r="F136" s="1"/>
      <c r="G136" s="1"/>
      <c r="H136" s="1"/>
      <c r="I136" s="1"/>
      <c r="J136" s="1"/>
    </row>
    <row r="137" spans="2:10" x14ac:dyDescent="0.25">
      <c r="B137" s="1"/>
      <c r="C137" s="1"/>
      <c r="D137" s="1"/>
      <c r="E137" s="1"/>
      <c r="F137" s="1"/>
      <c r="G137" s="1"/>
      <c r="H137" s="1"/>
      <c r="I137" s="1"/>
      <c r="J137" s="1"/>
    </row>
    <row r="138" spans="2:10" x14ac:dyDescent="0.25">
      <c r="B138" s="1"/>
      <c r="C138" s="1"/>
      <c r="D138" s="1"/>
      <c r="E138" s="1"/>
      <c r="F138" s="1"/>
      <c r="G138" s="1"/>
      <c r="H138" s="1"/>
      <c r="I138" s="1"/>
      <c r="J138" s="1"/>
    </row>
    <row r="139" spans="2:10" x14ac:dyDescent="0.25">
      <c r="B139" s="1"/>
      <c r="C139" s="1"/>
      <c r="D139" s="1"/>
      <c r="E139" s="1"/>
      <c r="F139" s="1"/>
      <c r="G139" s="1"/>
      <c r="H139" s="1"/>
      <c r="I139" s="1"/>
      <c r="J139" s="1"/>
    </row>
    <row r="140" spans="2:10" x14ac:dyDescent="0.25">
      <c r="B140" s="1"/>
      <c r="C140" s="1"/>
      <c r="D140" s="1"/>
      <c r="E140" s="1"/>
      <c r="F140" s="1"/>
      <c r="G140" s="1"/>
      <c r="H140" s="1"/>
      <c r="I140" s="1"/>
      <c r="J140" s="1"/>
    </row>
    <row r="141" spans="2:10" x14ac:dyDescent="0.25">
      <c r="B141" s="1"/>
      <c r="C141" s="1"/>
      <c r="D141" s="1"/>
      <c r="E141" s="1"/>
      <c r="F141" s="1"/>
      <c r="G141" s="1"/>
      <c r="H141" s="1"/>
      <c r="I141" s="1"/>
      <c r="J141" s="1"/>
    </row>
    <row r="142" spans="2:10" x14ac:dyDescent="0.25">
      <c r="B142" s="1"/>
      <c r="C142" s="1"/>
      <c r="D142" s="1"/>
      <c r="E142" s="1"/>
      <c r="F142" s="1"/>
      <c r="G142" s="1"/>
      <c r="H142" s="1"/>
      <c r="I142" s="1"/>
      <c r="J142" s="1"/>
    </row>
    <row r="143" spans="2:10" x14ac:dyDescent="0.25">
      <c r="B143" s="1"/>
      <c r="C143" s="1"/>
      <c r="D143" s="1"/>
      <c r="E143" s="1"/>
      <c r="F143" s="1"/>
      <c r="G143" s="1"/>
      <c r="H143" s="1"/>
      <c r="I143" s="1"/>
      <c r="J143" s="1"/>
    </row>
    <row r="144" spans="2:10" x14ac:dyDescent="0.25">
      <c r="B144" s="1"/>
      <c r="C144" s="1"/>
      <c r="D144" s="1"/>
      <c r="E144" s="1"/>
      <c r="F144" s="1"/>
      <c r="G144" s="1"/>
      <c r="H144" s="1"/>
      <c r="I144" s="1"/>
      <c r="J144" s="1"/>
    </row>
    <row r="145" spans="2:10" x14ac:dyDescent="0.25">
      <c r="B145" s="1"/>
      <c r="C145" s="1"/>
      <c r="D145" s="1"/>
      <c r="E145" s="1"/>
      <c r="F145" s="1"/>
      <c r="G145" s="1"/>
      <c r="H145" s="1"/>
      <c r="I145" s="1"/>
      <c r="J145" s="1"/>
    </row>
    <row r="146" spans="2:10" x14ac:dyDescent="0.25">
      <c r="B146" s="1"/>
      <c r="C146" s="1"/>
      <c r="D146" s="1"/>
      <c r="E146" s="1"/>
      <c r="F146" s="1"/>
      <c r="G146" s="1"/>
      <c r="H146" s="1"/>
      <c r="I146" s="1"/>
      <c r="J146" s="1"/>
    </row>
    <row r="147" spans="2:10" x14ac:dyDescent="0.25">
      <c r="B147" s="1"/>
      <c r="C147" s="1"/>
      <c r="D147" s="1"/>
      <c r="E147" s="1"/>
      <c r="F147" s="1"/>
      <c r="G147" s="1"/>
      <c r="H147" s="1"/>
      <c r="I147" s="1"/>
      <c r="J147" s="1"/>
    </row>
    <row r="148" spans="2:10" x14ac:dyDescent="0.25">
      <c r="B148" s="1"/>
      <c r="C148" s="1"/>
      <c r="D148" s="1"/>
      <c r="E148" s="1"/>
      <c r="F148" s="1"/>
      <c r="G148" s="1"/>
      <c r="H148" s="1"/>
      <c r="I148" s="1"/>
      <c r="J148" s="1"/>
    </row>
    <row r="149" spans="2:10" x14ac:dyDescent="0.25">
      <c r="B149" s="1"/>
      <c r="C149" s="1"/>
      <c r="D149" s="1"/>
      <c r="E149" s="1"/>
      <c r="F149" s="1"/>
      <c r="G149" s="1"/>
      <c r="H149" s="1"/>
      <c r="I149" s="1"/>
      <c r="J149" s="1"/>
    </row>
    <row r="150" spans="2:10" x14ac:dyDescent="0.25">
      <c r="B150" s="1"/>
      <c r="C150" s="1"/>
      <c r="D150" s="1"/>
      <c r="E150" s="1"/>
      <c r="F150" s="1"/>
      <c r="G150" s="1"/>
      <c r="H150" s="1"/>
      <c r="I150" s="1"/>
      <c r="J150" s="1"/>
    </row>
    <row r="151" spans="2:10" x14ac:dyDescent="0.25">
      <c r="B151" s="1"/>
      <c r="C151" s="1"/>
      <c r="D151" s="1"/>
      <c r="E151" s="1"/>
      <c r="F151" s="1"/>
      <c r="G151" s="1"/>
      <c r="H151" s="1"/>
      <c r="I151" s="1"/>
      <c r="J151" s="1"/>
    </row>
    <row r="152" spans="2:10" x14ac:dyDescent="0.25">
      <c r="B152" s="1"/>
      <c r="C152" s="1"/>
      <c r="D152" s="1"/>
      <c r="E152" s="1"/>
      <c r="F152" s="1"/>
      <c r="G152" s="1"/>
      <c r="H152" s="1"/>
      <c r="I152" s="1"/>
      <c r="J152" s="1"/>
    </row>
    <row r="153" spans="2:10" x14ac:dyDescent="0.25">
      <c r="B153" s="1"/>
      <c r="C153" s="1"/>
      <c r="D153" s="1"/>
      <c r="E153" s="1"/>
      <c r="F153" s="1"/>
      <c r="G153" s="1"/>
      <c r="H153" s="1"/>
      <c r="I153" s="1"/>
      <c r="J153" s="1"/>
    </row>
    <row r="154" spans="2:10" x14ac:dyDescent="0.25">
      <c r="B154" s="1"/>
      <c r="C154" s="1"/>
      <c r="D154" s="1"/>
      <c r="E154" s="1"/>
      <c r="F154" s="1"/>
      <c r="G154" s="1"/>
      <c r="H154" s="1"/>
      <c r="I154" s="1"/>
      <c r="J154" s="1"/>
    </row>
    <row r="155" spans="2:10" x14ac:dyDescent="0.25">
      <c r="B155" s="1"/>
      <c r="C155" s="1"/>
      <c r="D155" s="1"/>
      <c r="E155" s="1"/>
      <c r="F155" s="1"/>
      <c r="G155" s="1"/>
      <c r="H155" s="1"/>
      <c r="I155" s="1"/>
      <c r="J155" s="1"/>
    </row>
    <row r="156" spans="2:10" x14ac:dyDescent="0.25">
      <c r="B156" s="1"/>
      <c r="C156" s="1"/>
      <c r="D156" s="1"/>
      <c r="E156" s="1"/>
      <c r="F156" s="1"/>
      <c r="G156" s="1"/>
      <c r="H156" s="1"/>
      <c r="I156" s="1"/>
      <c r="J156" s="1"/>
    </row>
    <row r="157" spans="2:10" x14ac:dyDescent="0.25">
      <c r="B157" s="1"/>
      <c r="C157" s="1"/>
      <c r="D157" s="1"/>
      <c r="E157" s="1"/>
      <c r="F157" s="1"/>
      <c r="G157" s="1"/>
      <c r="H157" s="1"/>
      <c r="I157" s="1"/>
      <c r="J157" s="1"/>
    </row>
    <row r="158" spans="2:10" x14ac:dyDescent="0.25">
      <c r="B158" s="1"/>
      <c r="C158" s="1"/>
      <c r="D158" s="1"/>
      <c r="E158" s="1"/>
      <c r="F158" s="1"/>
      <c r="G158" s="1"/>
      <c r="H158" s="1"/>
      <c r="I158" s="1"/>
      <c r="J158" s="1"/>
    </row>
    <row r="159" spans="2:10" x14ac:dyDescent="0.25">
      <c r="B159" s="1"/>
      <c r="C159" s="1"/>
      <c r="D159" s="1"/>
      <c r="E159" s="1"/>
      <c r="F159" s="1"/>
      <c r="G159" s="1"/>
      <c r="H159" s="1"/>
      <c r="I159" s="1"/>
      <c r="J159" s="1"/>
    </row>
    <row r="160" spans="2:10" x14ac:dyDescent="0.25">
      <c r="B160" s="1"/>
      <c r="C160" s="1"/>
      <c r="D160" s="1"/>
      <c r="E160" s="1"/>
      <c r="F160" s="1"/>
      <c r="G160" s="1"/>
      <c r="H160" s="1"/>
      <c r="I160" s="1"/>
      <c r="J160" s="1"/>
    </row>
    <row r="161" spans="2:10" x14ac:dyDescent="0.25">
      <c r="B161" s="1"/>
      <c r="C161" s="1"/>
      <c r="D161" s="1"/>
      <c r="E161" s="1"/>
      <c r="F161" s="1"/>
      <c r="G161" s="1"/>
      <c r="H161" s="1"/>
      <c r="I161" s="1"/>
      <c r="J161" s="1"/>
    </row>
    <row r="162" spans="2:10" x14ac:dyDescent="0.25">
      <c r="B162" s="1"/>
      <c r="C162" s="1"/>
      <c r="D162" s="1"/>
      <c r="E162" s="1"/>
      <c r="F162" s="1"/>
      <c r="G162" s="1"/>
      <c r="H162" s="1"/>
      <c r="I162" s="1"/>
      <c r="J162" s="1"/>
    </row>
    <row r="163" spans="2:10" x14ac:dyDescent="0.25">
      <c r="B163" s="1"/>
      <c r="C163" s="1"/>
      <c r="D163" s="1"/>
      <c r="E163" s="1"/>
      <c r="F163" s="1"/>
      <c r="G163" s="1"/>
      <c r="H163" s="1"/>
      <c r="I163" s="1"/>
      <c r="J163" s="1"/>
    </row>
    <row r="164" spans="2:10" x14ac:dyDescent="0.25">
      <c r="B164" s="1"/>
      <c r="C164" s="1"/>
      <c r="D164" s="1"/>
      <c r="E164" s="1"/>
      <c r="F164" s="1"/>
      <c r="G164" s="1"/>
      <c r="H164" s="1"/>
      <c r="I164" s="1"/>
      <c r="J164" s="1"/>
    </row>
    <row r="165" spans="2:10" x14ac:dyDescent="0.25">
      <c r="B165" s="1"/>
      <c r="C165" s="1"/>
      <c r="D165" s="1"/>
      <c r="E165" s="1"/>
      <c r="F165" s="1"/>
      <c r="G165" s="1"/>
      <c r="H165" s="1"/>
      <c r="I165" s="1"/>
      <c r="J165" s="1"/>
    </row>
    <row r="166" spans="2:10" x14ac:dyDescent="0.25">
      <c r="B166" s="1"/>
      <c r="C166" s="1"/>
      <c r="D166" s="1"/>
      <c r="E166" s="1"/>
      <c r="F166" s="1"/>
      <c r="G166" s="1"/>
      <c r="H166" s="1"/>
      <c r="I166" s="1"/>
      <c r="J166" s="1"/>
    </row>
    <row r="167" spans="2:10" x14ac:dyDescent="0.25">
      <c r="B167" s="1"/>
      <c r="C167" s="1"/>
      <c r="D167" s="1"/>
      <c r="E167" s="1"/>
      <c r="F167" s="1"/>
      <c r="G167" s="1"/>
      <c r="H167" s="1"/>
      <c r="I167" s="1"/>
      <c r="J167" s="1"/>
    </row>
    <row r="168" spans="2:10" x14ac:dyDescent="0.25">
      <c r="B168" s="1"/>
      <c r="C168" s="1"/>
      <c r="D168" s="1"/>
      <c r="E168" s="1"/>
      <c r="F168" s="1"/>
      <c r="G168" s="1"/>
      <c r="H168" s="1"/>
      <c r="I168" s="1"/>
      <c r="J168" s="1"/>
    </row>
    <row r="169" spans="2:10" x14ac:dyDescent="0.25">
      <c r="B169" s="1"/>
      <c r="C169" s="1"/>
      <c r="D169" s="1"/>
      <c r="E169" s="1"/>
      <c r="F169" s="1"/>
      <c r="G169" s="1"/>
      <c r="H169" s="1"/>
      <c r="I169" s="1"/>
      <c r="J169" s="1"/>
    </row>
    <row r="170" spans="2:10" x14ac:dyDescent="0.25">
      <c r="B170" s="1"/>
      <c r="C170" s="1"/>
      <c r="D170" s="1"/>
      <c r="E170" s="1"/>
      <c r="F170" s="1"/>
      <c r="G170" s="1"/>
      <c r="H170" s="1"/>
      <c r="I170" s="1"/>
      <c r="J170" s="1"/>
    </row>
    <row r="171" spans="2:10" x14ac:dyDescent="0.25">
      <c r="B171" s="1"/>
      <c r="C171" s="1"/>
      <c r="D171" s="1"/>
      <c r="E171" s="1"/>
      <c r="F171" s="1"/>
      <c r="G171" s="1"/>
      <c r="H171" s="1"/>
      <c r="I171" s="1"/>
      <c r="J171" s="1"/>
    </row>
    <row r="172" spans="2:10" x14ac:dyDescent="0.25">
      <c r="B172" s="1"/>
      <c r="C172" s="1"/>
      <c r="D172" s="1"/>
      <c r="E172" s="1"/>
      <c r="F172" s="1"/>
      <c r="G172" s="1"/>
      <c r="H172" s="1"/>
      <c r="I172" s="1"/>
      <c r="J172" s="1"/>
    </row>
    <row r="173" spans="2:10" x14ac:dyDescent="0.25">
      <c r="B173" s="1"/>
      <c r="C173" s="1"/>
      <c r="D173" s="1"/>
      <c r="E173" s="1"/>
      <c r="F173" s="1"/>
      <c r="G173" s="1"/>
      <c r="H173" s="1"/>
      <c r="I173" s="1"/>
      <c r="J173" s="1"/>
    </row>
    <row r="174" spans="2:10" x14ac:dyDescent="0.25">
      <c r="B174" s="1"/>
      <c r="C174" s="1"/>
      <c r="D174" s="1"/>
      <c r="E174" s="1"/>
      <c r="F174" s="1"/>
      <c r="G174" s="1"/>
      <c r="H174" s="1"/>
      <c r="I174" s="1"/>
      <c r="J174" s="1"/>
    </row>
    <row r="175" spans="2:10" x14ac:dyDescent="0.25">
      <c r="B175" s="1"/>
      <c r="C175" s="1"/>
      <c r="D175" s="1"/>
      <c r="E175" s="1"/>
      <c r="F175" s="1"/>
      <c r="G175" s="1"/>
      <c r="H175" s="1"/>
      <c r="I175" s="1"/>
      <c r="J175" s="1"/>
    </row>
    <row r="176" spans="2:10" x14ac:dyDescent="0.25">
      <c r="B176" s="1"/>
      <c r="C176" s="1"/>
      <c r="D176" s="1"/>
      <c r="E176" s="1"/>
      <c r="F176" s="1"/>
      <c r="G176" s="1"/>
      <c r="H176" s="1"/>
      <c r="I176" s="1"/>
      <c r="J176" s="1"/>
    </row>
    <row r="177" spans="2:10" x14ac:dyDescent="0.25">
      <c r="B177" s="1"/>
      <c r="C177" s="1"/>
      <c r="D177" s="1"/>
      <c r="E177" s="1"/>
      <c r="F177" s="1"/>
      <c r="G177" s="1"/>
      <c r="H177" s="1"/>
      <c r="I177" s="1"/>
      <c r="J177" s="1"/>
    </row>
    <row r="178" spans="2:10" x14ac:dyDescent="0.25">
      <c r="B178" s="1"/>
      <c r="C178" s="1"/>
      <c r="D178" s="1"/>
      <c r="E178" s="1"/>
      <c r="F178" s="1"/>
      <c r="G178" s="1"/>
      <c r="H178" s="1"/>
      <c r="I178" s="1"/>
      <c r="J178" s="1"/>
    </row>
    <row r="179" spans="2:10" x14ac:dyDescent="0.25">
      <c r="B179" s="1"/>
      <c r="C179" s="1"/>
      <c r="D179" s="1"/>
      <c r="E179" s="1"/>
      <c r="F179" s="1"/>
      <c r="G179" s="1"/>
      <c r="H179" s="1"/>
      <c r="I179" s="1"/>
      <c r="J179" s="1"/>
    </row>
    <row r="180" spans="2:10" x14ac:dyDescent="0.25">
      <c r="B180" s="1"/>
      <c r="C180" s="1"/>
      <c r="D180" s="1"/>
      <c r="E180" s="1"/>
      <c r="F180" s="1"/>
      <c r="G180" s="1"/>
      <c r="H180" s="1"/>
      <c r="I180" s="1"/>
      <c r="J180" s="1"/>
    </row>
    <row r="181" spans="2:10" x14ac:dyDescent="0.25">
      <c r="B181" s="1"/>
      <c r="C181" s="1"/>
      <c r="D181" s="1"/>
      <c r="E181" s="1"/>
      <c r="F181" s="1"/>
      <c r="G181" s="1"/>
      <c r="H181" s="1"/>
      <c r="I181" s="1"/>
      <c r="J181" s="1"/>
    </row>
    <row r="182" spans="2:10" x14ac:dyDescent="0.25">
      <c r="B182" s="1"/>
      <c r="C182" s="1"/>
      <c r="D182" s="1"/>
      <c r="E182" s="1"/>
      <c r="F182" s="1"/>
      <c r="G182" s="1"/>
      <c r="H182" s="1"/>
      <c r="I182" s="1"/>
      <c r="J182" s="1"/>
    </row>
    <row r="183" spans="2:10" x14ac:dyDescent="0.25">
      <c r="B183" s="1"/>
      <c r="C183" s="1"/>
      <c r="D183" s="1"/>
      <c r="E183" s="1"/>
      <c r="F183" s="1"/>
      <c r="G183" s="1"/>
      <c r="H183" s="1"/>
      <c r="I183" s="1"/>
      <c r="J183" s="1"/>
    </row>
    <row r="184" spans="2:10" x14ac:dyDescent="0.25">
      <c r="B184" s="1"/>
      <c r="C184" s="1"/>
      <c r="D184" s="1"/>
      <c r="E184" s="1"/>
      <c r="F184" s="1"/>
      <c r="G184" s="1"/>
      <c r="H184" s="1"/>
      <c r="I184" s="1"/>
      <c r="J184" s="1"/>
    </row>
    <row r="185" spans="2:10" x14ac:dyDescent="0.25">
      <c r="B185" s="1"/>
      <c r="C185" s="1"/>
      <c r="D185" s="1"/>
      <c r="E185" s="1"/>
      <c r="F185" s="1"/>
      <c r="G185" s="1"/>
      <c r="H185" s="1"/>
      <c r="I185" s="1"/>
      <c r="J185" s="1"/>
    </row>
    <row r="186" spans="2:10" x14ac:dyDescent="0.25">
      <c r="B186" s="1"/>
      <c r="C186" s="1"/>
      <c r="D186" s="1"/>
      <c r="E186" s="1"/>
      <c r="F186" s="1"/>
      <c r="G186" s="1"/>
      <c r="H186" s="1"/>
      <c r="I186" s="1"/>
      <c r="J186" s="1"/>
    </row>
    <row r="187" spans="2:10" x14ac:dyDescent="0.25">
      <c r="B187" s="1"/>
      <c r="C187" s="1"/>
      <c r="D187" s="1"/>
      <c r="E187" s="1"/>
      <c r="F187" s="1"/>
      <c r="G187" s="1"/>
      <c r="H187" s="1"/>
      <c r="I187" s="1"/>
      <c r="J187" s="1"/>
    </row>
    <row r="188" spans="2:10" x14ac:dyDescent="0.25">
      <c r="B188" s="1"/>
      <c r="C188" s="1"/>
      <c r="D188" s="1"/>
      <c r="E188" s="1"/>
      <c r="F188" s="1"/>
      <c r="G188" s="1"/>
      <c r="H188" s="1"/>
      <c r="I188" s="1"/>
      <c r="J188" s="1"/>
    </row>
    <row r="189" spans="2:10" x14ac:dyDescent="0.25">
      <c r="B189" s="1"/>
      <c r="C189" s="1"/>
      <c r="D189" s="1"/>
      <c r="E189" s="1"/>
      <c r="F189" s="1"/>
      <c r="G189" s="1"/>
      <c r="H189" s="1"/>
      <c r="I189" s="1"/>
      <c r="J189" s="1"/>
    </row>
    <row r="190" spans="2:10" x14ac:dyDescent="0.25">
      <c r="B190" s="1"/>
      <c r="C190" s="1"/>
      <c r="D190" s="1"/>
      <c r="E190" s="1"/>
      <c r="F190" s="1"/>
      <c r="G190" s="1"/>
      <c r="H190" s="1"/>
      <c r="I190" s="1"/>
      <c r="J190" s="1"/>
    </row>
    <row r="191" spans="2:10" x14ac:dyDescent="0.25">
      <c r="B191" s="1"/>
      <c r="C191" s="1"/>
      <c r="D191" s="1"/>
      <c r="E191" s="1"/>
      <c r="F191" s="1"/>
      <c r="G191" s="1"/>
      <c r="H191" s="1"/>
      <c r="I191" s="1"/>
      <c r="J191" s="1"/>
    </row>
    <row r="192" spans="2:10" x14ac:dyDescent="0.25">
      <c r="B192" s="1"/>
      <c r="C192" s="1"/>
      <c r="D192" s="1"/>
      <c r="E192" s="1"/>
      <c r="F192" s="1"/>
      <c r="G192" s="1"/>
      <c r="H192" s="1"/>
      <c r="I192" s="1"/>
      <c r="J192" s="1"/>
    </row>
    <row r="193" spans="2:10" x14ac:dyDescent="0.25">
      <c r="B193" s="1"/>
      <c r="C193" s="1"/>
      <c r="D193" s="1"/>
      <c r="E193" s="1"/>
      <c r="F193" s="1"/>
      <c r="G193" s="1"/>
      <c r="H193" s="1"/>
      <c r="I193" s="1"/>
      <c r="J193" s="1"/>
    </row>
    <row r="194" spans="2:10" x14ac:dyDescent="0.25">
      <c r="B194" s="1"/>
      <c r="C194" s="1"/>
      <c r="D194" s="1"/>
      <c r="E194" s="1"/>
      <c r="F194" s="1"/>
      <c r="G194" s="1"/>
      <c r="H194" s="1"/>
      <c r="I194" s="1"/>
      <c r="J194" s="1"/>
    </row>
    <row r="195" spans="2:10" x14ac:dyDescent="0.25">
      <c r="B195" s="1"/>
      <c r="C195" s="1"/>
      <c r="D195" s="1"/>
      <c r="E195" s="1"/>
      <c r="F195" s="1"/>
      <c r="G195" s="1"/>
      <c r="H195" s="1"/>
      <c r="I195" s="1"/>
      <c r="J195" s="1"/>
    </row>
    <row r="196" spans="2:10" x14ac:dyDescent="0.25">
      <c r="B196" s="1"/>
      <c r="C196" s="1"/>
      <c r="D196" s="1"/>
      <c r="E196" s="1"/>
      <c r="F196" s="1"/>
      <c r="G196" s="1"/>
      <c r="H196" s="1"/>
      <c r="I196" s="1"/>
      <c r="J196" s="1"/>
    </row>
    <row r="197" spans="2:10" x14ac:dyDescent="0.25">
      <c r="B197" s="1"/>
      <c r="C197" s="1"/>
      <c r="D197" s="1"/>
      <c r="E197" s="1"/>
      <c r="F197" s="1"/>
      <c r="G197" s="1"/>
      <c r="H197" s="1"/>
      <c r="I197" s="1"/>
      <c r="J197" s="1"/>
    </row>
    <row r="198" spans="2:10" x14ac:dyDescent="0.25">
      <c r="B198" s="1"/>
      <c r="C198" s="1"/>
      <c r="D198" s="1"/>
      <c r="E198" s="1"/>
      <c r="F198" s="1"/>
      <c r="G198" s="1"/>
      <c r="H198" s="1"/>
      <c r="I198" s="1"/>
      <c r="J198" s="1"/>
    </row>
    <row r="199" spans="2:10" x14ac:dyDescent="0.25">
      <c r="B199" s="1"/>
      <c r="C199" s="1"/>
      <c r="D199" s="1"/>
      <c r="E199" s="1"/>
      <c r="F199" s="1"/>
      <c r="G199" s="1"/>
      <c r="H199" s="1"/>
      <c r="I199" s="1"/>
      <c r="J199" s="1"/>
    </row>
    <row r="200" spans="2:10" x14ac:dyDescent="0.25">
      <c r="B200" s="1"/>
      <c r="C200" s="1"/>
      <c r="D200" s="1"/>
      <c r="E200" s="1"/>
      <c r="F200" s="1"/>
      <c r="G200" s="1"/>
      <c r="H200" s="1"/>
      <c r="I200" s="1"/>
      <c r="J200" s="1"/>
    </row>
    <row r="201" spans="2:10" x14ac:dyDescent="0.25">
      <c r="B201" s="1"/>
      <c r="C201" s="1"/>
      <c r="D201" s="1"/>
      <c r="E201" s="1"/>
      <c r="F201" s="1"/>
      <c r="G201" s="1"/>
      <c r="H201" s="1"/>
      <c r="I201" s="1"/>
      <c r="J201" s="1"/>
    </row>
    <row r="202" spans="2:10" x14ac:dyDescent="0.25">
      <c r="B202" s="1"/>
      <c r="C202" s="1"/>
      <c r="D202" s="1"/>
      <c r="E202" s="1"/>
      <c r="F202" s="1"/>
      <c r="G202" s="1"/>
      <c r="H202" s="1"/>
      <c r="I202" s="1"/>
      <c r="J202" s="1"/>
    </row>
    <row r="203" spans="2:10" x14ac:dyDescent="0.25">
      <c r="B203" s="1"/>
      <c r="C203" s="1"/>
      <c r="D203" s="1"/>
      <c r="E203" s="1"/>
      <c r="F203" s="1"/>
      <c r="G203" s="1"/>
      <c r="H203" s="1"/>
      <c r="I203" s="1"/>
      <c r="J203" s="1"/>
    </row>
    <row r="204" spans="2:10" x14ac:dyDescent="0.25">
      <c r="B204" s="1"/>
      <c r="C204" s="1"/>
      <c r="D204" s="1"/>
      <c r="E204" s="1"/>
      <c r="F204" s="1"/>
      <c r="G204" s="1"/>
      <c r="H204" s="1"/>
      <c r="I204" s="1"/>
      <c r="J204" s="1"/>
    </row>
    <row r="205" spans="2:10" x14ac:dyDescent="0.25">
      <c r="B205" s="1"/>
      <c r="C205" s="1"/>
      <c r="D205" s="1"/>
      <c r="E205" s="1"/>
      <c r="F205" s="1"/>
      <c r="G205" s="1"/>
      <c r="H205" s="1"/>
      <c r="I205" s="1"/>
      <c r="J205" s="1"/>
    </row>
    <row r="206" spans="2:10" x14ac:dyDescent="0.25">
      <c r="B206" s="1"/>
      <c r="C206" s="1"/>
      <c r="D206" s="1"/>
      <c r="E206" s="1"/>
      <c r="F206" s="1"/>
      <c r="G206" s="1"/>
      <c r="H206" s="1"/>
      <c r="I206" s="1"/>
      <c r="J206" s="1"/>
    </row>
    <row r="207" spans="2:10" x14ac:dyDescent="0.25">
      <c r="B207" s="1"/>
      <c r="C207" s="1"/>
      <c r="D207" s="1"/>
      <c r="E207" s="1"/>
      <c r="F207" s="1"/>
      <c r="G207" s="1"/>
      <c r="H207" s="1"/>
      <c r="I207" s="1"/>
      <c r="J207" s="1"/>
    </row>
    <row r="208" spans="2:10" x14ac:dyDescent="0.25">
      <c r="B208" s="1"/>
      <c r="C208" s="1"/>
      <c r="D208" s="1"/>
      <c r="E208" s="1"/>
      <c r="F208" s="1"/>
      <c r="G208" s="1"/>
      <c r="H208" s="1"/>
      <c r="I208" s="1"/>
      <c r="J208" s="1"/>
    </row>
    <row r="209" spans="2:10" x14ac:dyDescent="0.25">
      <c r="B209" s="1"/>
      <c r="C209" s="1"/>
      <c r="D209" s="1"/>
      <c r="E209" s="1"/>
      <c r="F209" s="1"/>
      <c r="G209" s="1"/>
      <c r="H209" s="1"/>
      <c r="I209" s="1"/>
      <c r="J209" s="1"/>
    </row>
    <row r="210" spans="2:10" x14ac:dyDescent="0.25">
      <c r="B210" s="1"/>
      <c r="C210" s="1"/>
      <c r="D210" s="1"/>
      <c r="E210" s="1"/>
      <c r="F210" s="1"/>
      <c r="G210" s="1"/>
      <c r="H210" s="1"/>
      <c r="I210" s="1"/>
      <c r="J210" s="1"/>
    </row>
    <row r="211" spans="2:10" x14ac:dyDescent="0.25">
      <c r="B211" s="1"/>
      <c r="C211" s="1"/>
      <c r="D211" s="1"/>
      <c r="E211" s="1"/>
      <c r="F211" s="1"/>
      <c r="G211" s="1"/>
      <c r="H211" s="1"/>
      <c r="I211" s="1"/>
      <c r="J211" s="1"/>
    </row>
    <row r="212" spans="2:10" x14ac:dyDescent="0.25">
      <c r="B212" s="1"/>
      <c r="C212" s="1"/>
      <c r="D212" s="1"/>
      <c r="E212" s="1"/>
      <c r="F212" s="1"/>
      <c r="G212" s="1"/>
      <c r="H212" s="1"/>
      <c r="I212" s="1"/>
      <c r="J212" s="1"/>
    </row>
    <row r="213" spans="2:10" x14ac:dyDescent="0.25">
      <c r="B213" s="1"/>
      <c r="C213" s="1"/>
      <c r="D213" s="1"/>
      <c r="E213" s="1"/>
      <c r="F213" s="1"/>
      <c r="G213" s="1"/>
      <c r="H213" s="1"/>
      <c r="I213" s="1"/>
      <c r="J213" s="1"/>
    </row>
    <row r="214" spans="2:10" x14ac:dyDescent="0.25">
      <c r="B214" s="1"/>
      <c r="C214" s="1"/>
      <c r="D214" s="1"/>
      <c r="E214" s="1"/>
      <c r="F214" s="1"/>
      <c r="G214" s="1"/>
      <c r="H214" s="1"/>
      <c r="I214" s="1"/>
      <c r="J214" s="1"/>
    </row>
    <row r="215" spans="2:10" x14ac:dyDescent="0.25">
      <c r="B215" s="1"/>
      <c r="C215" s="1"/>
      <c r="D215" s="1"/>
      <c r="E215" s="1"/>
      <c r="F215" s="1"/>
      <c r="G215" s="1"/>
      <c r="H215" s="1"/>
      <c r="I215" s="1"/>
      <c r="J215" s="1"/>
    </row>
    <row r="216" spans="2:10" x14ac:dyDescent="0.25">
      <c r="B216" s="1"/>
      <c r="C216" s="1"/>
      <c r="D216" s="1"/>
      <c r="E216" s="1"/>
      <c r="F216" s="1"/>
      <c r="G216" s="1"/>
      <c r="H216" s="1"/>
      <c r="I216" s="1"/>
      <c r="J216" s="1"/>
    </row>
    <row r="217" spans="2:10" x14ac:dyDescent="0.25">
      <c r="B217" s="1"/>
      <c r="C217" s="1"/>
      <c r="D217" s="1"/>
      <c r="E217" s="1"/>
      <c r="F217" s="1"/>
      <c r="G217" s="1"/>
      <c r="H217" s="1"/>
      <c r="I217" s="1"/>
      <c r="J217" s="1"/>
    </row>
    <row r="218" spans="2:10" x14ac:dyDescent="0.25">
      <c r="B218" s="1"/>
      <c r="C218" s="1"/>
      <c r="D218" s="1"/>
      <c r="E218" s="1"/>
      <c r="F218" s="1"/>
      <c r="G218" s="1"/>
      <c r="H218" s="1"/>
      <c r="I218" s="1"/>
      <c r="J218" s="1"/>
    </row>
    <row r="219" spans="2:10" x14ac:dyDescent="0.25">
      <c r="B219" s="1"/>
      <c r="C219" s="1"/>
      <c r="D219" s="1"/>
      <c r="E219" s="1"/>
      <c r="F219" s="1"/>
      <c r="G219" s="1"/>
      <c r="H219" s="1"/>
      <c r="I219" s="1"/>
      <c r="J219" s="1"/>
    </row>
    <row r="220" spans="2:10" x14ac:dyDescent="0.25">
      <c r="B220" s="1"/>
      <c r="C220" s="1"/>
      <c r="D220" s="1"/>
      <c r="E220" s="1"/>
      <c r="F220" s="1"/>
      <c r="G220" s="1"/>
      <c r="H220" s="1"/>
      <c r="I220" s="1"/>
      <c r="J220" s="1"/>
    </row>
    <row r="221" spans="2:10" x14ac:dyDescent="0.25">
      <c r="B221" s="1"/>
      <c r="C221" s="1"/>
      <c r="D221" s="1"/>
      <c r="E221" s="1"/>
      <c r="F221" s="1"/>
      <c r="G221" s="1"/>
      <c r="H221" s="1"/>
      <c r="I221" s="1"/>
      <c r="J221" s="1"/>
    </row>
    <row r="222" spans="2:10" x14ac:dyDescent="0.25">
      <c r="B222" s="1"/>
      <c r="C222" s="1"/>
      <c r="D222" s="1"/>
      <c r="E222" s="1"/>
      <c r="F222" s="1"/>
      <c r="G222" s="1"/>
      <c r="H222" s="1"/>
      <c r="I222" s="1"/>
      <c r="J222" s="1"/>
    </row>
    <row r="223" spans="2:10" x14ac:dyDescent="0.25">
      <c r="B223" s="1"/>
      <c r="C223" s="1"/>
      <c r="D223" s="1"/>
      <c r="E223" s="1"/>
      <c r="F223" s="1"/>
      <c r="G223" s="1"/>
      <c r="H223" s="1"/>
      <c r="I223" s="1"/>
      <c r="J223" s="1"/>
    </row>
    <row r="224" spans="2:10" x14ac:dyDescent="0.25">
      <c r="B224" s="1"/>
      <c r="C224" s="1"/>
      <c r="D224" s="1"/>
      <c r="E224" s="1"/>
      <c r="F224" s="1"/>
      <c r="G224" s="1"/>
      <c r="H224" s="1"/>
      <c r="I224" s="1"/>
      <c r="J224" s="1"/>
    </row>
    <row r="225" spans="2:10" x14ac:dyDescent="0.25">
      <c r="B225" s="1"/>
      <c r="C225" s="1"/>
      <c r="D225" s="1"/>
      <c r="E225" s="1"/>
      <c r="F225" s="1"/>
      <c r="G225" s="1"/>
      <c r="H225" s="1"/>
      <c r="I225" s="1"/>
      <c r="J225" s="1"/>
    </row>
    <row r="226" spans="2:10" x14ac:dyDescent="0.25">
      <c r="B226" s="1"/>
      <c r="C226" s="1"/>
      <c r="D226" s="1"/>
      <c r="E226" s="1"/>
      <c r="F226" s="1"/>
      <c r="G226" s="1"/>
      <c r="H226" s="1"/>
      <c r="I226" s="1"/>
      <c r="J226" s="1"/>
    </row>
    <row r="227" spans="2:10" x14ac:dyDescent="0.25">
      <c r="B227" s="1"/>
      <c r="C227" s="1"/>
      <c r="D227" s="1"/>
      <c r="E227" s="1"/>
      <c r="F227" s="1"/>
      <c r="G227" s="1"/>
      <c r="H227" s="1"/>
      <c r="I227" s="1"/>
      <c r="J227" s="1"/>
    </row>
    <row r="228" spans="2:10" x14ac:dyDescent="0.25">
      <c r="B228" s="1"/>
      <c r="C228" s="1"/>
      <c r="D228" s="1"/>
      <c r="E228" s="1"/>
      <c r="F228" s="1"/>
      <c r="G228" s="1"/>
      <c r="H228" s="1"/>
      <c r="I228" s="1"/>
      <c r="J228" s="1"/>
    </row>
    <row r="229" spans="2:10" x14ac:dyDescent="0.25">
      <c r="B229" s="1"/>
      <c r="C229" s="1"/>
      <c r="D229" s="1"/>
      <c r="E229" s="1"/>
      <c r="F229" s="1"/>
      <c r="G229" s="1"/>
      <c r="H229" s="1"/>
      <c r="I229" s="1"/>
      <c r="J229" s="1"/>
    </row>
    <row r="230" spans="2:10" x14ac:dyDescent="0.25">
      <c r="B230" s="1"/>
      <c r="C230" s="1"/>
      <c r="D230" s="1"/>
      <c r="E230" s="1"/>
      <c r="F230" s="1"/>
      <c r="G230" s="1"/>
      <c r="H230" s="1"/>
      <c r="I230" s="1"/>
      <c r="J230" s="1"/>
    </row>
    <row r="231" spans="2:10" x14ac:dyDescent="0.25">
      <c r="B231" s="1"/>
      <c r="C231" s="1"/>
      <c r="D231" s="1"/>
      <c r="E231" s="1"/>
      <c r="F231" s="1"/>
      <c r="G231" s="1"/>
      <c r="H231" s="1"/>
      <c r="I231" s="1"/>
      <c r="J231" s="1"/>
    </row>
    <row r="232" spans="2:10" x14ac:dyDescent="0.25">
      <c r="B232" s="1"/>
      <c r="C232" s="1"/>
      <c r="D232" s="1"/>
      <c r="E232" s="1"/>
      <c r="F232" s="1"/>
      <c r="G232" s="1"/>
      <c r="H232" s="1"/>
      <c r="I232" s="1"/>
      <c r="J232" s="1"/>
    </row>
    <row r="233" spans="2:10" x14ac:dyDescent="0.25">
      <c r="B233" s="1"/>
      <c r="C233" s="1"/>
      <c r="D233" s="1"/>
      <c r="E233" s="1"/>
      <c r="F233" s="1"/>
      <c r="G233" s="1"/>
      <c r="H233" s="1"/>
      <c r="I233" s="1"/>
      <c r="J233" s="1"/>
    </row>
    <row r="234" spans="2:10" x14ac:dyDescent="0.25">
      <c r="B234" s="1"/>
      <c r="C234" s="1"/>
      <c r="D234" s="1"/>
      <c r="E234" s="1"/>
      <c r="F234" s="1"/>
      <c r="G234" s="1"/>
      <c r="H234" s="1"/>
      <c r="I234" s="1"/>
      <c r="J234" s="1"/>
    </row>
    <row r="235" spans="2:10" x14ac:dyDescent="0.25">
      <c r="B235" s="1"/>
      <c r="C235" s="1"/>
      <c r="D235" s="1"/>
      <c r="E235" s="1"/>
      <c r="F235" s="1"/>
      <c r="G235" s="1"/>
      <c r="H235" s="1"/>
      <c r="I235" s="1"/>
      <c r="J235" s="1"/>
    </row>
    <row r="236" spans="2:10" x14ac:dyDescent="0.25">
      <c r="B236" s="1"/>
      <c r="C236" s="1"/>
      <c r="D236" s="1"/>
      <c r="E236" s="1"/>
      <c r="F236" s="1"/>
      <c r="G236" s="1"/>
      <c r="H236" s="1"/>
      <c r="I236" s="1"/>
      <c r="J236" s="1"/>
    </row>
    <row r="237" spans="2:10" x14ac:dyDescent="0.25">
      <c r="B237" s="1"/>
      <c r="C237" s="1"/>
      <c r="D237" s="1"/>
      <c r="E237" s="1"/>
      <c r="F237" s="1"/>
      <c r="G237" s="1"/>
      <c r="H237" s="1"/>
      <c r="I237" s="1"/>
      <c r="J237" s="1"/>
    </row>
    <row r="238" spans="2:10" x14ac:dyDescent="0.25">
      <c r="B238" s="1"/>
      <c r="C238" s="1"/>
      <c r="D238" s="1"/>
      <c r="E238" s="1"/>
      <c r="F238" s="1"/>
      <c r="G238" s="1"/>
      <c r="H238" s="1"/>
      <c r="I238" s="1"/>
      <c r="J238" s="1"/>
    </row>
    <row r="239" spans="2:10" x14ac:dyDescent="0.25">
      <c r="B239" s="1"/>
      <c r="C239" s="1"/>
      <c r="D239" s="1"/>
      <c r="E239" s="1"/>
      <c r="F239" s="1"/>
      <c r="G239" s="1"/>
      <c r="H239" s="1"/>
      <c r="I239" s="1"/>
      <c r="J239" s="1"/>
    </row>
    <row r="240" spans="2:10" x14ac:dyDescent="0.25">
      <c r="B240" s="1"/>
      <c r="C240" s="1"/>
      <c r="D240" s="1"/>
      <c r="E240" s="1"/>
      <c r="F240" s="1"/>
      <c r="G240" s="1"/>
      <c r="H240" s="1"/>
      <c r="I240" s="1"/>
      <c r="J240" s="1"/>
    </row>
  </sheetData>
  <mergeCells count="6">
    <mergeCell ref="B130:I130"/>
    <mergeCell ref="B1:I1"/>
    <mergeCell ref="C5:F5"/>
    <mergeCell ref="G5:G6"/>
    <mergeCell ref="H5:H6"/>
    <mergeCell ref="I5:I6"/>
  </mergeCells>
  <pageMargins left="0.7" right="0.7" top="0.75" bottom="0.75" header="0.3" footer="0.3"/>
  <pageSetup paperSize="5" scale="50" orientation="landscape" r:id="rId1"/>
  <headerFooter>
    <oddFooter>&amp;L&amp;F&amp;C-Public-&amp;RA-&amp;P</oddFooter>
  </headerFooter>
  <ignoredErrors>
    <ignoredError sqref="C17:C40 C43:C109 C8:C9 D8:D9 D17:D49 D56:D95 D98:D109 E19:E49 E56:E60 E63:E67 E70:E74 E77:E81 E84:E88 E91:E95 E98:E102 E105:E109 E8:E9 E17:E18 C11:E11 F17:F49 F56:F81 F84:F109" formulaRange="1"/>
    <ignoredError sqref="D11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CC8E6-1495-4826-91EA-51161A3CC019}">
  <dimension ref="A1:L571"/>
  <sheetViews>
    <sheetView showGridLines="0" view="pageBreakPreview" topLeftCell="A242" zoomScale="70" zoomScaleNormal="80" zoomScaleSheetLayoutView="70" zoomScalePageLayoutView="60" workbookViewId="0">
      <selection activeCell="D43" sqref="D43:U44"/>
    </sheetView>
  </sheetViews>
  <sheetFormatPr defaultRowHeight="15" x14ac:dyDescent="0.25"/>
  <cols>
    <col min="1" max="1" width="1.5703125" customWidth="1"/>
    <col min="2" max="2" width="56.140625" customWidth="1"/>
    <col min="3" max="3" width="20.140625" bestFit="1" customWidth="1"/>
    <col min="4" max="4" width="14.7109375" bestFit="1" customWidth="1"/>
    <col min="5" max="5" width="28" bestFit="1" customWidth="1"/>
    <col min="6" max="6" width="38.42578125" bestFit="1" customWidth="1"/>
    <col min="7" max="7" width="44.85546875" bestFit="1" customWidth="1"/>
    <col min="8" max="8" width="22.28515625" bestFit="1" customWidth="1"/>
    <col min="9" max="9" width="31.85546875" customWidth="1"/>
    <col min="10" max="10" width="26.28515625" customWidth="1"/>
    <col min="11" max="11" width="43.28515625" customWidth="1"/>
    <col min="12" max="12" width="18.42578125" customWidth="1"/>
  </cols>
  <sheetData>
    <row r="1" spans="1:12" ht="40.5" customHeight="1" x14ac:dyDescent="0.25">
      <c r="B1" s="231" t="s">
        <v>210</v>
      </c>
      <c r="C1" s="232"/>
      <c r="D1" s="232"/>
      <c r="E1" s="232"/>
      <c r="F1" s="232"/>
      <c r="G1" s="232"/>
      <c r="H1" s="232"/>
      <c r="I1" s="232"/>
      <c r="J1" s="232"/>
      <c r="K1" s="232"/>
      <c r="L1" s="232"/>
    </row>
    <row r="2" spans="1:12" x14ac:dyDescent="0.25">
      <c r="B2" s="2" t="s">
        <v>58</v>
      </c>
      <c r="C2" s="1"/>
      <c r="D2" s="1"/>
      <c r="E2" s="1"/>
      <c r="F2" s="1"/>
      <c r="G2" s="1"/>
      <c r="H2" s="1"/>
      <c r="I2" s="1"/>
      <c r="J2" s="1"/>
      <c r="K2" s="1"/>
      <c r="L2" s="1"/>
    </row>
    <row r="3" spans="1:12" x14ac:dyDescent="0.25">
      <c r="B3" s="2" t="s">
        <v>172</v>
      </c>
      <c r="C3" s="1"/>
      <c r="D3" s="1"/>
      <c r="E3" s="1"/>
      <c r="F3" s="1"/>
      <c r="G3" s="1"/>
      <c r="H3" s="1"/>
      <c r="I3" s="1"/>
      <c r="J3" s="1"/>
      <c r="K3" s="1"/>
      <c r="L3" s="1"/>
    </row>
    <row r="4" spans="1:12" x14ac:dyDescent="0.25">
      <c r="B4" s="2"/>
      <c r="C4" s="2"/>
      <c r="D4" s="1"/>
      <c r="E4" s="1"/>
      <c r="F4" s="1"/>
      <c r="G4" s="1"/>
      <c r="H4" s="1"/>
      <c r="I4" s="1"/>
      <c r="J4" s="1"/>
      <c r="K4" s="1"/>
      <c r="L4" s="1"/>
    </row>
    <row r="5" spans="1:12" ht="15.75" x14ac:dyDescent="0.25">
      <c r="A5" s="111"/>
      <c r="B5" s="112" t="s">
        <v>173</v>
      </c>
      <c r="C5" s="112" t="s">
        <v>174</v>
      </c>
      <c r="D5" s="112" t="s">
        <v>64</v>
      </c>
      <c r="E5" s="112" t="s">
        <v>175</v>
      </c>
      <c r="F5" s="112" t="s">
        <v>176</v>
      </c>
      <c r="G5" s="55" t="s">
        <v>177</v>
      </c>
      <c r="H5" s="112" t="s">
        <v>178</v>
      </c>
      <c r="I5" s="112" t="s">
        <v>179</v>
      </c>
      <c r="J5" s="112" t="s">
        <v>180</v>
      </c>
      <c r="K5" s="55" t="s">
        <v>181</v>
      </c>
    </row>
    <row r="6" spans="1:12" x14ac:dyDescent="0.25">
      <c r="A6" s="111"/>
      <c r="B6" s="206" t="s">
        <v>1</v>
      </c>
      <c r="C6" s="207">
        <v>1</v>
      </c>
      <c r="D6" s="208">
        <v>44809</v>
      </c>
      <c r="E6" s="210" t="s">
        <v>315</v>
      </c>
      <c r="F6" s="209">
        <v>36.729999999999997</v>
      </c>
      <c r="G6" s="191" t="s">
        <v>303</v>
      </c>
      <c r="H6" s="210" t="s">
        <v>304</v>
      </c>
      <c r="I6" s="212">
        <v>0.77083333333333304</v>
      </c>
      <c r="J6" s="212">
        <v>0.84166666666666701</v>
      </c>
      <c r="K6" s="211">
        <f>J6-I6</f>
        <v>7.083333333333397E-2</v>
      </c>
    </row>
    <row r="7" spans="1:12" x14ac:dyDescent="0.25">
      <c r="A7" s="111"/>
      <c r="B7" s="206" t="s">
        <v>1</v>
      </c>
      <c r="C7" s="207">
        <v>2</v>
      </c>
      <c r="D7" s="208">
        <v>44810</v>
      </c>
      <c r="E7" s="210" t="s">
        <v>315</v>
      </c>
      <c r="F7" s="209">
        <v>36.729999999999997</v>
      </c>
      <c r="G7" s="191" t="s">
        <v>303</v>
      </c>
      <c r="H7" s="210" t="s">
        <v>304</v>
      </c>
      <c r="I7" s="212">
        <v>0.70833333333333304</v>
      </c>
      <c r="J7" s="212">
        <v>0.86388888888888904</v>
      </c>
      <c r="K7" s="194">
        <f>(J7-I7)+K6</f>
        <v>0.22638888888888997</v>
      </c>
    </row>
    <row r="8" spans="1:12" x14ac:dyDescent="0.25">
      <c r="A8" s="111"/>
      <c r="B8" s="206" t="s">
        <v>1</v>
      </c>
      <c r="C8" s="207">
        <v>3</v>
      </c>
      <c r="D8" s="208">
        <v>44811</v>
      </c>
      <c r="E8" s="210" t="s">
        <v>315</v>
      </c>
      <c r="F8" s="209">
        <v>36.729999999999997</v>
      </c>
      <c r="G8" s="191" t="s">
        <v>303</v>
      </c>
      <c r="H8" s="210" t="s">
        <v>304</v>
      </c>
      <c r="I8" s="212">
        <v>0.76041666666666696</v>
      </c>
      <c r="J8" s="212">
        <v>0.84166666666666701</v>
      </c>
      <c r="K8" s="194">
        <f>(J8-I8)+K7</f>
        <v>0.30763888888889002</v>
      </c>
    </row>
    <row r="9" spans="1:12" x14ac:dyDescent="0.25">
      <c r="A9" s="111"/>
      <c r="B9" s="206"/>
      <c r="C9" s="207"/>
      <c r="D9" s="208"/>
      <c r="E9" s="210"/>
      <c r="F9" s="209"/>
      <c r="G9" s="209"/>
      <c r="H9" s="210"/>
      <c r="I9" s="212"/>
      <c r="J9" s="212"/>
      <c r="K9" s="211"/>
    </row>
    <row r="10" spans="1:12" x14ac:dyDescent="0.25">
      <c r="A10" s="111"/>
      <c r="B10" s="206" t="s">
        <v>5</v>
      </c>
      <c r="C10" s="207">
        <v>1</v>
      </c>
      <c r="D10" s="208">
        <v>44809</v>
      </c>
      <c r="E10" s="210" t="s">
        <v>315</v>
      </c>
      <c r="F10" s="209">
        <v>519.20000000000005</v>
      </c>
      <c r="G10" s="191" t="s">
        <v>303</v>
      </c>
      <c r="H10" s="210" t="s">
        <v>304</v>
      </c>
      <c r="I10" s="212">
        <v>0.77083333333333304</v>
      </c>
      <c r="J10" s="212">
        <v>0.84166666666666701</v>
      </c>
      <c r="K10" s="211">
        <f>J10-I10</f>
        <v>7.083333333333397E-2</v>
      </c>
    </row>
    <row r="11" spans="1:12" x14ac:dyDescent="0.25">
      <c r="A11" s="111"/>
      <c r="B11" s="206" t="s">
        <v>5</v>
      </c>
      <c r="C11" s="207">
        <v>2</v>
      </c>
      <c r="D11" s="208">
        <v>44810</v>
      </c>
      <c r="E11" s="210" t="s">
        <v>315</v>
      </c>
      <c r="F11" s="209">
        <v>520</v>
      </c>
      <c r="G11" s="191" t="s">
        <v>303</v>
      </c>
      <c r="H11" s="210" t="s">
        <v>304</v>
      </c>
      <c r="I11" s="212">
        <v>0.70833333333333304</v>
      </c>
      <c r="J11" s="212">
        <v>0.86319444444444404</v>
      </c>
      <c r="K11" s="194">
        <f>(J11-I11)+K10</f>
        <v>0.22569444444444497</v>
      </c>
    </row>
    <row r="12" spans="1:12" x14ac:dyDescent="0.25">
      <c r="A12" s="111"/>
      <c r="B12" s="206" t="s">
        <v>5</v>
      </c>
      <c r="C12" s="207">
        <v>3</v>
      </c>
      <c r="D12" s="208">
        <v>44811</v>
      </c>
      <c r="E12" s="210" t="s">
        <v>315</v>
      </c>
      <c r="F12" s="209">
        <v>519.20000000000005</v>
      </c>
      <c r="G12" s="191" t="s">
        <v>303</v>
      </c>
      <c r="H12" s="210" t="s">
        <v>304</v>
      </c>
      <c r="I12" s="212">
        <v>0.76041666666666696</v>
      </c>
      <c r="J12" s="212">
        <v>0.84166666666666701</v>
      </c>
      <c r="K12" s="194">
        <f>(J12-I12)+K11</f>
        <v>0.30694444444444502</v>
      </c>
    </row>
    <row r="13" spans="1:12" x14ac:dyDescent="0.25">
      <c r="A13" s="111"/>
      <c r="B13" s="215"/>
      <c r="C13" s="216"/>
      <c r="D13" s="217"/>
      <c r="E13" s="218"/>
      <c r="F13" s="219"/>
      <c r="G13" s="219"/>
      <c r="H13" s="218"/>
      <c r="I13" s="220"/>
      <c r="J13" s="220"/>
      <c r="K13" s="221"/>
    </row>
    <row r="14" spans="1:12" x14ac:dyDescent="0.25">
      <c r="A14" s="111">
        <v>1</v>
      </c>
      <c r="B14" s="190" t="s">
        <v>298</v>
      </c>
      <c r="C14" s="191">
        <v>1</v>
      </c>
      <c r="D14" s="192">
        <v>44684</v>
      </c>
      <c r="E14" s="191" t="s">
        <v>218</v>
      </c>
      <c r="F14" s="118">
        <v>1.0580000000000003</v>
      </c>
      <c r="G14" s="191" t="s">
        <v>219</v>
      </c>
      <c r="H14" s="191" t="s">
        <v>220</v>
      </c>
      <c r="I14" s="193">
        <v>0.75</v>
      </c>
      <c r="J14" s="193">
        <v>0.875</v>
      </c>
      <c r="K14" s="194">
        <f>J14-I14</f>
        <v>0.125</v>
      </c>
    </row>
    <row r="15" spans="1:12" x14ac:dyDescent="0.25">
      <c r="A15" s="111"/>
      <c r="B15" s="190" t="s">
        <v>298</v>
      </c>
      <c r="C15" s="191">
        <v>2</v>
      </c>
      <c r="D15" s="192">
        <v>44685</v>
      </c>
      <c r="E15" s="191" t="s">
        <v>218</v>
      </c>
      <c r="F15" s="118">
        <v>1.0580000000000003</v>
      </c>
      <c r="G15" s="191" t="s">
        <v>219</v>
      </c>
      <c r="H15" s="191" t="s">
        <v>220</v>
      </c>
      <c r="I15" s="193">
        <v>0.70833333333333337</v>
      </c>
      <c r="J15" s="193">
        <v>0.875</v>
      </c>
      <c r="K15" s="194">
        <f>(J15-I15)+K14</f>
        <v>0.29166666666666663</v>
      </c>
    </row>
    <row r="16" spans="1:12" x14ac:dyDescent="0.25">
      <c r="A16" s="111"/>
      <c r="B16" s="190" t="s">
        <v>298</v>
      </c>
      <c r="C16" s="191">
        <v>3</v>
      </c>
      <c r="D16" s="192">
        <v>44686</v>
      </c>
      <c r="E16" s="191" t="s">
        <v>218</v>
      </c>
      <c r="F16" s="118">
        <v>1.0580000000000003</v>
      </c>
      <c r="G16" s="191" t="s">
        <v>219</v>
      </c>
      <c r="H16" s="191" t="s">
        <v>220</v>
      </c>
      <c r="I16" s="193">
        <v>0.75</v>
      </c>
      <c r="J16" s="193">
        <v>0.875</v>
      </c>
      <c r="K16" s="194">
        <f>(J16-I16)+K15</f>
        <v>0.41666666666666663</v>
      </c>
    </row>
    <row r="17" spans="1:11" x14ac:dyDescent="0.25">
      <c r="A17" s="111"/>
      <c r="B17" s="190" t="s">
        <v>298</v>
      </c>
      <c r="C17" s="191">
        <v>4</v>
      </c>
      <c r="D17" s="192">
        <v>44697</v>
      </c>
      <c r="E17" s="191" t="s">
        <v>218</v>
      </c>
      <c r="F17" s="118">
        <v>1.0580000000000003</v>
      </c>
      <c r="G17" s="191" t="s">
        <v>219</v>
      </c>
      <c r="H17" s="191" t="s">
        <v>220</v>
      </c>
      <c r="I17" s="193">
        <v>0.79166666666666663</v>
      </c>
      <c r="J17" s="193">
        <v>0.875</v>
      </c>
      <c r="K17" s="194">
        <f>(J17-I17)+K16</f>
        <v>0.5</v>
      </c>
    </row>
    <row r="18" spans="1:11" x14ac:dyDescent="0.25">
      <c r="A18" s="111"/>
      <c r="B18" s="190" t="s">
        <v>298</v>
      </c>
      <c r="C18" s="191">
        <v>5</v>
      </c>
      <c r="D18" s="192">
        <v>44698</v>
      </c>
      <c r="E18" s="191" t="s">
        <v>218</v>
      </c>
      <c r="F18" s="118">
        <v>1.0580000000000003</v>
      </c>
      <c r="G18" s="191" t="s">
        <v>219</v>
      </c>
      <c r="H18" s="191" t="s">
        <v>220</v>
      </c>
      <c r="I18" s="193">
        <v>0.79166666666666663</v>
      </c>
      <c r="J18" s="193">
        <v>0.875</v>
      </c>
      <c r="K18" s="194">
        <f>(J18-I18)+K17</f>
        <v>0.58333333333333337</v>
      </c>
    </row>
    <row r="19" spans="1:11" x14ac:dyDescent="0.25">
      <c r="A19" s="111">
        <v>1</v>
      </c>
      <c r="B19" s="190" t="s">
        <v>298</v>
      </c>
      <c r="C19" s="191">
        <v>6</v>
      </c>
      <c r="D19" s="192">
        <v>44713</v>
      </c>
      <c r="E19" s="191" t="s">
        <v>218</v>
      </c>
      <c r="F19" s="118">
        <v>1.172999999999998</v>
      </c>
      <c r="G19" s="191" t="s">
        <v>219</v>
      </c>
      <c r="H19" s="191" t="s">
        <v>220</v>
      </c>
      <c r="I19" s="193">
        <v>0.70833333333333337</v>
      </c>
      <c r="J19" s="193">
        <v>0.875</v>
      </c>
      <c r="K19" s="194">
        <f t="shared" ref="K19:K23" si="0">(J19-I19)+K18</f>
        <v>0.75</v>
      </c>
    </row>
    <row r="20" spans="1:11" x14ac:dyDescent="0.25">
      <c r="A20" s="111"/>
      <c r="B20" s="190" t="s">
        <v>298</v>
      </c>
      <c r="C20" s="191">
        <v>7</v>
      </c>
      <c r="D20" s="192">
        <v>44714</v>
      </c>
      <c r="E20" s="191" t="s">
        <v>218</v>
      </c>
      <c r="F20" s="118">
        <v>1.172999999999998</v>
      </c>
      <c r="G20" s="191" t="s">
        <v>219</v>
      </c>
      <c r="H20" s="191" t="s">
        <v>220</v>
      </c>
      <c r="I20" s="193">
        <v>0.70833333333333337</v>
      </c>
      <c r="J20" s="193">
        <v>0.875</v>
      </c>
      <c r="K20" s="194">
        <f t="shared" si="0"/>
        <v>0.91666666666666663</v>
      </c>
    </row>
    <row r="21" spans="1:11" x14ac:dyDescent="0.25">
      <c r="A21" s="111"/>
      <c r="B21" s="190" t="s">
        <v>298</v>
      </c>
      <c r="C21" s="191">
        <v>8</v>
      </c>
      <c r="D21" s="192">
        <v>44721</v>
      </c>
      <c r="E21" s="191" t="s">
        <v>218</v>
      </c>
      <c r="F21" s="118">
        <v>1.172999999999998</v>
      </c>
      <c r="G21" s="191" t="s">
        <v>219</v>
      </c>
      <c r="H21" s="191" t="s">
        <v>220</v>
      </c>
      <c r="I21" s="193">
        <v>0.79166666666666663</v>
      </c>
      <c r="J21" s="193">
        <v>0.83333333333333337</v>
      </c>
      <c r="K21" s="194">
        <f t="shared" si="0"/>
        <v>0.95833333333333337</v>
      </c>
    </row>
    <row r="22" spans="1:11" x14ac:dyDescent="0.25">
      <c r="A22" s="111"/>
      <c r="B22" s="190" t="s">
        <v>298</v>
      </c>
      <c r="C22" s="191">
        <v>9</v>
      </c>
      <c r="D22" s="192">
        <v>44722</v>
      </c>
      <c r="E22" s="191" t="s">
        <v>218</v>
      </c>
      <c r="F22" s="118">
        <v>1.172999999999998</v>
      </c>
      <c r="G22" s="191" t="s">
        <v>219</v>
      </c>
      <c r="H22" s="191" t="s">
        <v>220</v>
      </c>
      <c r="I22" s="193">
        <v>0.79166666666666663</v>
      </c>
      <c r="J22" s="193">
        <v>0.83333333333333337</v>
      </c>
      <c r="K22" s="194">
        <f t="shared" si="0"/>
        <v>1</v>
      </c>
    </row>
    <row r="23" spans="1:11" x14ac:dyDescent="0.25">
      <c r="A23" s="111"/>
      <c r="B23" s="190" t="s">
        <v>298</v>
      </c>
      <c r="C23" s="191">
        <v>10</v>
      </c>
      <c r="D23" s="192">
        <v>44735</v>
      </c>
      <c r="E23" s="191" t="s">
        <v>218</v>
      </c>
      <c r="F23" s="118">
        <v>1.172999999999998</v>
      </c>
      <c r="G23" s="191" t="s">
        <v>219</v>
      </c>
      <c r="H23" s="191" t="s">
        <v>220</v>
      </c>
      <c r="I23" s="193">
        <v>0.79166666666666663</v>
      </c>
      <c r="J23" s="193">
        <v>0.875</v>
      </c>
      <c r="K23" s="194">
        <f t="shared" si="0"/>
        <v>1.0833333333333335</v>
      </c>
    </row>
    <row r="24" spans="1:11" s="67" customFormat="1" x14ac:dyDescent="0.25">
      <c r="A24" s="202">
        <v>1</v>
      </c>
      <c r="B24" s="190" t="s">
        <v>298</v>
      </c>
      <c r="C24" s="191">
        <v>11</v>
      </c>
      <c r="D24" s="192">
        <v>44753</v>
      </c>
      <c r="E24" s="191" t="s">
        <v>218</v>
      </c>
      <c r="F24" s="118">
        <v>1.3379999999999961</v>
      </c>
      <c r="G24" s="191" t="s">
        <v>219</v>
      </c>
      <c r="H24" s="191" t="s">
        <v>220</v>
      </c>
      <c r="I24" s="193">
        <v>0.625</v>
      </c>
      <c r="J24" s="193">
        <v>0.875</v>
      </c>
      <c r="K24" s="194">
        <f t="shared" ref="K24:K28" si="1">(J24-I24)+K23</f>
        <v>1.3333333333333335</v>
      </c>
    </row>
    <row r="25" spans="1:11" s="67" customFormat="1" x14ac:dyDescent="0.25">
      <c r="A25" s="202"/>
      <c r="B25" s="190" t="s">
        <v>298</v>
      </c>
      <c r="C25" s="191">
        <v>12</v>
      </c>
      <c r="D25" s="192">
        <v>44756</v>
      </c>
      <c r="E25" s="191" t="s">
        <v>218</v>
      </c>
      <c r="F25" s="118">
        <v>1.3379999999999961</v>
      </c>
      <c r="G25" s="191" t="s">
        <v>219</v>
      </c>
      <c r="H25" s="191" t="s">
        <v>220</v>
      </c>
      <c r="I25" s="193">
        <v>0.625</v>
      </c>
      <c r="J25" s="193">
        <v>0.875</v>
      </c>
      <c r="K25" s="194">
        <f t="shared" si="1"/>
        <v>1.5833333333333335</v>
      </c>
    </row>
    <row r="26" spans="1:11" s="67" customFormat="1" x14ac:dyDescent="0.25">
      <c r="A26" s="202"/>
      <c r="B26" s="190" t="s">
        <v>298</v>
      </c>
      <c r="C26" s="191">
        <v>13</v>
      </c>
      <c r="D26" s="192">
        <v>44757</v>
      </c>
      <c r="E26" s="191" t="s">
        <v>218</v>
      </c>
      <c r="F26" s="118">
        <v>1.3379999999999961</v>
      </c>
      <c r="G26" s="191" t="s">
        <v>219</v>
      </c>
      <c r="H26" s="191" t="s">
        <v>220</v>
      </c>
      <c r="I26" s="193">
        <v>0.625</v>
      </c>
      <c r="J26" s="193">
        <v>0.875</v>
      </c>
      <c r="K26" s="194">
        <f t="shared" si="1"/>
        <v>1.8333333333333335</v>
      </c>
    </row>
    <row r="27" spans="1:11" s="67" customFormat="1" x14ac:dyDescent="0.25">
      <c r="A27" s="202"/>
      <c r="B27" s="190" t="s">
        <v>298</v>
      </c>
      <c r="C27" s="191">
        <v>14</v>
      </c>
      <c r="D27" s="192">
        <v>44760</v>
      </c>
      <c r="E27" s="191" t="s">
        <v>218</v>
      </c>
      <c r="F27" s="118">
        <v>1.3379999999999961</v>
      </c>
      <c r="G27" s="191" t="s">
        <v>219</v>
      </c>
      <c r="H27" s="191" t="s">
        <v>220</v>
      </c>
      <c r="I27" s="193">
        <v>0.625</v>
      </c>
      <c r="J27" s="193">
        <v>0.875</v>
      </c>
      <c r="K27" s="194">
        <f t="shared" si="1"/>
        <v>2.0833333333333335</v>
      </c>
    </row>
    <row r="28" spans="1:11" s="67" customFormat="1" x14ac:dyDescent="0.25">
      <c r="A28" s="202"/>
      <c r="B28" s="190" t="s">
        <v>298</v>
      </c>
      <c r="C28" s="191">
        <v>15</v>
      </c>
      <c r="D28" s="192">
        <v>44761</v>
      </c>
      <c r="E28" s="191" t="s">
        <v>218</v>
      </c>
      <c r="F28" s="118">
        <v>1.3379999999999961</v>
      </c>
      <c r="G28" s="191" t="s">
        <v>219</v>
      </c>
      <c r="H28" s="191" t="s">
        <v>220</v>
      </c>
      <c r="I28" s="193">
        <v>0.625</v>
      </c>
      <c r="J28" s="193">
        <v>0.875</v>
      </c>
      <c r="K28" s="194">
        <f t="shared" si="1"/>
        <v>2.3333333333333335</v>
      </c>
    </row>
    <row r="29" spans="1:11" s="67" customFormat="1" x14ac:dyDescent="0.25">
      <c r="A29" s="202">
        <v>1</v>
      </c>
      <c r="B29" s="190" t="s">
        <v>298</v>
      </c>
      <c r="C29" s="191">
        <v>16</v>
      </c>
      <c r="D29" s="192">
        <v>44777</v>
      </c>
      <c r="E29" s="191" t="s">
        <v>218</v>
      </c>
      <c r="F29" s="118">
        <v>1.2599999999999958</v>
      </c>
      <c r="G29" s="191" t="s">
        <v>219</v>
      </c>
      <c r="H29" s="191" t="s">
        <v>220</v>
      </c>
      <c r="I29" s="193">
        <v>0.625</v>
      </c>
      <c r="J29" s="193">
        <v>0.875</v>
      </c>
      <c r="K29" s="194">
        <f t="shared" ref="K29:K33" si="2">(J29-I29)+K28</f>
        <v>2.5833333333333335</v>
      </c>
    </row>
    <row r="30" spans="1:11" s="67" customFormat="1" x14ac:dyDescent="0.25">
      <c r="A30" s="202"/>
      <c r="B30" s="190" t="s">
        <v>298</v>
      </c>
      <c r="C30" s="191">
        <v>17</v>
      </c>
      <c r="D30" s="192">
        <v>44778</v>
      </c>
      <c r="E30" s="191" t="s">
        <v>218</v>
      </c>
      <c r="F30" s="118">
        <v>1.2599999999999958</v>
      </c>
      <c r="G30" s="191" t="s">
        <v>219</v>
      </c>
      <c r="H30" s="191" t="s">
        <v>220</v>
      </c>
      <c r="I30" s="193">
        <v>0.625</v>
      </c>
      <c r="J30" s="193">
        <v>0.875</v>
      </c>
      <c r="K30" s="194">
        <f t="shared" si="2"/>
        <v>2.8333333333333335</v>
      </c>
    </row>
    <row r="31" spans="1:11" s="67" customFormat="1" x14ac:dyDescent="0.25">
      <c r="A31" s="202"/>
      <c r="B31" s="190" t="s">
        <v>298</v>
      </c>
      <c r="C31" s="191">
        <v>18</v>
      </c>
      <c r="D31" s="192">
        <v>44781</v>
      </c>
      <c r="E31" s="191" t="s">
        <v>218</v>
      </c>
      <c r="F31" s="118">
        <v>1.2599999999999958</v>
      </c>
      <c r="G31" s="191" t="s">
        <v>219</v>
      </c>
      <c r="H31" s="191" t="s">
        <v>220</v>
      </c>
      <c r="I31" s="193">
        <v>0.625</v>
      </c>
      <c r="J31" s="193">
        <v>0.875</v>
      </c>
      <c r="K31" s="194">
        <f t="shared" si="2"/>
        <v>3.0833333333333335</v>
      </c>
    </row>
    <row r="32" spans="1:11" s="67" customFormat="1" x14ac:dyDescent="0.25">
      <c r="A32" s="202"/>
      <c r="B32" s="190" t="s">
        <v>298</v>
      </c>
      <c r="C32" s="191">
        <v>19</v>
      </c>
      <c r="D32" s="192">
        <v>44782</v>
      </c>
      <c r="E32" s="191" t="s">
        <v>218</v>
      </c>
      <c r="F32" s="118">
        <v>1.2599999999999958</v>
      </c>
      <c r="G32" s="191" t="s">
        <v>219</v>
      </c>
      <c r="H32" s="191" t="s">
        <v>220</v>
      </c>
      <c r="I32" s="193">
        <v>0.625</v>
      </c>
      <c r="J32" s="193">
        <v>0.875</v>
      </c>
      <c r="K32" s="194">
        <f t="shared" si="2"/>
        <v>3.3333333333333335</v>
      </c>
    </row>
    <row r="33" spans="1:11" s="67" customFormat="1" x14ac:dyDescent="0.25">
      <c r="A33" s="202"/>
      <c r="B33" s="190" t="s">
        <v>298</v>
      </c>
      <c r="C33" s="191">
        <v>20</v>
      </c>
      <c r="D33" s="192">
        <v>44783</v>
      </c>
      <c r="E33" s="191" t="s">
        <v>218</v>
      </c>
      <c r="F33" s="118">
        <v>1.2599999999999958</v>
      </c>
      <c r="G33" s="191" t="s">
        <v>219</v>
      </c>
      <c r="H33" s="191" t="s">
        <v>220</v>
      </c>
      <c r="I33" s="193">
        <v>0.625</v>
      </c>
      <c r="J33" s="193">
        <v>0.875</v>
      </c>
      <c r="K33" s="194">
        <f t="shared" si="2"/>
        <v>3.5833333333333335</v>
      </c>
    </row>
    <row r="34" spans="1:11" s="67" customFormat="1" x14ac:dyDescent="0.25">
      <c r="A34" s="202">
        <v>1</v>
      </c>
      <c r="B34" s="190" t="s">
        <v>298</v>
      </c>
      <c r="C34" s="191">
        <v>21</v>
      </c>
      <c r="D34" s="192">
        <v>44805</v>
      </c>
      <c r="E34" s="191" t="s">
        <v>218</v>
      </c>
      <c r="F34" s="118">
        <v>1.2099999999999962</v>
      </c>
      <c r="G34" s="191" t="s">
        <v>219</v>
      </c>
      <c r="H34" s="191" t="s">
        <v>220</v>
      </c>
      <c r="I34" s="193">
        <v>0.625</v>
      </c>
      <c r="J34" s="193">
        <v>0.875</v>
      </c>
      <c r="K34" s="194">
        <f t="shared" ref="K34:K38" si="3">(J34-I34)+K33</f>
        <v>3.8333333333333335</v>
      </c>
    </row>
    <row r="35" spans="1:11" s="67" customFormat="1" x14ac:dyDescent="0.25">
      <c r="A35" s="202"/>
      <c r="B35" s="190" t="s">
        <v>298</v>
      </c>
      <c r="C35" s="191">
        <v>22</v>
      </c>
      <c r="D35" s="192">
        <v>44806</v>
      </c>
      <c r="E35" s="191" t="s">
        <v>218</v>
      </c>
      <c r="F35" s="118">
        <v>1.2099999999999962</v>
      </c>
      <c r="G35" s="191" t="s">
        <v>219</v>
      </c>
      <c r="H35" s="191" t="s">
        <v>220</v>
      </c>
      <c r="I35" s="193">
        <v>0.625</v>
      </c>
      <c r="J35" s="193">
        <v>0.875</v>
      </c>
      <c r="K35" s="194">
        <f t="shared" si="3"/>
        <v>4.0833333333333339</v>
      </c>
    </row>
    <row r="36" spans="1:11" s="67" customFormat="1" x14ac:dyDescent="0.25">
      <c r="A36" s="202"/>
      <c r="B36" s="190" t="s">
        <v>298</v>
      </c>
      <c r="C36" s="191">
        <v>23</v>
      </c>
      <c r="D36" s="192">
        <v>44810</v>
      </c>
      <c r="E36" s="191" t="s">
        <v>218</v>
      </c>
      <c r="F36" s="118">
        <v>1.2099999999999962</v>
      </c>
      <c r="G36" s="191" t="s">
        <v>219</v>
      </c>
      <c r="H36" s="191" t="s">
        <v>220</v>
      </c>
      <c r="I36" s="193">
        <v>0.625</v>
      </c>
      <c r="J36" s="193">
        <v>0.875</v>
      </c>
      <c r="K36" s="194">
        <f t="shared" si="3"/>
        <v>4.3333333333333339</v>
      </c>
    </row>
    <row r="37" spans="1:11" s="67" customFormat="1" x14ac:dyDescent="0.25">
      <c r="A37" s="202"/>
      <c r="B37" s="190" t="s">
        <v>298</v>
      </c>
      <c r="C37" s="191">
        <v>24</v>
      </c>
      <c r="D37" s="192">
        <v>44811</v>
      </c>
      <c r="E37" s="191" t="s">
        <v>218</v>
      </c>
      <c r="F37" s="118">
        <v>1.2099999999999962</v>
      </c>
      <c r="G37" s="191" t="s">
        <v>219</v>
      </c>
      <c r="H37" s="191" t="s">
        <v>220</v>
      </c>
      <c r="I37" s="193">
        <v>0.625</v>
      </c>
      <c r="J37" s="193">
        <v>0.875</v>
      </c>
      <c r="K37" s="194">
        <f t="shared" si="3"/>
        <v>4.5833333333333339</v>
      </c>
    </row>
    <row r="38" spans="1:11" s="67" customFormat="1" x14ac:dyDescent="0.25">
      <c r="A38" s="202"/>
      <c r="B38" s="190" t="s">
        <v>298</v>
      </c>
      <c r="C38" s="191">
        <v>25</v>
      </c>
      <c r="D38" s="192">
        <v>44812</v>
      </c>
      <c r="E38" s="191" t="s">
        <v>218</v>
      </c>
      <c r="F38" s="118">
        <v>1.2099999999999962</v>
      </c>
      <c r="G38" s="191" t="s">
        <v>219</v>
      </c>
      <c r="H38" s="191" t="s">
        <v>220</v>
      </c>
      <c r="I38" s="193">
        <v>0.625</v>
      </c>
      <c r="J38" s="193">
        <v>0.875</v>
      </c>
      <c r="K38" s="194">
        <f t="shared" si="3"/>
        <v>4.8333333333333339</v>
      </c>
    </row>
    <row r="39" spans="1:11" s="67" customFormat="1" x14ac:dyDescent="0.25">
      <c r="A39" s="202"/>
      <c r="B39" s="190" t="s">
        <v>298</v>
      </c>
      <c r="C39" s="191">
        <v>26</v>
      </c>
      <c r="D39" s="192">
        <v>44853</v>
      </c>
      <c r="E39" s="191" t="s">
        <v>218</v>
      </c>
      <c r="F39" s="118">
        <v>1.7899999999999969</v>
      </c>
      <c r="G39" s="191" t="s">
        <v>219</v>
      </c>
      <c r="H39" s="191" t="s">
        <v>220</v>
      </c>
      <c r="I39" s="193">
        <v>0.625</v>
      </c>
      <c r="J39" s="193">
        <v>0.875</v>
      </c>
      <c r="K39" s="194">
        <f t="shared" ref="K39" si="4">(J39-I39)+K38</f>
        <v>5.0833333333333339</v>
      </c>
    </row>
    <row r="40" spans="1:11" x14ac:dyDescent="0.25">
      <c r="A40" s="111"/>
      <c r="B40" s="190"/>
      <c r="C40" s="191"/>
      <c r="D40" s="192"/>
      <c r="E40" s="191"/>
      <c r="F40" s="118"/>
      <c r="G40" s="191"/>
      <c r="H40" s="191"/>
      <c r="I40" s="193"/>
      <c r="J40" s="193"/>
      <c r="K40" s="194"/>
    </row>
    <row r="41" spans="1:11" x14ac:dyDescent="0.25">
      <c r="A41" s="111">
        <v>1</v>
      </c>
      <c r="B41" s="190" t="s">
        <v>298</v>
      </c>
      <c r="C41" s="191">
        <v>1</v>
      </c>
      <c r="D41" s="192">
        <v>44713</v>
      </c>
      <c r="E41" s="191" t="s">
        <v>218</v>
      </c>
      <c r="F41" s="118">
        <v>8.2000000000000017E-2</v>
      </c>
      <c r="G41" s="191" t="s">
        <v>219</v>
      </c>
      <c r="H41" s="191" t="s">
        <v>299</v>
      </c>
      <c r="I41" s="193">
        <v>0.66666666666666663</v>
      </c>
      <c r="J41" s="193">
        <v>0.875</v>
      </c>
      <c r="K41" s="194">
        <f t="shared" ref="K41:K45" si="5">(J41-I41)+K40</f>
        <v>0.20833333333333337</v>
      </c>
    </row>
    <row r="42" spans="1:11" x14ac:dyDescent="0.25">
      <c r="A42" s="111"/>
      <c r="B42" s="190" t="s">
        <v>298</v>
      </c>
      <c r="C42" s="191">
        <v>2</v>
      </c>
      <c r="D42" s="192">
        <v>44714</v>
      </c>
      <c r="E42" s="191" t="s">
        <v>218</v>
      </c>
      <c r="F42" s="118">
        <v>8.2000000000000017E-2</v>
      </c>
      <c r="G42" s="191" t="s">
        <v>219</v>
      </c>
      <c r="H42" s="191" t="s">
        <v>299</v>
      </c>
      <c r="I42" s="193">
        <v>0.70833333333333337</v>
      </c>
      <c r="J42" s="193">
        <v>0.875</v>
      </c>
      <c r="K42" s="194">
        <f t="shared" si="5"/>
        <v>0.375</v>
      </c>
    </row>
    <row r="43" spans="1:11" x14ac:dyDescent="0.25">
      <c r="A43" s="111"/>
      <c r="B43" s="190" t="s">
        <v>298</v>
      </c>
      <c r="C43" s="191">
        <v>3</v>
      </c>
      <c r="D43" s="192">
        <v>44721</v>
      </c>
      <c r="E43" s="191" t="s">
        <v>218</v>
      </c>
      <c r="F43" s="118">
        <v>8.2000000000000017E-2</v>
      </c>
      <c r="G43" s="191" t="s">
        <v>219</v>
      </c>
      <c r="H43" s="191" t="s">
        <v>299</v>
      </c>
      <c r="I43" s="193">
        <v>0.79166666666666663</v>
      </c>
      <c r="J43" s="193">
        <v>0.83333333333333337</v>
      </c>
      <c r="K43" s="194">
        <f t="shared" si="5"/>
        <v>0.41666666666666674</v>
      </c>
    </row>
    <row r="44" spans="1:11" x14ac:dyDescent="0.25">
      <c r="A44" s="111"/>
      <c r="B44" s="190" t="s">
        <v>298</v>
      </c>
      <c r="C44" s="191">
        <v>4</v>
      </c>
      <c r="D44" s="192">
        <v>44722</v>
      </c>
      <c r="E44" s="191" t="s">
        <v>218</v>
      </c>
      <c r="F44" s="118">
        <v>8.2000000000000017E-2</v>
      </c>
      <c r="G44" s="191" t="s">
        <v>219</v>
      </c>
      <c r="H44" s="191" t="s">
        <v>299</v>
      </c>
      <c r="I44" s="193">
        <v>0.79166666666666663</v>
      </c>
      <c r="J44" s="193">
        <v>0.83333333333333337</v>
      </c>
      <c r="K44" s="194">
        <f t="shared" si="5"/>
        <v>0.45833333333333348</v>
      </c>
    </row>
    <row r="45" spans="1:11" x14ac:dyDescent="0.25">
      <c r="A45" s="111"/>
      <c r="B45" s="190" t="s">
        <v>298</v>
      </c>
      <c r="C45" s="191">
        <v>5</v>
      </c>
      <c r="D45" s="192">
        <v>44735</v>
      </c>
      <c r="E45" s="191" t="s">
        <v>218</v>
      </c>
      <c r="F45" s="118">
        <v>8.2000000000000017E-2</v>
      </c>
      <c r="G45" s="191" t="s">
        <v>219</v>
      </c>
      <c r="H45" s="191" t="s">
        <v>299</v>
      </c>
      <c r="I45" s="193">
        <v>0.79166666666666663</v>
      </c>
      <c r="J45" s="193">
        <v>0.875</v>
      </c>
      <c r="K45" s="194">
        <f t="shared" si="5"/>
        <v>0.54166666666666685</v>
      </c>
    </row>
    <row r="46" spans="1:11" x14ac:dyDescent="0.25">
      <c r="A46" s="111"/>
      <c r="B46" s="190" t="s">
        <v>298</v>
      </c>
      <c r="C46" s="191">
        <v>6</v>
      </c>
      <c r="D46" s="192">
        <v>44764</v>
      </c>
      <c r="E46" s="191" t="s">
        <v>218</v>
      </c>
      <c r="F46" s="118">
        <v>0.13700000000000007</v>
      </c>
      <c r="G46" s="191" t="s">
        <v>219</v>
      </c>
      <c r="H46" s="191" t="s">
        <v>299</v>
      </c>
      <c r="I46" s="193">
        <v>0.625</v>
      </c>
      <c r="J46" s="193">
        <v>0.875</v>
      </c>
      <c r="K46" s="194">
        <f t="shared" ref="K46:K50" si="6">(J46-I46)+K45</f>
        <v>0.79166666666666685</v>
      </c>
    </row>
    <row r="47" spans="1:11" x14ac:dyDescent="0.25">
      <c r="A47" s="111"/>
      <c r="B47" s="190" t="s">
        <v>298</v>
      </c>
      <c r="C47" s="191">
        <v>7</v>
      </c>
      <c r="D47" s="192">
        <v>44770</v>
      </c>
      <c r="E47" s="191" t="s">
        <v>218</v>
      </c>
      <c r="F47" s="118">
        <v>0.13700000000000007</v>
      </c>
      <c r="G47" s="191" t="s">
        <v>219</v>
      </c>
      <c r="H47" s="191" t="s">
        <v>299</v>
      </c>
      <c r="I47" s="193">
        <v>0.625</v>
      </c>
      <c r="J47" s="193">
        <v>0.875</v>
      </c>
      <c r="K47" s="194">
        <f t="shared" si="6"/>
        <v>1.041666666666667</v>
      </c>
    </row>
    <row r="48" spans="1:11" x14ac:dyDescent="0.25">
      <c r="A48" s="111"/>
      <c r="B48" s="190" t="s">
        <v>298</v>
      </c>
      <c r="C48" s="191">
        <v>8</v>
      </c>
      <c r="D48" s="192">
        <v>44771</v>
      </c>
      <c r="E48" s="191" t="s">
        <v>218</v>
      </c>
      <c r="F48" s="118">
        <v>0.13700000000000007</v>
      </c>
      <c r="G48" s="191" t="s">
        <v>219</v>
      </c>
      <c r="H48" s="191" t="s">
        <v>299</v>
      </c>
      <c r="I48" s="193">
        <v>0.625</v>
      </c>
      <c r="J48" s="193">
        <v>0.875</v>
      </c>
      <c r="K48" s="194">
        <f t="shared" si="6"/>
        <v>1.291666666666667</v>
      </c>
    </row>
    <row r="49" spans="1:11" x14ac:dyDescent="0.25">
      <c r="A49" s="111"/>
      <c r="B49" s="190" t="s">
        <v>298</v>
      </c>
      <c r="C49" s="191">
        <v>9</v>
      </c>
      <c r="D49" s="192">
        <v>44777</v>
      </c>
      <c r="E49" s="191" t="s">
        <v>218</v>
      </c>
      <c r="F49" s="118">
        <v>0.1</v>
      </c>
      <c r="G49" s="191" t="s">
        <v>219</v>
      </c>
      <c r="H49" s="191" t="s">
        <v>299</v>
      </c>
      <c r="I49" s="193">
        <v>0.625</v>
      </c>
      <c r="J49" s="193">
        <v>0.875</v>
      </c>
      <c r="K49" s="194">
        <f t="shared" si="6"/>
        <v>1.541666666666667</v>
      </c>
    </row>
    <row r="50" spans="1:11" x14ac:dyDescent="0.25">
      <c r="A50" s="111"/>
      <c r="B50" s="190" t="s">
        <v>298</v>
      </c>
      <c r="C50" s="191">
        <v>10</v>
      </c>
      <c r="D50" s="192">
        <v>44778</v>
      </c>
      <c r="E50" s="191" t="s">
        <v>218</v>
      </c>
      <c r="F50" s="118">
        <v>0.1</v>
      </c>
      <c r="G50" s="191" t="s">
        <v>219</v>
      </c>
      <c r="H50" s="191" t="s">
        <v>299</v>
      </c>
      <c r="I50" s="193">
        <v>0.625</v>
      </c>
      <c r="J50" s="193">
        <v>0.875</v>
      </c>
      <c r="K50" s="194">
        <f t="shared" si="6"/>
        <v>1.791666666666667</v>
      </c>
    </row>
    <row r="51" spans="1:11" x14ac:dyDescent="0.25">
      <c r="A51" s="111"/>
      <c r="B51" s="190" t="s">
        <v>298</v>
      </c>
      <c r="C51" s="191">
        <v>11</v>
      </c>
      <c r="D51" s="192">
        <v>44781</v>
      </c>
      <c r="E51" s="191" t="s">
        <v>218</v>
      </c>
      <c r="F51" s="118">
        <v>0.1</v>
      </c>
      <c r="G51" s="191" t="s">
        <v>219</v>
      </c>
      <c r="H51" s="191" t="s">
        <v>299</v>
      </c>
      <c r="I51" s="193">
        <v>0.625</v>
      </c>
      <c r="J51" s="193">
        <v>0.875</v>
      </c>
      <c r="K51" s="194">
        <f t="shared" ref="K51:K55" si="7">(J51-I51)+K50</f>
        <v>2.041666666666667</v>
      </c>
    </row>
    <row r="52" spans="1:11" x14ac:dyDescent="0.25">
      <c r="A52" s="111"/>
      <c r="B52" s="190" t="s">
        <v>298</v>
      </c>
      <c r="C52" s="191">
        <v>12</v>
      </c>
      <c r="D52" s="192">
        <v>44782</v>
      </c>
      <c r="E52" s="191" t="s">
        <v>218</v>
      </c>
      <c r="F52" s="118">
        <v>0.1</v>
      </c>
      <c r="G52" s="191" t="s">
        <v>219</v>
      </c>
      <c r="H52" s="191" t="s">
        <v>299</v>
      </c>
      <c r="I52" s="193">
        <v>0.625</v>
      </c>
      <c r="J52" s="193">
        <v>0.875</v>
      </c>
      <c r="K52" s="194">
        <f t="shared" si="7"/>
        <v>2.291666666666667</v>
      </c>
    </row>
    <row r="53" spans="1:11" x14ac:dyDescent="0.25">
      <c r="A53" s="111"/>
      <c r="B53" s="190" t="s">
        <v>298</v>
      </c>
      <c r="C53" s="191">
        <v>13</v>
      </c>
      <c r="D53" s="192">
        <v>44805</v>
      </c>
      <c r="E53" s="191" t="s">
        <v>218</v>
      </c>
      <c r="F53" s="118">
        <v>0.11000000000000001</v>
      </c>
      <c r="G53" s="191" t="s">
        <v>219</v>
      </c>
      <c r="H53" s="191" t="s">
        <v>299</v>
      </c>
      <c r="I53" s="193">
        <v>0.625</v>
      </c>
      <c r="J53" s="193">
        <v>0.875</v>
      </c>
      <c r="K53" s="194">
        <f t="shared" si="7"/>
        <v>2.541666666666667</v>
      </c>
    </row>
    <row r="54" spans="1:11" x14ac:dyDescent="0.25">
      <c r="A54" s="111"/>
      <c r="B54" s="190" t="s">
        <v>298</v>
      </c>
      <c r="C54" s="191">
        <v>14</v>
      </c>
      <c r="D54" s="192">
        <v>44806</v>
      </c>
      <c r="E54" s="191" t="s">
        <v>218</v>
      </c>
      <c r="F54" s="118">
        <v>0.11000000000000001</v>
      </c>
      <c r="G54" s="191" t="s">
        <v>219</v>
      </c>
      <c r="H54" s="191" t="s">
        <v>299</v>
      </c>
      <c r="I54" s="193">
        <v>0.625</v>
      </c>
      <c r="J54" s="193">
        <v>0.875</v>
      </c>
      <c r="K54" s="194">
        <f t="shared" si="7"/>
        <v>2.791666666666667</v>
      </c>
    </row>
    <row r="55" spans="1:11" x14ac:dyDescent="0.25">
      <c r="A55" s="111"/>
      <c r="B55" s="190" t="s">
        <v>298</v>
      </c>
      <c r="C55" s="191">
        <v>15</v>
      </c>
      <c r="D55" s="192">
        <v>44810</v>
      </c>
      <c r="E55" s="191" t="s">
        <v>218</v>
      </c>
      <c r="F55" s="118">
        <v>0.11000000000000001</v>
      </c>
      <c r="G55" s="191" t="s">
        <v>219</v>
      </c>
      <c r="H55" s="191" t="s">
        <v>299</v>
      </c>
      <c r="I55" s="193">
        <v>0.625</v>
      </c>
      <c r="J55" s="193">
        <v>0.875</v>
      </c>
      <c r="K55" s="194">
        <f t="shared" si="7"/>
        <v>3.041666666666667</v>
      </c>
    </row>
    <row r="56" spans="1:11" x14ac:dyDescent="0.25">
      <c r="A56" s="111"/>
      <c r="B56" s="190" t="s">
        <v>298</v>
      </c>
      <c r="C56" s="191">
        <v>16</v>
      </c>
      <c r="D56" s="192">
        <v>44811</v>
      </c>
      <c r="E56" s="191" t="s">
        <v>218</v>
      </c>
      <c r="F56" s="118">
        <v>0.11000000000000001</v>
      </c>
      <c r="G56" s="191" t="s">
        <v>219</v>
      </c>
      <c r="H56" s="191" t="s">
        <v>299</v>
      </c>
      <c r="I56" s="193">
        <v>0.625</v>
      </c>
      <c r="J56" s="193">
        <v>0.875</v>
      </c>
      <c r="K56" s="194">
        <f t="shared" ref="K56:K59" si="8">(J56-I56)+K55</f>
        <v>3.291666666666667</v>
      </c>
    </row>
    <row r="57" spans="1:11" x14ac:dyDescent="0.25">
      <c r="A57" s="111"/>
      <c r="B57" s="190" t="s">
        <v>298</v>
      </c>
      <c r="C57" s="191">
        <v>17</v>
      </c>
      <c r="D57" s="192">
        <v>44812</v>
      </c>
      <c r="E57" s="191" t="s">
        <v>218</v>
      </c>
      <c r="F57" s="118">
        <v>0.11000000000000001</v>
      </c>
      <c r="G57" s="191" t="s">
        <v>219</v>
      </c>
      <c r="H57" s="191" t="s">
        <v>299</v>
      </c>
      <c r="I57" s="193">
        <v>0.625</v>
      </c>
      <c r="J57" s="193">
        <v>0.875</v>
      </c>
      <c r="K57" s="194">
        <f t="shared" si="8"/>
        <v>3.541666666666667</v>
      </c>
    </row>
    <row r="58" spans="1:11" x14ac:dyDescent="0.25">
      <c r="A58" s="111"/>
      <c r="B58" s="190" t="s">
        <v>298</v>
      </c>
      <c r="C58" s="191">
        <v>18</v>
      </c>
      <c r="D58" s="192">
        <v>44839</v>
      </c>
      <c r="E58" s="191" t="s">
        <v>218</v>
      </c>
      <c r="F58" s="118">
        <v>0.10000000000000006</v>
      </c>
      <c r="G58" s="191" t="s">
        <v>219</v>
      </c>
      <c r="H58" s="191" t="s">
        <v>299</v>
      </c>
      <c r="I58" s="193">
        <v>0.625</v>
      </c>
      <c r="J58" s="193">
        <v>0.875</v>
      </c>
      <c r="K58" s="194">
        <f t="shared" si="8"/>
        <v>3.791666666666667</v>
      </c>
    </row>
    <row r="59" spans="1:11" x14ac:dyDescent="0.25">
      <c r="A59" s="111"/>
      <c r="B59" s="190" t="s">
        <v>298</v>
      </c>
      <c r="C59" s="191">
        <v>19</v>
      </c>
      <c r="D59" s="192">
        <v>44840</v>
      </c>
      <c r="E59" s="191" t="s">
        <v>218</v>
      </c>
      <c r="F59" s="118">
        <v>0.10000000000000006</v>
      </c>
      <c r="G59" s="191" t="s">
        <v>219</v>
      </c>
      <c r="H59" s="191" t="s">
        <v>299</v>
      </c>
      <c r="I59" s="193">
        <v>0.625</v>
      </c>
      <c r="J59" s="193">
        <v>0.875</v>
      </c>
      <c r="K59" s="194">
        <f t="shared" si="8"/>
        <v>4.041666666666667</v>
      </c>
    </row>
    <row r="60" spans="1:11" x14ac:dyDescent="0.25">
      <c r="A60" s="111"/>
      <c r="B60" s="190" t="s">
        <v>298</v>
      </c>
      <c r="C60" s="191">
        <v>20</v>
      </c>
      <c r="D60" s="192">
        <v>44853</v>
      </c>
      <c r="E60" s="191" t="s">
        <v>218</v>
      </c>
      <c r="F60" s="118">
        <v>0.10000000000000006</v>
      </c>
      <c r="G60" s="191" t="s">
        <v>219</v>
      </c>
      <c r="H60" s="191" t="s">
        <v>299</v>
      </c>
      <c r="I60" s="193">
        <v>0.625</v>
      </c>
      <c r="J60" s="193">
        <v>0.875</v>
      </c>
      <c r="K60" s="194">
        <f t="shared" ref="K60:K61" si="9">(J60-I60)+K59</f>
        <v>4.291666666666667</v>
      </c>
    </row>
    <row r="61" spans="1:11" x14ac:dyDescent="0.25">
      <c r="A61" s="111"/>
      <c r="B61" s="190" t="s">
        <v>298</v>
      </c>
      <c r="C61" s="191">
        <v>21</v>
      </c>
      <c r="D61" s="192">
        <v>44854</v>
      </c>
      <c r="E61" s="191" t="s">
        <v>218</v>
      </c>
      <c r="F61" s="118">
        <v>0.10000000000000006</v>
      </c>
      <c r="G61" s="191" t="s">
        <v>219</v>
      </c>
      <c r="H61" s="191" t="s">
        <v>299</v>
      </c>
      <c r="I61" s="193">
        <v>0.66666666666666663</v>
      </c>
      <c r="J61" s="193">
        <v>0.875</v>
      </c>
      <c r="K61" s="194">
        <f t="shared" si="9"/>
        <v>4.5</v>
      </c>
    </row>
    <row r="62" spans="1:11" x14ac:dyDescent="0.25">
      <c r="A62" s="111"/>
      <c r="B62" s="190"/>
      <c r="C62" s="191"/>
      <c r="D62" s="192"/>
      <c r="E62" s="191"/>
      <c r="F62" s="118"/>
      <c r="G62" s="191"/>
      <c r="H62" s="191"/>
      <c r="I62" s="193"/>
      <c r="J62" s="193"/>
      <c r="K62" s="194"/>
    </row>
    <row r="63" spans="1:11" x14ac:dyDescent="0.25">
      <c r="A63" s="111">
        <v>1</v>
      </c>
      <c r="B63" s="190" t="s">
        <v>298</v>
      </c>
      <c r="C63" s="191">
        <v>1</v>
      </c>
      <c r="D63" s="192">
        <v>44683</v>
      </c>
      <c r="E63" s="191" t="s">
        <v>218</v>
      </c>
      <c r="F63" s="118">
        <v>0.16800000000000004</v>
      </c>
      <c r="G63" s="191" t="s">
        <v>219</v>
      </c>
      <c r="H63" s="191" t="s">
        <v>221</v>
      </c>
      <c r="I63" s="193">
        <v>0.75</v>
      </c>
      <c r="J63" s="193">
        <v>0.875</v>
      </c>
      <c r="K63" s="194">
        <f>J63-I63</f>
        <v>0.125</v>
      </c>
    </row>
    <row r="64" spans="1:11" x14ac:dyDescent="0.25">
      <c r="A64" s="111"/>
      <c r="B64" s="190" t="s">
        <v>298</v>
      </c>
      <c r="C64" s="191">
        <v>2</v>
      </c>
      <c r="D64" s="192">
        <v>44684</v>
      </c>
      <c r="E64" s="191" t="s">
        <v>218</v>
      </c>
      <c r="F64" s="118">
        <v>0.16800000000000004</v>
      </c>
      <c r="G64" s="191" t="s">
        <v>219</v>
      </c>
      <c r="H64" s="191" t="s">
        <v>221</v>
      </c>
      <c r="I64" s="193">
        <v>0.75</v>
      </c>
      <c r="J64" s="193">
        <v>0.875</v>
      </c>
      <c r="K64" s="194">
        <f>(J64-I64)+K63</f>
        <v>0.25</v>
      </c>
    </row>
    <row r="65" spans="1:11" x14ac:dyDescent="0.25">
      <c r="A65" s="111"/>
      <c r="B65" s="190" t="s">
        <v>298</v>
      </c>
      <c r="C65" s="191">
        <v>3</v>
      </c>
      <c r="D65" s="192">
        <v>44685</v>
      </c>
      <c r="E65" s="191" t="s">
        <v>218</v>
      </c>
      <c r="F65" s="118">
        <v>0.16800000000000004</v>
      </c>
      <c r="G65" s="191" t="s">
        <v>219</v>
      </c>
      <c r="H65" s="191" t="s">
        <v>221</v>
      </c>
      <c r="I65" s="193">
        <v>0.79166666666666663</v>
      </c>
      <c r="J65" s="193">
        <v>0.83333333333333337</v>
      </c>
      <c r="K65" s="194">
        <f t="shared" ref="K65:K72" si="10">(J65-I65)+K64</f>
        <v>0.29166666666666674</v>
      </c>
    </row>
    <row r="66" spans="1:11" x14ac:dyDescent="0.25">
      <c r="A66" s="111">
        <v>1</v>
      </c>
      <c r="B66" s="190" t="s">
        <v>298</v>
      </c>
      <c r="C66" s="191">
        <v>4</v>
      </c>
      <c r="D66" s="192">
        <v>44686</v>
      </c>
      <c r="E66" s="191" t="s">
        <v>218</v>
      </c>
      <c r="F66" s="118">
        <v>0.16800000000000004</v>
      </c>
      <c r="G66" s="191" t="s">
        <v>219</v>
      </c>
      <c r="H66" s="191" t="s">
        <v>221</v>
      </c>
      <c r="I66" s="193">
        <v>0.79166666666666663</v>
      </c>
      <c r="J66" s="193">
        <v>0.83333333333333337</v>
      </c>
      <c r="K66" s="194">
        <f t="shared" si="10"/>
        <v>0.33333333333333348</v>
      </c>
    </row>
    <row r="67" spans="1:11" x14ac:dyDescent="0.25">
      <c r="A67" s="111"/>
      <c r="B67" s="190" t="s">
        <v>298</v>
      </c>
      <c r="C67" s="191">
        <v>5</v>
      </c>
      <c r="D67" s="192">
        <v>44697</v>
      </c>
      <c r="E67" s="191" t="s">
        <v>218</v>
      </c>
      <c r="F67" s="118">
        <v>0.16800000000000004</v>
      </c>
      <c r="G67" s="191" t="s">
        <v>219</v>
      </c>
      <c r="H67" s="191" t="s">
        <v>221</v>
      </c>
      <c r="I67" s="193">
        <v>0.79166666666666663</v>
      </c>
      <c r="J67" s="193">
        <v>0.875</v>
      </c>
      <c r="K67" s="194">
        <f t="shared" si="10"/>
        <v>0.41666666666666685</v>
      </c>
    </row>
    <row r="68" spans="1:11" x14ac:dyDescent="0.25">
      <c r="A68" s="111">
        <v>1</v>
      </c>
      <c r="B68" s="190" t="s">
        <v>298</v>
      </c>
      <c r="C68" s="191">
        <v>6</v>
      </c>
      <c r="D68" s="192">
        <v>44713</v>
      </c>
      <c r="E68" s="191" t="s">
        <v>218</v>
      </c>
      <c r="F68" s="118">
        <v>0.26800000000000013</v>
      </c>
      <c r="G68" s="191" t="s">
        <v>219</v>
      </c>
      <c r="H68" s="191" t="s">
        <v>221</v>
      </c>
      <c r="I68" s="193">
        <v>0.66666666666666663</v>
      </c>
      <c r="J68" s="193">
        <v>0.875</v>
      </c>
      <c r="K68" s="194">
        <f t="shared" si="10"/>
        <v>0.62500000000000022</v>
      </c>
    </row>
    <row r="69" spans="1:11" x14ac:dyDescent="0.25">
      <c r="A69" s="111"/>
      <c r="B69" s="190" t="s">
        <v>298</v>
      </c>
      <c r="C69" s="191">
        <v>7</v>
      </c>
      <c r="D69" s="192">
        <v>44714</v>
      </c>
      <c r="E69" s="191" t="s">
        <v>218</v>
      </c>
      <c r="F69" s="118">
        <v>0.26800000000000013</v>
      </c>
      <c r="G69" s="191" t="s">
        <v>219</v>
      </c>
      <c r="H69" s="191" t="s">
        <v>221</v>
      </c>
      <c r="I69" s="193">
        <v>0.70833333333333337</v>
      </c>
      <c r="J69" s="193">
        <v>0.875</v>
      </c>
      <c r="K69" s="194">
        <f t="shared" si="10"/>
        <v>0.79166666666666685</v>
      </c>
    </row>
    <row r="70" spans="1:11" x14ac:dyDescent="0.25">
      <c r="A70" s="111"/>
      <c r="B70" s="190" t="s">
        <v>298</v>
      </c>
      <c r="C70" s="191">
        <v>8</v>
      </c>
      <c r="D70" s="192">
        <v>44721</v>
      </c>
      <c r="E70" s="191" t="s">
        <v>218</v>
      </c>
      <c r="F70" s="118">
        <v>0.26800000000000013</v>
      </c>
      <c r="G70" s="191" t="s">
        <v>219</v>
      </c>
      <c r="H70" s="191" t="s">
        <v>221</v>
      </c>
      <c r="I70" s="193">
        <v>0.79166666666666663</v>
      </c>
      <c r="J70" s="193">
        <v>0.83333333333333337</v>
      </c>
      <c r="K70" s="194">
        <f t="shared" si="10"/>
        <v>0.83333333333333359</v>
      </c>
    </row>
    <row r="71" spans="1:11" x14ac:dyDescent="0.25">
      <c r="A71" s="111"/>
      <c r="B71" s="190" t="s">
        <v>298</v>
      </c>
      <c r="C71" s="191">
        <v>9</v>
      </c>
      <c r="D71" s="192">
        <v>44722</v>
      </c>
      <c r="E71" s="191" t="s">
        <v>218</v>
      </c>
      <c r="F71" s="118">
        <v>0.26800000000000013</v>
      </c>
      <c r="G71" s="191" t="s">
        <v>219</v>
      </c>
      <c r="H71" s="191" t="s">
        <v>221</v>
      </c>
      <c r="I71" s="193">
        <v>0.79166666666666663</v>
      </c>
      <c r="J71" s="193">
        <v>0.83333333333333337</v>
      </c>
      <c r="K71" s="194">
        <f t="shared" si="10"/>
        <v>0.87500000000000033</v>
      </c>
    </row>
    <row r="72" spans="1:11" x14ac:dyDescent="0.25">
      <c r="A72" s="111"/>
      <c r="B72" s="190" t="s">
        <v>298</v>
      </c>
      <c r="C72" s="191">
        <v>10</v>
      </c>
      <c r="D72" s="192">
        <v>44735</v>
      </c>
      <c r="E72" s="191" t="s">
        <v>218</v>
      </c>
      <c r="F72" s="118">
        <v>0.26800000000000013</v>
      </c>
      <c r="G72" s="191" t="s">
        <v>219</v>
      </c>
      <c r="H72" s="191" t="s">
        <v>221</v>
      </c>
      <c r="I72" s="193">
        <v>0.79166666666666663</v>
      </c>
      <c r="J72" s="193">
        <v>0.875</v>
      </c>
      <c r="K72" s="194">
        <f t="shared" si="10"/>
        <v>0.9583333333333337</v>
      </c>
    </row>
    <row r="73" spans="1:11" x14ac:dyDescent="0.25">
      <c r="A73" s="111"/>
      <c r="B73" s="190" t="s">
        <v>298</v>
      </c>
      <c r="C73" s="191">
        <v>11</v>
      </c>
      <c r="D73" s="192">
        <v>44764</v>
      </c>
      <c r="E73" s="191" t="s">
        <v>218</v>
      </c>
      <c r="F73" s="118">
        <v>0.57800000000000018</v>
      </c>
      <c r="G73" s="191" t="s">
        <v>219</v>
      </c>
      <c r="H73" s="191" t="s">
        <v>221</v>
      </c>
      <c r="I73" s="193">
        <v>0.625</v>
      </c>
      <c r="J73" s="193">
        <v>0.875</v>
      </c>
      <c r="K73" s="194">
        <f t="shared" ref="K73:K77" si="11">(J73-I73)+K72</f>
        <v>1.2083333333333337</v>
      </c>
    </row>
    <row r="74" spans="1:11" x14ac:dyDescent="0.25">
      <c r="A74" s="111"/>
      <c r="B74" s="190" t="s">
        <v>298</v>
      </c>
      <c r="C74" s="191">
        <v>12</v>
      </c>
      <c r="D74" s="192">
        <v>44771</v>
      </c>
      <c r="E74" s="191" t="s">
        <v>218</v>
      </c>
      <c r="F74" s="118">
        <v>0.57800000000000018</v>
      </c>
      <c r="G74" s="191" t="s">
        <v>219</v>
      </c>
      <c r="H74" s="191" t="s">
        <v>221</v>
      </c>
      <c r="I74" s="193">
        <v>0.625</v>
      </c>
      <c r="J74" s="193">
        <v>0.875</v>
      </c>
      <c r="K74" s="194">
        <f t="shared" si="11"/>
        <v>1.4583333333333337</v>
      </c>
    </row>
    <row r="75" spans="1:11" x14ac:dyDescent="0.25">
      <c r="A75" s="111"/>
      <c r="B75" s="190" t="s">
        <v>298</v>
      </c>
      <c r="C75" s="191">
        <v>13</v>
      </c>
      <c r="D75" s="192">
        <v>44777</v>
      </c>
      <c r="E75" s="191" t="s">
        <v>218</v>
      </c>
      <c r="F75" s="118">
        <v>0.57500000000000029</v>
      </c>
      <c r="G75" s="191" t="s">
        <v>219</v>
      </c>
      <c r="H75" s="191" t="s">
        <v>221</v>
      </c>
      <c r="I75" s="193">
        <v>0.625</v>
      </c>
      <c r="J75" s="193">
        <v>0.875</v>
      </c>
      <c r="K75" s="194">
        <f t="shared" si="11"/>
        <v>1.7083333333333337</v>
      </c>
    </row>
    <row r="76" spans="1:11" x14ac:dyDescent="0.25">
      <c r="A76" s="111"/>
      <c r="B76" s="190" t="s">
        <v>298</v>
      </c>
      <c r="C76" s="191">
        <v>14</v>
      </c>
      <c r="D76" s="192">
        <v>44778</v>
      </c>
      <c r="E76" s="191" t="s">
        <v>218</v>
      </c>
      <c r="F76" s="118">
        <v>0.57500000000000029</v>
      </c>
      <c r="G76" s="191" t="s">
        <v>219</v>
      </c>
      <c r="H76" s="191" t="s">
        <v>221</v>
      </c>
      <c r="I76" s="193">
        <v>0.625</v>
      </c>
      <c r="J76" s="193">
        <v>0.875</v>
      </c>
      <c r="K76" s="194">
        <f t="shared" si="11"/>
        <v>1.9583333333333337</v>
      </c>
    </row>
    <row r="77" spans="1:11" x14ac:dyDescent="0.25">
      <c r="A77" s="111"/>
      <c r="B77" s="190" t="s">
        <v>298</v>
      </c>
      <c r="C77" s="191">
        <v>15</v>
      </c>
      <c r="D77" s="192">
        <v>44781</v>
      </c>
      <c r="E77" s="191" t="s">
        <v>218</v>
      </c>
      <c r="F77" s="118">
        <v>0.57500000000000029</v>
      </c>
      <c r="G77" s="191" t="s">
        <v>219</v>
      </c>
      <c r="H77" s="191" t="s">
        <v>221</v>
      </c>
      <c r="I77" s="193">
        <v>0.625</v>
      </c>
      <c r="J77" s="193">
        <v>0.875</v>
      </c>
      <c r="K77" s="194">
        <f t="shared" si="11"/>
        <v>2.2083333333333339</v>
      </c>
    </row>
    <row r="78" spans="1:11" x14ac:dyDescent="0.25">
      <c r="A78" s="111"/>
      <c r="B78" s="190" t="s">
        <v>298</v>
      </c>
      <c r="C78" s="191">
        <v>16</v>
      </c>
      <c r="D78" s="192">
        <v>44782</v>
      </c>
      <c r="E78" s="191" t="s">
        <v>218</v>
      </c>
      <c r="F78" s="118">
        <v>0.57500000000000029</v>
      </c>
      <c r="G78" s="191" t="s">
        <v>219</v>
      </c>
      <c r="H78" s="191" t="s">
        <v>221</v>
      </c>
      <c r="I78" s="193">
        <v>0.625</v>
      </c>
      <c r="J78" s="193">
        <v>0.875</v>
      </c>
      <c r="K78" s="194">
        <f t="shared" ref="K78:K82" si="12">(J78-I78)+K77</f>
        <v>2.4583333333333339</v>
      </c>
    </row>
    <row r="79" spans="1:11" x14ac:dyDescent="0.25">
      <c r="A79" s="111"/>
      <c r="B79" s="190" t="s">
        <v>298</v>
      </c>
      <c r="C79" s="191">
        <v>17</v>
      </c>
      <c r="D79" s="192">
        <v>44804</v>
      </c>
      <c r="E79" s="191" t="s">
        <v>218</v>
      </c>
      <c r="F79" s="118">
        <v>0.57500000000000029</v>
      </c>
      <c r="G79" s="191" t="s">
        <v>219</v>
      </c>
      <c r="H79" s="191" t="s">
        <v>221</v>
      </c>
      <c r="I79" s="193">
        <v>0.625</v>
      </c>
      <c r="J79" s="193">
        <v>0.875</v>
      </c>
      <c r="K79" s="194">
        <f t="shared" si="12"/>
        <v>2.7083333333333339</v>
      </c>
    </row>
    <row r="80" spans="1:11" x14ac:dyDescent="0.25">
      <c r="A80" s="111"/>
      <c r="B80" s="190" t="s">
        <v>298</v>
      </c>
      <c r="C80" s="191">
        <v>18</v>
      </c>
      <c r="D80" s="192">
        <v>44805</v>
      </c>
      <c r="E80" s="191" t="s">
        <v>218</v>
      </c>
      <c r="F80" s="118">
        <v>0.52000000000000024</v>
      </c>
      <c r="G80" s="191" t="s">
        <v>219</v>
      </c>
      <c r="H80" s="191" t="s">
        <v>221</v>
      </c>
      <c r="I80" s="193">
        <v>0.625</v>
      </c>
      <c r="J80" s="193">
        <v>0.875</v>
      </c>
      <c r="K80" s="194">
        <f t="shared" si="12"/>
        <v>2.9583333333333339</v>
      </c>
    </row>
    <row r="81" spans="1:11" x14ac:dyDescent="0.25">
      <c r="A81" s="111"/>
      <c r="B81" s="190" t="s">
        <v>298</v>
      </c>
      <c r="C81" s="191">
        <v>19</v>
      </c>
      <c r="D81" s="192">
        <v>44806</v>
      </c>
      <c r="E81" s="191" t="s">
        <v>218</v>
      </c>
      <c r="F81" s="118">
        <v>0.52000000000000024</v>
      </c>
      <c r="G81" s="191" t="s">
        <v>219</v>
      </c>
      <c r="H81" s="191" t="s">
        <v>221</v>
      </c>
      <c r="I81" s="193">
        <v>0.625</v>
      </c>
      <c r="J81" s="193">
        <v>0.875</v>
      </c>
      <c r="K81" s="194">
        <f t="shared" si="12"/>
        <v>3.2083333333333339</v>
      </c>
    </row>
    <row r="82" spans="1:11" x14ac:dyDescent="0.25">
      <c r="A82" s="111"/>
      <c r="B82" s="190" t="s">
        <v>298</v>
      </c>
      <c r="C82" s="191">
        <v>20</v>
      </c>
      <c r="D82" s="192">
        <v>44810</v>
      </c>
      <c r="E82" s="191" t="s">
        <v>218</v>
      </c>
      <c r="F82" s="118">
        <v>0.52000000000000024</v>
      </c>
      <c r="G82" s="191" t="s">
        <v>219</v>
      </c>
      <c r="H82" s="191" t="s">
        <v>221</v>
      </c>
      <c r="I82" s="193">
        <v>0.625</v>
      </c>
      <c r="J82" s="193">
        <v>0.875</v>
      </c>
      <c r="K82" s="194">
        <f t="shared" si="12"/>
        <v>3.4583333333333339</v>
      </c>
    </row>
    <row r="83" spans="1:11" x14ac:dyDescent="0.25">
      <c r="A83" s="111"/>
      <c r="B83" s="190" t="s">
        <v>298</v>
      </c>
      <c r="C83" s="191">
        <v>21</v>
      </c>
      <c r="D83" s="192">
        <v>44811</v>
      </c>
      <c r="E83" s="191" t="s">
        <v>218</v>
      </c>
      <c r="F83" s="118">
        <v>0.52000000000000024</v>
      </c>
      <c r="G83" s="191" t="s">
        <v>219</v>
      </c>
      <c r="H83" s="191" t="s">
        <v>221</v>
      </c>
      <c r="I83" s="193">
        <v>0.625</v>
      </c>
      <c r="J83" s="193">
        <v>0.875</v>
      </c>
      <c r="K83" s="194">
        <f t="shared" ref="K83:K84" si="13">(J83-I83)+K82</f>
        <v>3.7083333333333339</v>
      </c>
    </row>
    <row r="84" spans="1:11" x14ac:dyDescent="0.25">
      <c r="A84" s="111"/>
      <c r="B84" s="190" t="s">
        <v>298</v>
      </c>
      <c r="C84" s="191">
        <v>22</v>
      </c>
      <c r="D84" s="192">
        <v>44812</v>
      </c>
      <c r="E84" s="191" t="s">
        <v>218</v>
      </c>
      <c r="F84" s="118">
        <v>0.52000000000000024</v>
      </c>
      <c r="G84" s="191" t="s">
        <v>219</v>
      </c>
      <c r="H84" s="191" t="s">
        <v>221</v>
      </c>
      <c r="I84" s="193">
        <v>0.625</v>
      </c>
      <c r="J84" s="193">
        <v>0.875</v>
      </c>
      <c r="K84" s="194">
        <f t="shared" si="13"/>
        <v>3.9583333333333339</v>
      </c>
    </row>
    <row r="85" spans="1:11" x14ac:dyDescent="0.25">
      <c r="A85" s="111"/>
      <c r="B85" s="190" t="s">
        <v>298</v>
      </c>
      <c r="C85" s="191">
        <v>23</v>
      </c>
      <c r="D85" s="192">
        <v>44840</v>
      </c>
      <c r="E85" s="191" t="s">
        <v>218</v>
      </c>
      <c r="F85" s="118">
        <v>0.42000000000000032</v>
      </c>
      <c r="G85" s="191" t="s">
        <v>219</v>
      </c>
      <c r="H85" s="191" t="s">
        <v>221</v>
      </c>
      <c r="I85" s="193">
        <v>0.625</v>
      </c>
      <c r="J85" s="193">
        <v>0.875</v>
      </c>
      <c r="K85" s="194">
        <f t="shared" ref="K85:K86" si="14">(J85-I85)+K84</f>
        <v>4.2083333333333339</v>
      </c>
    </row>
    <row r="86" spans="1:11" x14ac:dyDescent="0.25">
      <c r="A86" s="111"/>
      <c r="B86" s="190" t="s">
        <v>298</v>
      </c>
      <c r="C86" s="191">
        <v>24</v>
      </c>
      <c r="D86" s="192">
        <v>44853</v>
      </c>
      <c r="E86" s="191" t="s">
        <v>218</v>
      </c>
      <c r="F86" s="118">
        <v>0.42000000000000032</v>
      </c>
      <c r="G86" s="191" t="s">
        <v>219</v>
      </c>
      <c r="H86" s="191" t="s">
        <v>221</v>
      </c>
      <c r="I86" s="193">
        <v>0.625</v>
      </c>
      <c r="J86" s="193">
        <v>0.875</v>
      </c>
      <c r="K86" s="194">
        <f t="shared" si="14"/>
        <v>4.4583333333333339</v>
      </c>
    </row>
    <row r="87" spans="1:11" x14ac:dyDescent="0.25">
      <c r="A87" s="111"/>
      <c r="B87" s="190"/>
      <c r="C87" s="191"/>
      <c r="D87" s="192"/>
      <c r="E87" s="191"/>
      <c r="F87" s="118"/>
      <c r="G87" s="191"/>
      <c r="H87" s="191"/>
      <c r="I87" s="193"/>
      <c r="J87" s="193"/>
      <c r="K87" s="194"/>
    </row>
    <row r="88" spans="1:11" x14ac:dyDescent="0.25">
      <c r="A88" s="111">
        <v>1</v>
      </c>
      <c r="B88" s="190" t="s">
        <v>298</v>
      </c>
      <c r="C88" s="191">
        <v>1</v>
      </c>
      <c r="D88" s="192">
        <v>44713</v>
      </c>
      <c r="E88" s="191" t="s">
        <v>218</v>
      </c>
      <c r="F88" s="118">
        <v>0.01</v>
      </c>
      <c r="G88" s="191" t="s">
        <v>219</v>
      </c>
      <c r="H88" s="191" t="s">
        <v>300</v>
      </c>
      <c r="I88" s="193">
        <v>0.70833333333333337</v>
      </c>
      <c r="J88" s="193">
        <v>0.875</v>
      </c>
      <c r="K88" s="194">
        <f t="shared" ref="K88:K92" si="15">(J88-I88)+K87</f>
        <v>0.16666666666666663</v>
      </c>
    </row>
    <row r="89" spans="1:11" x14ac:dyDescent="0.25">
      <c r="A89" s="111"/>
      <c r="B89" s="190" t="s">
        <v>298</v>
      </c>
      <c r="C89" s="191">
        <v>2</v>
      </c>
      <c r="D89" s="192">
        <v>44714</v>
      </c>
      <c r="E89" s="191" t="s">
        <v>218</v>
      </c>
      <c r="F89" s="118">
        <v>0.01</v>
      </c>
      <c r="G89" s="191" t="s">
        <v>219</v>
      </c>
      <c r="H89" s="191" t="s">
        <v>300</v>
      </c>
      <c r="I89" s="193">
        <v>0.70833333333333337</v>
      </c>
      <c r="J89" s="193">
        <v>0.875</v>
      </c>
      <c r="K89" s="194">
        <f t="shared" si="15"/>
        <v>0.33333333333333326</v>
      </c>
    </row>
    <row r="90" spans="1:11" x14ac:dyDescent="0.25">
      <c r="A90" s="111"/>
      <c r="B90" s="190" t="s">
        <v>298</v>
      </c>
      <c r="C90" s="191">
        <v>3</v>
      </c>
      <c r="D90" s="192">
        <v>44721</v>
      </c>
      <c r="E90" s="191" t="s">
        <v>218</v>
      </c>
      <c r="F90" s="118">
        <v>0.01</v>
      </c>
      <c r="G90" s="191" t="s">
        <v>219</v>
      </c>
      <c r="H90" s="191" t="s">
        <v>300</v>
      </c>
      <c r="I90" s="193">
        <v>0.79166666666666663</v>
      </c>
      <c r="J90" s="193">
        <v>0.83333333333333337</v>
      </c>
      <c r="K90" s="194">
        <f t="shared" si="15"/>
        <v>0.375</v>
      </c>
    </row>
    <row r="91" spans="1:11" x14ac:dyDescent="0.25">
      <c r="A91" s="111"/>
      <c r="B91" s="190" t="s">
        <v>298</v>
      </c>
      <c r="C91" s="191">
        <v>4</v>
      </c>
      <c r="D91" s="192">
        <v>44722</v>
      </c>
      <c r="E91" s="191" t="s">
        <v>218</v>
      </c>
      <c r="F91" s="118">
        <v>0.01</v>
      </c>
      <c r="G91" s="191" t="s">
        <v>219</v>
      </c>
      <c r="H91" s="191" t="s">
        <v>300</v>
      </c>
      <c r="I91" s="193">
        <v>0.79166666666666663</v>
      </c>
      <c r="J91" s="193">
        <v>0.83333333333333337</v>
      </c>
      <c r="K91" s="194">
        <f t="shared" si="15"/>
        <v>0.41666666666666674</v>
      </c>
    </row>
    <row r="92" spans="1:11" x14ac:dyDescent="0.25">
      <c r="A92" s="111"/>
      <c r="B92" s="190" t="s">
        <v>298</v>
      </c>
      <c r="C92" s="191">
        <v>5</v>
      </c>
      <c r="D92" s="192">
        <v>44735</v>
      </c>
      <c r="E92" s="191" t="s">
        <v>218</v>
      </c>
      <c r="F92" s="118">
        <v>0.01</v>
      </c>
      <c r="G92" s="191" t="s">
        <v>219</v>
      </c>
      <c r="H92" s="191" t="s">
        <v>300</v>
      </c>
      <c r="I92" s="193">
        <v>0.79166666666666663</v>
      </c>
      <c r="J92" s="193">
        <v>0.875</v>
      </c>
      <c r="K92" s="194">
        <f t="shared" si="15"/>
        <v>0.50000000000000011</v>
      </c>
    </row>
    <row r="93" spans="1:11" x14ac:dyDescent="0.25">
      <c r="A93" s="111">
        <v>1</v>
      </c>
      <c r="B93" s="190" t="s">
        <v>298</v>
      </c>
      <c r="C93" s="191">
        <v>6</v>
      </c>
      <c r="D93" s="192">
        <v>44753</v>
      </c>
      <c r="E93" s="191" t="s">
        <v>218</v>
      </c>
      <c r="F93" s="118">
        <v>0.02</v>
      </c>
      <c r="G93" s="191" t="s">
        <v>219</v>
      </c>
      <c r="H93" s="191" t="s">
        <v>300</v>
      </c>
      <c r="I93" s="193">
        <v>0.625</v>
      </c>
      <c r="J93" s="193">
        <v>0.875</v>
      </c>
      <c r="K93" s="194">
        <f t="shared" ref="K93:K97" si="16">(J93-I93)+K92</f>
        <v>0.75000000000000011</v>
      </c>
    </row>
    <row r="94" spans="1:11" x14ac:dyDescent="0.25">
      <c r="A94" s="111"/>
      <c r="B94" s="190" t="s">
        <v>298</v>
      </c>
      <c r="C94" s="191">
        <v>7</v>
      </c>
      <c r="D94" s="192">
        <v>44756</v>
      </c>
      <c r="E94" s="191" t="s">
        <v>218</v>
      </c>
      <c r="F94" s="118">
        <v>0.02</v>
      </c>
      <c r="G94" s="191" t="s">
        <v>219</v>
      </c>
      <c r="H94" s="191" t="s">
        <v>300</v>
      </c>
      <c r="I94" s="193">
        <v>0.625</v>
      </c>
      <c r="J94" s="193">
        <v>0.875</v>
      </c>
      <c r="K94" s="194">
        <f t="shared" si="16"/>
        <v>1</v>
      </c>
    </row>
    <row r="95" spans="1:11" x14ac:dyDescent="0.25">
      <c r="A95" s="111"/>
      <c r="B95" s="190" t="s">
        <v>298</v>
      </c>
      <c r="C95" s="191">
        <v>8</v>
      </c>
      <c r="D95" s="192">
        <v>44757</v>
      </c>
      <c r="E95" s="191" t="s">
        <v>218</v>
      </c>
      <c r="F95" s="118">
        <v>0.02</v>
      </c>
      <c r="G95" s="191" t="s">
        <v>219</v>
      </c>
      <c r="H95" s="191" t="s">
        <v>300</v>
      </c>
      <c r="I95" s="193">
        <v>0.625</v>
      </c>
      <c r="J95" s="193">
        <v>0.875</v>
      </c>
      <c r="K95" s="194">
        <f t="shared" si="16"/>
        <v>1.25</v>
      </c>
    </row>
    <row r="96" spans="1:11" x14ac:dyDescent="0.25">
      <c r="A96" s="111"/>
      <c r="B96" s="190" t="s">
        <v>298</v>
      </c>
      <c r="C96" s="191">
        <v>9</v>
      </c>
      <c r="D96" s="192">
        <v>44760</v>
      </c>
      <c r="E96" s="191" t="s">
        <v>218</v>
      </c>
      <c r="F96" s="118">
        <v>0.02</v>
      </c>
      <c r="G96" s="191" t="s">
        <v>219</v>
      </c>
      <c r="H96" s="191" t="s">
        <v>300</v>
      </c>
      <c r="I96" s="193">
        <v>0.625</v>
      </c>
      <c r="J96" s="193">
        <v>0.875</v>
      </c>
      <c r="K96" s="194">
        <f t="shared" si="16"/>
        <v>1.5</v>
      </c>
    </row>
    <row r="97" spans="1:11" x14ac:dyDescent="0.25">
      <c r="A97" s="111"/>
      <c r="B97" s="190" t="s">
        <v>298</v>
      </c>
      <c r="C97" s="191">
        <v>10</v>
      </c>
      <c r="D97" s="192">
        <v>44761</v>
      </c>
      <c r="E97" s="191" t="s">
        <v>218</v>
      </c>
      <c r="F97" s="118">
        <v>0.02</v>
      </c>
      <c r="G97" s="191" t="s">
        <v>219</v>
      </c>
      <c r="H97" s="191" t="s">
        <v>300</v>
      </c>
      <c r="I97" s="193">
        <v>0.625</v>
      </c>
      <c r="J97" s="193">
        <v>0.875</v>
      </c>
      <c r="K97" s="194">
        <f t="shared" si="16"/>
        <v>1.75</v>
      </c>
    </row>
    <row r="98" spans="1:11" x14ac:dyDescent="0.25">
      <c r="A98" s="111"/>
      <c r="B98" s="190" t="s">
        <v>298</v>
      </c>
      <c r="C98" s="191">
        <v>11</v>
      </c>
      <c r="D98" s="192">
        <v>44781</v>
      </c>
      <c r="E98" s="191" t="s">
        <v>218</v>
      </c>
      <c r="F98" s="118">
        <v>2.9999999999999992E-2</v>
      </c>
      <c r="G98" s="191" t="s">
        <v>219</v>
      </c>
      <c r="H98" s="191" t="s">
        <v>300</v>
      </c>
      <c r="I98" s="193">
        <v>0.625</v>
      </c>
      <c r="J98" s="193">
        <v>0.875</v>
      </c>
      <c r="K98" s="194">
        <f t="shared" ref="K98:K102" si="17">(J98-I98)+K97</f>
        <v>2</v>
      </c>
    </row>
    <row r="99" spans="1:11" x14ac:dyDescent="0.25">
      <c r="A99" s="111"/>
      <c r="B99" s="190" t="s">
        <v>298</v>
      </c>
      <c r="C99" s="191">
        <v>12</v>
      </c>
      <c r="D99" s="192">
        <v>44782</v>
      </c>
      <c r="E99" s="191" t="s">
        <v>218</v>
      </c>
      <c r="F99" s="118">
        <v>2.9999999999999992E-2</v>
      </c>
      <c r="G99" s="191" t="s">
        <v>219</v>
      </c>
      <c r="H99" s="191" t="s">
        <v>300</v>
      </c>
      <c r="I99" s="193">
        <v>0.625</v>
      </c>
      <c r="J99" s="193">
        <v>0.875</v>
      </c>
      <c r="K99" s="194">
        <f t="shared" si="17"/>
        <v>2.25</v>
      </c>
    </row>
    <row r="100" spans="1:11" x14ac:dyDescent="0.25">
      <c r="A100" s="111"/>
      <c r="B100" s="190" t="s">
        <v>298</v>
      </c>
      <c r="C100" s="191">
        <v>13</v>
      </c>
      <c r="D100" s="192">
        <v>44804</v>
      </c>
      <c r="E100" s="191" t="s">
        <v>218</v>
      </c>
      <c r="F100" s="118">
        <v>2.9999999999999992E-2</v>
      </c>
      <c r="G100" s="191" t="s">
        <v>219</v>
      </c>
      <c r="H100" s="191" t="s">
        <v>300</v>
      </c>
      <c r="I100" s="193">
        <v>0.625</v>
      </c>
      <c r="J100" s="193">
        <v>0.875</v>
      </c>
      <c r="K100" s="194">
        <f t="shared" si="17"/>
        <v>2.5</v>
      </c>
    </row>
    <row r="101" spans="1:11" x14ac:dyDescent="0.25">
      <c r="A101" s="111"/>
      <c r="B101" s="190" t="s">
        <v>298</v>
      </c>
      <c r="C101" s="191">
        <v>14</v>
      </c>
      <c r="D101" s="192">
        <v>44805</v>
      </c>
      <c r="E101" s="191" t="s">
        <v>218</v>
      </c>
      <c r="F101" s="118">
        <v>2.9999999999999992E-2</v>
      </c>
      <c r="G101" s="191" t="s">
        <v>219</v>
      </c>
      <c r="H101" s="191" t="s">
        <v>300</v>
      </c>
      <c r="I101" s="193">
        <v>0.625</v>
      </c>
      <c r="J101" s="193">
        <v>0.875</v>
      </c>
      <c r="K101" s="194">
        <f t="shared" si="17"/>
        <v>2.75</v>
      </c>
    </row>
    <row r="102" spans="1:11" x14ac:dyDescent="0.25">
      <c r="A102" s="111"/>
      <c r="B102" s="190" t="s">
        <v>298</v>
      </c>
      <c r="C102" s="191">
        <v>15</v>
      </c>
      <c r="D102" s="192">
        <v>44806</v>
      </c>
      <c r="E102" s="191" t="s">
        <v>218</v>
      </c>
      <c r="F102" s="118">
        <v>2.9999999999999992E-2</v>
      </c>
      <c r="G102" s="191" t="s">
        <v>219</v>
      </c>
      <c r="H102" s="191" t="s">
        <v>300</v>
      </c>
      <c r="I102" s="193">
        <v>0.625</v>
      </c>
      <c r="J102" s="193">
        <v>0.875</v>
      </c>
      <c r="K102" s="194">
        <f t="shared" si="17"/>
        <v>3</v>
      </c>
    </row>
    <row r="103" spans="1:11" x14ac:dyDescent="0.25">
      <c r="A103" s="111"/>
      <c r="B103" s="190" t="s">
        <v>298</v>
      </c>
      <c r="C103" s="191">
        <v>16</v>
      </c>
      <c r="D103" s="192">
        <v>44810</v>
      </c>
      <c r="E103" s="191" t="s">
        <v>218</v>
      </c>
      <c r="F103" s="118">
        <v>2.9999999999999992E-2</v>
      </c>
      <c r="G103" s="191" t="s">
        <v>219</v>
      </c>
      <c r="H103" s="191" t="s">
        <v>300</v>
      </c>
      <c r="I103" s="193">
        <v>0.625</v>
      </c>
      <c r="J103" s="193">
        <v>0.875</v>
      </c>
      <c r="K103" s="194">
        <f t="shared" ref="K103:K105" si="18">(J103-I103)+K102</f>
        <v>3.25</v>
      </c>
    </row>
    <row r="104" spans="1:11" x14ac:dyDescent="0.25">
      <c r="A104" s="111"/>
      <c r="B104" s="190" t="s">
        <v>298</v>
      </c>
      <c r="C104" s="191">
        <v>17</v>
      </c>
      <c r="D104" s="192">
        <v>44811</v>
      </c>
      <c r="E104" s="191" t="s">
        <v>218</v>
      </c>
      <c r="F104" s="118">
        <v>2.9999999999999992E-2</v>
      </c>
      <c r="G104" s="191" t="s">
        <v>219</v>
      </c>
      <c r="H104" s="191" t="s">
        <v>300</v>
      </c>
      <c r="I104" s="193">
        <v>0.625</v>
      </c>
      <c r="J104" s="193">
        <v>0.875</v>
      </c>
      <c r="K104" s="194">
        <f t="shared" si="18"/>
        <v>3.5</v>
      </c>
    </row>
    <row r="105" spans="1:11" x14ac:dyDescent="0.25">
      <c r="A105" s="111"/>
      <c r="B105" s="190" t="s">
        <v>298</v>
      </c>
      <c r="C105" s="191">
        <v>18</v>
      </c>
      <c r="D105" s="192">
        <v>44812</v>
      </c>
      <c r="E105" s="191" t="s">
        <v>218</v>
      </c>
      <c r="F105" s="118">
        <v>2.9999999999999992E-2</v>
      </c>
      <c r="G105" s="191" t="s">
        <v>219</v>
      </c>
      <c r="H105" s="191" t="s">
        <v>300</v>
      </c>
      <c r="I105" s="193">
        <v>0.625</v>
      </c>
      <c r="J105" s="193">
        <v>0.875</v>
      </c>
      <c r="K105" s="194">
        <f t="shared" si="18"/>
        <v>3.75</v>
      </c>
    </row>
    <row r="106" spans="1:11" x14ac:dyDescent="0.25">
      <c r="A106" s="111"/>
      <c r="B106" s="190" t="s">
        <v>298</v>
      </c>
      <c r="C106" s="191">
        <v>19</v>
      </c>
      <c r="D106" s="192">
        <v>44853</v>
      </c>
      <c r="E106" s="191" t="s">
        <v>218</v>
      </c>
      <c r="F106" s="118">
        <v>3.0000000000000006E-2</v>
      </c>
      <c r="G106" s="191" t="s">
        <v>219</v>
      </c>
      <c r="H106" s="191" t="s">
        <v>300</v>
      </c>
      <c r="I106" s="193">
        <v>0.625</v>
      </c>
      <c r="J106" s="193">
        <v>0.875</v>
      </c>
      <c r="K106" s="194">
        <f t="shared" ref="K106" si="19">(J106-I106)+K105</f>
        <v>4</v>
      </c>
    </row>
    <row r="107" spans="1:11" x14ac:dyDescent="0.25">
      <c r="A107" s="111"/>
      <c r="B107" s="190"/>
      <c r="C107" s="191"/>
      <c r="D107" s="192"/>
      <c r="E107" s="191"/>
      <c r="F107" s="118"/>
      <c r="G107" s="191"/>
      <c r="H107" s="191"/>
      <c r="I107" s="193"/>
      <c r="J107" s="193"/>
      <c r="K107" s="194"/>
    </row>
    <row r="108" spans="1:11" x14ac:dyDescent="0.25">
      <c r="A108" s="111">
        <v>1</v>
      </c>
      <c r="B108" s="190" t="s">
        <v>298</v>
      </c>
      <c r="C108" s="191">
        <v>1</v>
      </c>
      <c r="D108" s="192">
        <v>44705</v>
      </c>
      <c r="E108" s="191" t="s">
        <v>218</v>
      </c>
      <c r="F108" s="118">
        <v>0.25700000000000001</v>
      </c>
      <c r="G108" s="191" t="s">
        <v>219</v>
      </c>
      <c r="H108" s="191" t="s">
        <v>271</v>
      </c>
      <c r="I108" s="193">
        <v>0.79166666666666663</v>
      </c>
      <c r="J108" s="193">
        <v>0.875</v>
      </c>
      <c r="K108" s="194">
        <f>(J108-I108)+K87</f>
        <v>8.333333333333337E-2</v>
      </c>
    </row>
    <row r="109" spans="1:11" x14ac:dyDescent="0.25">
      <c r="A109" s="111"/>
      <c r="B109" s="190" t="s">
        <v>298</v>
      </c>
      <c r="C109" s="191">
        <v>2</v>
      </c>
      <c r="D109" s="192">
        <v>44706</v>
      </c>
      <c r="E109" s="191" t="s">
        <v>218</v>
      </c>
      <c r="F109" s="118">
        <v>0.25700000000000001</v>
      </c>
      <c r="G109" s="191" t="s">
        <v>219</v>
      </c>
      <c r="H109" s="191" t="s">
        <v>271</v>
      </c>
      <c r="I109" s="193">
        <v>0.79166666666666663</v>
      </c>
      <c r="J109" s="193">
        <v>0.875</v>
      </c>
      <c r="K109" s="194">
        <f t="shared" ref="K109:K116" si="20">(J109-I109)+K108</f>
        <v>0.16666666666666674</v>
      </c>
    </row>
    <row r="110" spans="1:11" x14ac:dyDescent="0.25">
      <c r="A110" s="111"/>
      <c r="B110" s="190" t="s">
        <v>298</v>
      </c>
      <c r="C110" s="191">
        <v>3</v>
      </c>
      <c r="D110" s="192">
        <v>44707</v>
      </c>
      <c r="E110" s="191" t="s">
        <v>218</v>
      </c>
      <c r="F110" s="118">
        <v>0.25700000000000001</v>
      </c>
      <c r="G110" s="191" t="s">
        <v>219</v>
      </c>
      <c r="H110" s="191" t="s">
        <v>271</v>
      </c>
      <c r="I110" s="193">
        <v>0.79166666666666663</v>
      </c>
      <c r="J110" s="193">
        <v>0.875</v>
      </c>
      <c r="K110" s="194">
        <f t="shared" si="20"/>
        <v>0.25000000000000011</v>
      </c>
    </row>
    <row r="111" spans="1:11" x14ac:dyDescent="0.25">
      <c r="A111" s="111"/>
      <c r="B111" s="190" t="s">
        <v>298</v>
      </c>
      <c r="C111" s="191">
        <v>4</v>
      </c>
      <c r="D111" s="192">
        <v>44712</v>
      </c>
      <c r="E111" s="191" t="s">
        <v>218</v>
      </c>
      <c r="F111" s="118">
        <v>0.25700000000000001</v>
      </c>
      <c r="G111" s="191" t="s">
        <v>219</v>
      </c>
      <c r="H111" s="191" t="s">
        <v>271</v>
      </c>
      <c r="I111" s="193">
        <v>0.75</v>
      </c>
      <c r="J111" s="193">
        <v>0.875</v>
      </c>
      <c r="K111" s="194">
        <f t="shared" si="20"/>
        <v>0.37500000000000011</v>
      </c>
    </row>
    <row r="112" spans="1:11" x14ac:dyDescent="0.25">
      <c r="A112" s="111">
        <v>1</v>
      </c>
      <c r="B112" s="190" t="s">
        <v>298</v>
      </c>
      <c r="C112" s="191">
        <v>5</v>
      </c>
      <c r="D112" s="192">
        <v>44713</v>
      </c>
      <c r="E112" s="191" t="s">
        <v>218</v>
      </c>
      <c r="F112" s="118">
        <v>0.26900000000000002</v>
      </c>
      <c r="G112" s="191" t="s">
        <v>219</v>
      </c>
      <c r="H112" s="191" t="s">
        <v>271</v>
      </c>
      <c r="I112" s="193">
        <v>0.70833333333333337</v>
      </c>
      <c r="J112" s="193">
        <v>0.875</v>
      </c>
      <c r="K112" s="194">
        <f t="shared" si="20"/>
        <v>0.54166666666666674</v>
      </c>
    </row>
    <row r="113" spans="1:11" x14ac:dyDescent="0.25">
      <c r="A113" s="111"/>
      <c r="B113" s="190" t="s">
        <v>298</v>
      </c>
      <c r="C113" s="191">
        <v>6</v>
      </c>
      <c r="D113" s="192">
        <v>44714</v>
      </c>
      <c r="E113" s="191" t="s">
        <v>218</v>
      </c>
      <c r="F113" s="118">
        <v>0.26900000000000002</v>
      </c>
      <c r="G113" s="191" t="s">
        <v>219</v>
      </c>
      <c r="H113" s="191" t="s">
        <v>271</v>
      </c>
      <c r="I113" s="193">
        <v>0.70833333333333337</v>
      </c>
      <c r="J113" s="193">
        <v>0.875</v>
      </c>
      <c r="K113" s="194">
        <f t="shared" si="20"/>
        <v>0.70833333333333337</v>
      </c>
    </row>
    <row r="114" spans="1:11" x14ac:dyDescent="0.25">
      <c r="A114" s="111"/>
      <c r="B114" s="190" t="s">
        <v>298</v>
      </c>
      <c r="C114" s="191">
        <v>7</v>
      </c>
      <c r="D114" s="192">
        <v>44721</v>
      </c>
      <c r="E114" s="191" t="s">
        <v>218</v>
      </c>
      <c r="F114" s="118">
        <v>0.26900000000000002</v>
      </c>
      <c r="G114" s="191" t="s">
        <v>219</v>
      </c>
      <c r="H114" s="191" t="s">
        <v>271</v>
      </c>
      <c r="I114" s="193">
        <v>0.79166666666666663</v>
      </c>
      <c r="J114" s="193">
        <v>0.83333333333333337</v>
      </c>
      <c r="K114" s="194">
        <f t="shared" si="20"/>
        <v>0.75000000000000011</v>
      </c>
    </row>
    <row r="115" spans="1:11" x14ac:dyDescent="0.25">
      <c r="A115" s="111"/>
      <c r="B115" s="190" t="s">
        <v>298</v>
      </c>
      <c r="C115" s="191">
        <v>8</v>
      </c>
      <c r="D115" s="192">
        <v>44722</v>
      </c>
      <c r="E115" s="191" t="s">
        <v>218</v>
      </c>
      <c r="F115" s="118">
        <v>0.26900000000000002</v>
      </c>
      <c r="G115" s="191" t="s">
        <v>219</v>
      </c>
      <c r="H115" s="191" t="s">
        <v>271</v>
      </c>
      <c r="I115" s="193">
        <v>0.79166666666666663</v>
      </c>
      <c r="J115" s="193">
        <v>0.83333333333333337</v>
      </c>
      <c r="K115" s="194">
        <f t="shared" si="20"/>
        <v>0.79166666666666685</v>
      </c>
    </row>
    <row r="116" spans="1:11" x14ac:dyDescent="0.25">
      <c r="A116" s="111"/>
      <c r="B116" s="190" t="s">
        <v>298</v>
      </c>
      <c r="C116" s="191">
        <v>9</v>
      </c>
      <c r="D116" s="192">
        <v>44735</v>
      </c>
      <c r="E116" s="191" t="s">
        <v>218</v>
      </c>
      <c r="F116" s="118">
        <v>0.26900000000000002</v>
      </c>
      <c r="G116" s="191" t="s">
        <v>219</v>
      </c>
      <c r="H116" s="191" t="s">
        <v>271</v>
      </c>
      <c r="I116" s="193">
        <v>0.79166666666666663</v>
      </c>
      <c r="J116" s="193">
        <v>0.875</v>
      </c>
      <c r="K116" s="194">
        <f t="shared" si="20"/>
        <v>0.87500000000000022</v>
      </c>
    </row>
    <row r="117" spans="1:11" x14ac:dyDescent="0.25">
      <c r="A117" s="111">
        <v>1</v>
      </c>
      <c r="B117" s="190" t="s">
        <v>298</v>
      </c>
      <c r="C117" s="191">
        <v>10</v>
      </c>
      <c r="D117" s="192">
        <v>44774</v>
      </c>
      <c r="E117" s="191" t="s">
        <v>218</v>
      </c>
      <c r="F117" s="118">
        <v>7.9999999999999988E-2</v>
      </c>
      <c r="G117" s="191" t="s">
        <v>219</v>
      </c>
      <c r="H117" s="191" t="s">
        <v>271</v>
      </c>
      <c r="I117" s="193">
        <v>0.79166666666666663</v>
      </c>
      <c r="J117" s="193">
        <v>0.83333333333333337</v>
      </c>
      <c r="K117" s="194">
        <f t="shared" ref="K117:K121" si="21">(J117-I117)+K116</f>
        <v>0.91666666666666696</v>
      </c>
    </row>
    <row r="118" spans="1:11" x14ac:dyDescent="0.25">
      <c r="A118" s="111"/>
      <c r="B118" s="190" t="s">
        <v>298</v>
      </c>
      <c r="C118" s="191">
        <v>11</v>
      </c>
      <c r="D118" s="192">
        <v>44776</v>
      </c>
      <c r="E118" s="191" t="s">
        <v>218</v>
      </c>
      <c r="F118" s="118">
        <v>7.9999999999999988E-2</v>
      </c>
      <c r="G118" s="191" t="s">
        <v>219</v>
      </c>
      <c r="H118" s="191" t="s">
        <v>271</v>
      </c>
      <c r="I118" s="193">
        <v>0.79166666666666663</v>
      </c>
      <c r="J118" s="193">
        <v>0.83333333333333337</v>
      </c>
      <c r="K118" s="194">
        <f t="shared" si="21"/>
        <v>0.9583333333333337</v>
      </c>
    </row>
    <row r="119" spans="1:11" x14ac:dyDescent="0.25">
      <c r="A119" s="111"/>
      <c r="B119" s="190" t="s">
        <v>298</v>
      </c>
      <c r="C119" s="191">
        <v>12</v>
      </c>
      <c r="D119" s="192">
        <v>44777</v>
      </c>
      <c r="E119" s="191" t="s">
        <v>218</v>
      </c>
      <c r="F119" s="118">
        <v>7.9999999999999988E-2</v>
      </c>
      <c r="G119" s="191" t="s">
        <v>219</v>
      </c>
      <c r="H119" s="191" t="s">
        <v>271</v>
      </c>
      <c r="I119" s="193">
        <v>0.75</v>
      </c>
      <c r="J119" s="193">
        <v>0.83333333333333337</v>
      </c>
      <c r="K119" s="194">
        <f t="shared" si="21"/>
        <v>1.041666666666667</v>
      </c>
    </row>
    <row r="120" spans="1:11" x14ac:dyDescent="0.25">
      <c r="A120" s="111"/>
      <c r="B120" s="190" t="s">
        <v>298</v>
      </c>
      <c r="C120" s="191">
        <v>13</v>
      </c>
      <c r="D120" s="192">
        <v>44778</v>
      </c>
      <c r="E120" s="191" t="s">
        <v>218</v>
      </c>
      <c r="F120" s="118">
        <v>7.9999999999999988E-2</v>
      </c>
      <c r="G120" s="191" t="s">
        <v>219</v>
      </c>
      <c r="H120" s="191" t="s">
        <v>271</v>
      </c>
      <c r="I120" s="193">
        <v>0.75</v>
      </c>
      <c r="J120" s="193">
        <v>0.83333333333333337</v>
      </c>
      <c r="K120" s="194">
        <f t="shared" si="21"/>
        <v>1.1250000000000004</v>
      </c>
    </row>
    <row r="121" spans="1:11" x14ac:dyDescent="0.25">
      <c r="A121" s="111"/>
      <c r="B121" s="190" t="s">
        <v>298</v>
      </c>
      <c r="C121" s="191">
        <v>14</v>
      </c>
      <c r="D121" s="192">
        <v>44781</v>
      </c>
      <c r="E121" s="191" t="s">
        <v>218</v>
      </c>
      <c r="F121" s="118">
        <v>7.9999999999999988E-2</v>
      </c>
      <c r="G121" s="191" t="s">
        <v>219</v>
      </c>
      <c r="H121" s="191" t="s">
        <v>271</v>
      </c>
      <c r="I121" s="193">
        <v>0.70833333333333337</v>
      </c>
      <c r="J121" s="193">
        <v>0.875</v>
      </c>
      <c r="K121" s="194">
        <f t="shared" si="21"/>
        <v>1.291666666666667</v>
      </c>
    </row>
    <row r="122" spans="1:11" x14ac:dyDescent="0.25">
      <c r="A122" s="111">
        <v>1</v>
      </c>
      <c r="B122" s="190" t="s">
        <v>298</v>
      </c>
      <c r="C122" s="191">
        <v>15</v>
      </c>
      <c r="D122" s="192">
        <v>44805</v>
      </c>
      <c r="E122" s="191" t="s">
        <v>218</v>
      </c>
      <c r="F122" s="118">
        <v>7.9999999999999988E-2</v>
      </c>
      <c r="G122" s="191" t="s">
        <v>219</v>
      </c>
      <c r="H122" s="191" t="s">
        <v>271</v>
      </c>
      <c r="I122" s="193">
        <v>0.625</v>
      </c>
      <c r="J122" s="193">
        <v>0.875</v>
      </c>
      <c r="K122" s="194">
        <f t="shared" ref="K122:K126" si="22">(J122-I122)+K121</f>
        <v>1.541666666666667</v>
      </c>
    </row>
    <row r="123" spans="1:11" x14ac:dyDescent="0.25">
      <c r="A123" s="111"/>
      <c r="B123" s="190" t="s">
        <v>298</v>
      </c>
      <c r="C123" s="191">
        <v>16</v>
      </c>
      <c r="D123" s="192">
        <v>44806</v>
      </c>
      <c r="E123" s="191" t="s">
        <v>218</v>
      </c>
      <c r="F123" s="118">
        <v>7.9999999999999988E-2</v>
      </c>
      <c r="G123" s="191" t="s">
        <v>219</v>
      </c>
      <c r="H123" s="191" t="s">
        <v>271</v>
      </c>
      <c r="I123" s="193">
        <v>0.625</v>
      </c>
      <c r="J123" s="193">
        <v>0.875</v>
      </c>
      <c r="K123" s="194">
        <f t="shared" si="22"/>
        <v>1.791666666666667</v>
      </c>
    </row>
    <row r="124" spans="1:11" x14ac:dyDescent="0.25">
      <c r="A124" s="111"/>
      <c r="B124" s="190" t="s">
        <v>298</v>
      </c>
      <c r="C124" s="191">
        <v>17</v>
      </c>
      <c r="D124" s="192">
        <v>44810</v>
      </c>
      <c r="E124" s="191" t="s">
        <v>218</v>
      </c>
      <c r="F124" s="118">
        <v>7.9999999999999988E-2</v>
      </c>
      <c r="G124" s="191" t="s">
        <v>219</v>
      </c>
      <c r="H124" s="191" t="s">
        <v>271</v>
      </c>
      <c r="I124" s="193">
        <v>0.625</v>
      </c>
      <c r="J124" s="193">
        <v>0.875</v>
      </c>
      <c r="K124" s="194">
        <f t="shared" si="22"/>
        <v>2.041666666666667</v>
      </c>
    </row>
    <row r="125" spans="1:11" x14ac:dyDescent="0.25">
      <c r="A125" s="111"/>
      <c r="B125" s="190" t="s">
        <v>298</v>
      </c>
      <c r="C125" s="191">
        <v>18</v>
      </c>
      <c r="D125" s="192">
        <v>44811</v>
      </c>
      <c r="E125" s="191" t="s">
        <v>218</v>
      </c>
      <c r="F125" s="118">
        <v>7.9999999999999988E-2</v>
      </c>
      <c r="G125" s="191" t="s">
        <v>219</v>
      </c>
      <c r="H125" s="191" t="s">
        <v>271</v>
      </c>
      <c r="I125" s="193">
        <v>0.625</v>
      </c>
      <c r="J125" s="193">
        <v>0.875</v>
      </c>
      <c r="K125" s="194">
        <f t="shared" si="22"/>
        <v>2.291666666666667</v>
      </c>
    </row>
    <row r="126" spans="1:11" x14ac:dyDescent="0.25">
      <c r="A126" s="111"/>
      <c r="B126" s="190" t="s">
        <v>298</v>
      </c>
      <c r="C126" s="191">
        <v>19</v>
      </c>
      <c r="D126" s="192">
        <v>44812</v>
      </c>
      <c r="E126" s="191" t="s">
        <v>218</v>
      </c>
      <c r="F126" s="118">
        <v>7.9999999999999988E-2</v>
      </c>
      <c r="G126" s="191" t="s">
        <v>219</v>
      </c>
      <c r="H126" s="191" t="s">
        <v>271</v>
      </c>
      <c r="I126" s="193">
        <v>0.625</v>
      </c>
      <c r="J126" s="193">
        <v>0.875</v>
      </c>
      <c r="K126" s="194">
        <f t="shared" si="22"/>
        <v>2.541666666666667</v>
      </c>
    </row>
    <row r="127" spans="1:11" x14ac:dyDescent="0.25">
      <c r="A127" s="111"/>
      <c r="B127" s="190" t="s">
        <v>298</v>
      </c>
      <c r="C127" s="191">
        <v>20</v>
      </c>
      <c r="D127" s="192">
        <v>44853</v>
      </c>
      <c r="E127" s="191" t="s">
        <v>218</v>
      </c>
      <c r="F127" s="118">
        <v>8.0000000000000043E-2</v>
      </c>
      <c r="G127" s="191" t="s">
        <v>219</v>
      </c>
      <c r="H127" s="191" t="s">
        <v>271</v>
      </c>
      <c r="I127" s="193">
        <v>0.625</v>
      </c>
      <c r="J127" s="193">
        <v>0.875</v>
      </c>
      <c r="K127" s="194">
        <f t="shared" ref="K127:K128" si="23">(J127-I127)+K126</f>
        <v>2.791666666666667</v>
      </c>
    </row>
    <row r="128" spans="1:11" x14ac:dyDescent="0.25">
      <c r="A128" s="111"/>
      <c r="B128" s="190" t="s">
        <v>298</v>
      </c>
      <c r="C128" s="191">
        <v>21</v>
      </c>
      <c r="D128" s="192">
        <v>44854</v>
      </c>
      <c r="E128" s="191" t="s">
        <v>218</v>
      </c>
      <c r="F128" s="118">
        <v>8.0000000000000043E-2</v>
      </c>
      <c r="G128" s="191" t="s">
        <v>219</v>
      </c>
      <c r="H128" s="191" t="s">
        <v>271</v>
      </c>
      <c r="I128" s="193">
        <v>0.66666666666666663</v>
      </c>
      <c r="J128" s="193">
        <v>0.875</v>
      </c>
      <c r="K128" s="194">
        <f t="shared" si="23"/>
        <v>3.0000000000000004</v>
      </c>
    </row>
    <row r="129" spans="1:11" x14ac:dyDescent="0.25">
      <c r="A129" s="111"/>
      <c r="B129" s="190"/>
      <c r="C129" s="191"/>
      <c r="D129" s="192"/>
      <c r="E129" s="191"/>
      <c r="F129" s="118"/>
      <c r="G129" s="191"/>
      <c r="H129" s="191"/>
      <c r="I129" s="193"/>
      <c r="J129" s="193"/>
      <c r="K129" s="194"/>
    </row>
    <row r="130" spans="1:11" x14ac:dyDescent="0.25">
      <c r="A130" s="111">
        <v>1</v>
      </c>
      <c r="B130" s="113" t="s">
        <v>217</v>
      </c>
      <c r="C130" s="114">
        <v>1</v>
      </c>
      <c r="D130" s="156">
        <v>44564</v>
      </c>
      <c r="E130" s="114" t="s">
        <v>218</v>
      </c>
      <c r="F130" s="289"/>
      <c r="G130" s="114" t="s">
        <v>219</v>
      </c>
      <c r="H130" s="114" t="s">
        <v>220</v>
      </c>
      <c r="I130" s="115">
        <v>0.66666666666666663</v>
      </c>
      <c r="J130" s="115">
        <v>0.875</v>
      </c>
      <c r="K130" s="116">
        <f>J130-I130</f>
        <v>0.20833333333333337</v>
      </c>
    </row>
    <row r="131" spans="1:11" x14ac:dyDescent="0.25">
      <c r="A131" s="111"/>
      <c r="B131" s="113" t="s">
        <v>217</v>
      </c>
      <c r="C131" s="114">
        <v>2</v>
      </c>
      <c r="D131" s="156">
        <v>44566</v>
      </c>
      <c r="E131" s="114" t="s">
        <v>218</v>
      </c>
      <c r="F131" s="289"/>
      <c r="G131" s="114" t="s">
        <v>219</v>
      </c>
      <c r="H131" s="114" t="s">
        <v>220</v>
      </c>
      <c r="I131" s="115">
        <v>0.66666666666666663</v>
      </c>
      <c r="J131" s="115">
        <v>0.875</v>
      </c>
      <c r="K131" s="116">
        <f t="shared" ref="K131:K138" si="24">(J131-I131)+K130</f>
        <v>0.41666666666666674</v>
      </c>
    </row>
    <row r="132" spans="1:11" x14ac:dyDescent="0.25">
      <c r="A132" s="111"/>
      <c r="B132" s="113" t="s">
        <v>217</v>
      </c>
      <c r="C132" s="114">
        <v>3</v>
      </c>
      <c r="D132" s="156">
        <v>44592</v>
      </c>
      <c r="E132" s="114" t="s">
        <v>218</v>
      </c>
      <c r="F132" s="289"/>
      <c r="G132" s="114" t="s">
        <v>219</v>
      </c>
      <c r="H132" s="114" t="s">
        <v>220</v>
      </c>
      <c r="I132" s="115">
        <v>0.70833333333333337</v>
      </c>
      <c r="J132" s="115">
        <v>0.75</v>
      </c>
      <c r="K132" s="116">
        <f t="shared" si="24"/>
        <v>0.45833333333333337</v>
      </c>
    </row>
    <row r="133" spans="1:11" x14ac:dyDescent="0.25">
      <c r="A133" s="111"/>
      <c r="B133" s="190" t="s">
        <v>217</v>
      </c>
      <c r="C133" s="191">
        <v>4</v>
      </c>
      <c r="D133" s="192">
        <v>44642</v>
      </c>
      <c r="E133" s="191" t="s">
        <v>218</v>
      </c>
      <c r="F133" s="289"/>
      <c r="G133" s="191" t="s">
        <v>219</v>
      </c>
      <c r="H133" s="191" t="s">
        <v>220</v>
      </c>
      <c r="I133" s="193">
        <v>0.75</v>
      </c>
      <c r="J133" s="193">
        <v>0.875</v>
      </c>
      <c r="K133" s="194">
        <f t="shared" si="24"/>
        <v>0.58333333333333337</v>
      </c>
    </row>
    <row r="134" spans="1:11" x14ac:dyDescent="0.25">
      <c r="A134" s="111"/>
      <c r="B134" s="190" t="s">
        <v>217</v>
      </c>
      <c r="C134" s="191">
        <v>5</v>
      </c>
      <c r="D134" s="192">
        <v>44645</v>
      </c>
      <c r="E134" s="191" t="s">
        <v>218</v>
      </c>
      <c r="F134" s="289"/>
      <c r="G134" s="191" t="s">
        <v>219</v>
      </c>
      <c r="H134" s="191" t="s">
        <v>220</v>
      </c>
      <c r="I134" s="193">
        <v>0.75</v>
      </c>
      <c r="J134" s="193">
        <v>0.875</v>
      </c>
      <c r="K134" s="194">
        <f t="shared" si="24"/>
        <v>0.70833333333333337</v>
      </c>
    </row>
    <row r="135" spans="1:11" x14ac:dyDescent="0.25">
      <c r="A135" s="111"/>
      <c r="B135" s="190" t="s">
        <v>217</v>
      </c>
      <c r="C135" s="191">
        <v>6</v>
      </c>
      <c r="D135" s="192">
        <v>44683</v>
      </c>
      <c r="E135" s="191" t="s">
        <v>218</v>
      </c>
      <c r="F135" s="118">
        <v>0.65250000000000019</v>
      </c>
      <c r="G135" s="191" t="s">
        <v>219</v>
      </c>
      <c r="H135" s="191" t="s">
        <v>220</v>
      </c>
      <c r="I135" s="193">
        <v>0.75</v>
      </c>
      <c r="J135" s="193">
        <v>0.875</v>
      </c>
      <c r="K135" s="194">
        <f t="shared" si="24"/>
        <v>0.83333333333333337</v>
      </c>
    </row>
    <row r="136" spans="1:11" x14ac:dyDescent="0.25">
      <c r="A136" s="111"/>
      <c r="B136" s="190" t="s">
        <v>217</v>
      </c>
      <c r="C136" s="191">
        <v>7</v>
      </c>
      <c r="D136" s="192">
        <v>44684</v>
      </c>
      <c r="E136" s="191" t="s">
        <v>218</v>
      </c>
      <c r="F136" s="118">
        <v>0.65250000000000019</v>
      </c>
      <c r="G136" s="191" t="s">
        <v>219</v>
      </c>
      <c r="H136" s="191" t="s">
        <v>220</v>
      </c>
      <c r="I136" s="193">
        <v>0.75</v>
      </c>
      <c r="J136" s="193">
        <v>0.875</v>
      </c>
      <c r="K136" s="194">
        <f t="shared" si="24"/>
        <v>0.95833333333333337</v>
      </c>
    </row>
    <row r="137" spans="1:11" x14ac:dyDescent="0.25">
      <c r="A137" s="111"/>
      <c r="B137" s="190" t="s">
        <v>217</v>
      </c>
      <c r="C137" s="191">
        <v>8</v>
      </c>
      <c r="D137" s="192">
        <v>44685</v>
      </c>
      <c r="E137" s="191" t="s">
        <v>218</v>
      </c>
      <c r="F137" s="118">
        <v>0.65250000000000019</v>
      </c>
      <c r="G137" s="191" t="s">
        <v>219</v>
      </c>
      <c r="H137" s="191" t="s">
        <v>220</v>
      </c>
      <c r="I137" s="193">
        <v>0.75</v>
      </c>
      <c r="J137" s="193">
        <v>0.875</v>
      </c>
      <c r="K137" s="194">
        <f t="shared" si="24"/>
        <v>1.0833333333333335</v>
      </c>
    </row>
    <row r="138" spans="1:11" x14ac:dyDescent="0.25">
      <c r="A138" s="111"/>
      <c r="B138" s="190" t="s">
        <v>217</v>
      </c>
      <c r="C138" s="191">
        <v>9</v>
      </c>
      <c r="D138" s="192">
        <v>44686</v>
      </c>
      <c r="E138" s="191" t="s">
        <v>218</v>
      </c>
      <c r="F138" s="118">
        <v>0.65250000000000019</v>
      </c>
      <c r="G138" s="191" t="s">
        <v>219</v>
      </c>
      <c r="H138" s="191" t="s">
        <v>220</v>
      </c>
      <c r="I138" s="193">
        <v>0.75</v>
      </c>
      <c r="J138" s="193">
        <v>0.875</v>
      </c>
      <c r="K138" s="194">
        <f t="shared" si="24"/>
        <v>1.2083333333333335</v>
      </c>
    </row>
    <row r="139" spans="1:11" s="67" customFormat="1" x14ac:dyDescent="0.25">
      <c r="A139" s="202"/>
      <c r="B139" s="190" t="s">
        <v>217</v>
      </c>
      <c r="C139" s="191">
        <v>10</v>
      </c>
      <c r="D139" s="192">
        <v>44720</v>
      </c>
      <c r="E139" s="191" t="s">
        <v>218</v>
      </c>
      <c r="F139" s="118">
        <v>1.1402608695652168</v>
      </c>
      <c r="G139" s="191" t="s">
        <v>219</v>
      </c>
      <c r="H139" s="191" t="s">
        <v>220</v>
      </c>
      <c r="I139" s="193">
        <v>0.625</v>
      </c>
      <c r="J139" s="193">
        <v>0.875</v>
      </c>
      <c r="K139" s="194">
        <f t="shared" ref="K139:K143" si="25">(J139-I139)+K138</f>
        <v>1.4583333333333335</v>
      </c>
    </row>
    <row r="140" spans="1:11" s="67" customFormat="1" x14ac:dyDescent="0.25">
      <c r="A140" s="202"/>
      <c r="B140" s="190" t="s">
        <v>217</v>
      </c>
      <c r="C140" s="191">
        <v>11</v>
      </c>
      <c r="D140" s="192">
        <v>44721</v>
      </c>
      <c r="E140" s="191" t="s">
        <v>218</v>
      </c>
      <c r="F140" s="118">
        <v>1.1402608695652168</v>
      </c>
      <c r="G140" s="191" t="s">
        <v>219</v>
      </c>
      <c r="H140" s="191" t="s">
        <v>220</v>
      </c>
      <c r="I140" s="193">
        <v>0.625</v>
      </c>
      <c r="J140" s="193">
        <v>0.875</v>
      </c>
      <c r="K140" s="194">
        <f t="shared" si="25"/>
        <v>1.7083333333333335</v>
      </c>
    </row>
    <row r="141" spans="1:11" s="67" customFormat="1" x14ac:dyDescent="0.25">
      <c r="A141" s="202"/>
      <c r="B141" s="190" t="s">
        <v>217</v>
      </c>
      <c r="C141" s="191">
        <v>12</v>
      </c>
      <c r="D141" s="192">
        <v>44722</v>
      </c>
      <c r="E141" s="191" t="s">
        <v>218</v>
      </c>
      <c r="F141" s="118">
        <v>1.1402608695652168</v>
      </c>
      <c r="G141" s="191" t="s">
        <v>219</v>
      </c>
      <c r="H141" s="191" t="s">
        <v>220</v>
      </c>
      <c r="I141" s="193">
        <v>0.625</v>
      </c>
      <c r="J141" s="193">
        <v>0.875</v>
      </c>
      <c r="K141" s="194">
        <f t="shared" si="25"/>
        <v>1.9583333333333335</v>
      </c>
    </row>
    <row r="142" spans="1:11" s="67" customFormat="1" x14ac:dyDescent="0.25">
      <c r="A142" s="202"/>
      <c r="B142" s="190" t="s">
        <v>217</v>
      </c>
      <c r="C142" s="191">
        <v>13</v>
      </c>
      <c r="D142" s="192">
        <v>44735</v>
      </c>
      <c r="E142" s="191" t="s">
        <v>218</v>
      </c>
      <c r="F142" s="118">
        <v>1.1402608695652168</v>
      </c>
      <c r="G142" s="191" t="s">
        <v>219</v>
      </c>
      <c r="H142" s="191" t="s">
        <v>220</v>
      </c>
      <c r="I142" s="193">
        <v>0.66666666666666663</v>
      </c>
      <c r="J142" s="193">
        <v>0.875</v>
      </c>
      <c r="K142" s="194">
        <f t="shared" si="25"/>
        <v>2.166666666666667</v>
      </c>
    </row>
    <row r="143" spans="1:11" s="67" customFormat="1" x14ac:dyDescent="0.25">
      <c r="A143" s="202"/>
      <c r="B143" s="190" t="s">
        <v>217</v>
      </c>
      <c r="C143" s="191">
        <v>14</v>
      </c>
      <c r="D143" s="192">
        <v>44739</v>
      </c>
      <c r="E143" s="191" t="s">
        <v>218</v>
      </c>
      <c r="F143" s="118">
        <v>1.1402608695652168</v>
      </c>
      <c r="G143" s="191" t="s">
        <v>219</v>
      </c>
      <c r="H143" s="191" t="s">
        <v>220</v>
      </c>
      <c r="I143" s="193">
        <v>0.625</v>
      </c>
      <c r="J143" s="193">
        <v>0.875</v>
      </c>
      <c r="K143" s="194">
        <f t="shared" si="25"/>
        <v>2.416666666666667</v>
      </c>
    </row>
    <row r="144" spans="1:11" s="67" customFormat="1" x14ac:dyDescent="0.25">
      <c r="A144" s="202"/>
      <c r="B144" s="190" t="s">
        <v>217</v>
      </c>
      <c r="C144" s="191">
        <v>15</v>
      </c>
      <c r="D144" s="192">
        <v>44753</v>
      </c>
      <c r="E144" s="191" t="s">
        <v>218</v>
      </c>
      <c r="F144" s="118">
        <v>1.1352608695652171</v>
      </c>
      <c r="G144" s="191" t="s">
        <v>219</v>
      </c>
      <c r="H144" s="191" t="s">
        <v>220</v>
      </c>
      <c r="I144" s="193">
        <v>0.625</v>
      </c>
      <c r="J144" s="193">
        <v>0.875</v>
      </c>
      <c r="K144" s="194">
        <f t="shared" ref="K144:K153" si="26">(J144-I144)+K143</f>
        <v>2.666666666666667</v>
      </c>
    </row>
    <row r="145" spans="1:11" s="67" customFormat="1" x14ac:dyDescent="0.25">
      <c r="A145" s="202"/>
      <c r="B145" s="190" t="s">
        <v>217</v>
      </c>
      <c r="C145" s="191">
        <v>16</v>
      </c>
      <c r="D145" s="192">
        <v>44756</v>
      </c>
      <c r="E145" s="191" t="s">
        <v>218</v>
      </c>
      <c r="F145" s="118">
        <v>1.1352608695652171</v>
      </c>
      <c r="G145" s="191" t="s">
        <v>219</v>
      </c>
      <c r="H145" s="191" t="s">
        <v>220</v>
      </c>
      <c r="I145" s="193">
        <v>0.625</v>
      </c>
      <c r="J145" s="193">
        <v>0.875</v>
      </c>
      <c r="K145" s="194">
        <f t="shared" si="26"/>
        <v>2.916666666666667</v>
      </c>
    </row>
    <row r="146" spans="1:11" s="67" customFormat="1" x14ac:dyDescent="0.25">
      <c r="A146" s="202"/>
      <c r="B146" s="190" t="s">
        <v>217</v>
      </c>
      <c r="C146" s="191">
        <v>17</v>
      </c>
      <c r="D146" s="192">
        <v>44757</v>
      </c>
      <c r="E146" s="191" t="s">
        <v>218</v>
      </c>
      <c r="F146" s="118">
        <v>1.1352608695652171</v>
      </c>
      <c r="G146" s="191" t="s">
        <v>219</v>
      </c>
      <c r="H146" s="191" t="s">
        <v>220</v>
      </c>
      <c r="I146" s="193">
        <v>0.625</v>
      </c>
      <c r="J146" s="193">
        <v>0.875</v>
      </c>
      <c r="K146" s="194">
        <f t="shared" si="26"/>
        <v>3.166666666666667</v>
      </c>
    </row>
    <row r="147" spans="1:11" s="67" customFormat="1" x14ac:dyDescent="0.25">
      <c r="A147" s="202"/>
      <c r="B147" s="190" t="s">
        <v>217</v>
      </c>
      <c r="C147" s="191">
        <v>18</v>
      </c>
      <c r="D147" s="192">
        <v>44760</v>
      </c>
      <c r="E147" s="191" t="s">
        <v>218</v>
      </c>
      <c r="F147" s="118">
        <v>1.1352608695652171</v>
      </c>
      <c r="G147" s="191" t="s">
        <v>219</v>
      </c>
      <c r="H147" s="191" t="s">
        <v>220</v>
      </c>
      <c r="I147" s="193">
        <v>0.625</v>
      </c>
      <c r="J147" s="193">
        <v>0.875</v>
      </c>
      <c r="K147" s="194">
        <f t="shared" si="26"/>
        <v>3.416666666666667</v>
      </c>
    </row>
    <row r="148" spans="1:11" s="67" customFormat="1" x14ac:dyDescent="0.25">
      <c r="A148" s="202"/>
      <c r="B148" s="190" t="s">
        <v>217</v>
      </c>
      <c r="C148" s="191">
        <v>19</v>
      </c>
      <c r="D148" s="192">
        <v>44761</v>
      </c>
      <c r="E148" s="191" t="s">
        <v>218</v>
      </c>
      <c r="F148" s="118">
        <v>1.1352608695652171</v>
      </c>
      <c r="G148" s="191" t="s">
        <v>219</v>
      </c>
      <c r="H148" s="191" t="s">
        <v>220</v>
      </c>
      <c r="I148" s="193">
        <v>0.625</v>
      </c>
      <c r="J148" s="193">
        <v>0.875</v>
      </c>
      <c r="K148" s="194">
        <f t="shared" si="26"/>
        <v>3.666666666666667</v>
      </c>
    </row>
    <row r="149" spans="1:11" s="67" customFormat="1" x14ac:dyDescent="0.25">
      <c r="A149" s="202">
        <v>1</v>
      </c>
      <c r="B149" s="190" t="s">
        <v>217</v>
      </c>
      <c r="C149" s="191">
        <v>20</v>
      </c>
      <c r="D149" s="192">
        <v>44777</v>
      </c>
      <c r="E149" s="191" t="s">
        <v>218</v>
      </c>
      <c r="F149" s="118">
        <v>1.0950434782608696</v>
      </c>
      <c r="G149" s="191" t="s">
        <v>219</v>
      </c>
      <c r="H149" s="191" t="s">
        <v>220</v>
      </c>
      <c r="I149" s="193">
        <v>0.625</v>
      </c>
      <c r="J149" s="193">
        <v>0.875</v>
      </c>
      <c r="K149" s="194">
        <f t="shared" si="26"/>
        <v>3.916666666666667</v>
      </c>
    </row>
    <row r="150" spans="1:11" s="67" customFormat="1" x14ac:dyDescent="0.25">
      <c r="A150" s="202"/>
      <c r="B150" s="190" t="s">
        <v>217</v>
      </c>
      <c r="C150" s="191">
        <v>21</v>
      </c>
      <c r="D150" s="192">
        <v>44778</v>
      </c>
      <c r="E150" s="191" t="s">
        <v>218</v>
      </c>
      <c r="F150" s="118">
        <v>1.0950434782608696</v>
      </c>
      <c r="G150" s="191" t="s">
        <v>219</v>
      </c>
      <c r="H150" s="191" t="s">
        <v>220</v>
      </c>
      <c r="I150" s="193">
        <v>0.625</v>
      </c>
      <c r="J150" s="193">
        <v>0.875</v>
      </c>
      <c r="K150" s="194">
        <f t="shared" si="26"/>
        <v>4.166666666666667</v>
      </c>
    </row>
    <row r="151" spans="1:11" s="67" customFormat="1" x14ac:dyDescent="0.25">
      <c r="A151" s="202"/>
      <c r="B151" s="190" t="s">
        <v>217</v>
      </c>
      <c r="C151" s="191">
        <v>22</v>
      </c>
      <c r="D151" s="192">
        <v>44781</v>
      </c>
      <c r="E151" s="191" t="s">
        <v>218</v>
      </c>
      <c r="F151" s="118">
        <v>1.0950434782608696</v>
      </c>
      <c r="G151" s="191" t="s">
        <v>219</v>
      </c>
      <c r="H151" s="191" t="s">
        <v>220</v>
      </c>
      <c r="I151" s="193">
        <v>0.625</v>
      </c>
      <c r="J151" s="193">
        <v>0.875</v>
      </c>
      <c r="K151" s="194">
        <f t="shared" si="26"/>
        <v>4.416666666666667</v>
      </c>
    </row>
    <row r="152" spans="1:11" s="67" customFormat="1" x14ac:dyDescent="0.25">
      <c r="A152" s="202"/>
      <c r="B152" s="190" t="s">
        <v>217</v>
      </c>
      <c r="C152" s="191">
        <v>23</v>
      </c>
      <c r="D152" s="192">
        <v>44782</v>
      </c>
      <c r="E152" s="191" t="s">
        <v>218</v>
      </c>
      <c r="F152" s="118">
        <v>1.0950434782608696</v>
      </c>
      <c r="G152" s="191" t="s">
        <v>219</v>
      </c>
      <c r="H152" s="191" t="s">
        <v>220</v>
      </c>
      <c r="I152" s="193">
        <v>0.625</v>
      </c>
      <c r="J152" s="193">
        <v>0.875</v>
      </c>
      <c r="K152" s="194">
        <f t="shared" si="26"/>
        <v>4.666666666666667</v>
      </c>
    </row>
    <row r="153" spans="1:11" s="67" customFormat="1" x14ac:dyDescent="0.25">
      <c r="A153" s="202"/>
      <c r="B153" s="190" t="s">
        <v>217</v>
      </c>
      <c r="C153" s="191">
        <v>24</v>
      </c>
      <c r="D153" s="192">
        <v>44783</v>
      </c>
      <c r="E153" s="191" t="s">
        <v>218</v>
      </c>
      <c r="F153" s="118">
        <v>1.0950434782608696</v>
      </c>
      <c r="G153" s="191" t="s">
        <v>219</v>
      </c>
      <c r="H153" s="191" t="s">
        <v>220</v>
      </c>
      <c r="I153" s="193">
        <v>0.625</v>
      </c>
      <c r="J153" s="193">
        <v>0.875</v>
      </c>
      <c r="K153" s="194">
        <f t="shared" si="26"/>
        <v>4.916666666666667</v>
      </c>
    </row>
    <row r="154" spans="1:11" s="67" customFormat="1" x14ac:dyDescent="0.25">
      <c r="A154" s="202">
        <v>1</v>
      </c>
      <c r="B154" s="190" t="s">
        <v>217</v>
      </c>
      <c r="C154" s="191">
        <v>25</v>
      </c>
      <c r="D154" s="192">
        <v>44805</v>
      </c>
      <c r="E154" s="191" t="s">
        <v>218</v>
      </c>
      <c r="F154" s="118">
        <v>1.0933043478260871</v>
      </c>
      <c r="G154" s="191" t="s">
        <v>219</v>
      </c>
      <c r="H154" s="191" t="s">
        <v>220</v>
      </c>
      <c r="I154" s="193">
        <v>0.625</v>
      </c>
      <c r="J154" s="193">
        <v>0.875</v>
      </c>
      <c r="K154" s="194">
        <f t="shared" ref="K154:K158" si="27">(J154-I154)+K153</f>
        <v>5.166666666666667</v>
      </c>
    </row>
    <row r="155" spans="1:11" s="67" customFormat="1" x14ac:dyDescent="0.25">
      <c r="A155" s="202"/>
      <c r="B155" s="190" t="s">
        <v>217</v>
      </c>
      <c r="C155" s="191">
        <v>26</v>
      </c>
      <c r="D155" s="192">
        <v>44806</v>
      </c>
      <c r="E155" s="191" t="s">
        <v>218</v>
      </c>
      <c r="F155" s="118">
        <v>1.0933043478260871</v>
      </c>
      <c r="G155" s="191" t="s">
        <v>219</v>
      </c>
      <c r="H155" s="191" t="s">
        <v>220</v>
      </c>
      <c r="I155" s="193">
        <v>0.625</v>
      </c>
      <c r="J155" s="193">
        <v>0.875</v>
      </c>
      <c r="K155" s="194">
        <f t="shared" si="27"/>
        <v>5.416666666666667</v>
      </c>
    </row>
    <row r="156" spans="1:11" s="67" customFormat="1" x14ac:dyDescent="0.25">
      <c r="A156" s="202"/>
      <c r="B156" s="190" t="s">
        <v>217</v>
      </c>
      <c r="C156" s="191">
        <v>27</v>
      </c>
      <c r="D156" s="192">
        <v>44810</v>
      </c>
      <c r="E156" s="191" t="s">
        <v>218</v>
      </c>
      <c r="F156" s="118">
        <v>1.0933043478260871</v>
      </c>
      <c r="G156" s="191" t="s">
        <v>219</v>
      </c>
      <c r="H156" s="191" t="s">
        <v>220</v>
      </c>
      <c r="I156" s="193">
        <v>0.625</v>
      </c>
      <c r="J156" s="193">
        <v>0.875</v>
      </c>
      <c r="K156" s="194">
        <f t="shared" si="27"/>
        <v>5.666666666666667</v>
      </c>
    </row>
    <row r="157" spans="1:11" s="67" customFormat="1" x14ac:dyDescent="0.25">
      <c r="A157" s="202"/>
      <c r="B157" s="190" t="s">
        <v>217</v>
      </c>
      <c r="C157" s="191">
        <v>28</v>
      </c>
      <c r="D157" s="192">
        <v>44811</v>
      </c>
      <c r="E157" s="191" t="s">
        <v>218</v>
      </c>
      <c r="F157" s="118">
        <v>1.0933043478260871</v>
      </c>
      <c r="G157" s="191" t="s">
        <v>219</v>
      </c>
      <c r="H157" s="191" t="s">
        <v>220</v>
      </c>
      <c r="I157" s="193">
        <v>0.625</v>
      </c>
      <c r="J157" s="193">
        <v>0.875</v>
      </c>
      <c r="K157" s="194">
        <f t="shared" si="27"/>
        <v>5.916666666666667</v>
      </c>
    </row>
    <row r="158" spans="1:11" s="67" customFormat="1" x14ac:dyDescent="0.25">
      <c r="A158" s="202"/>
      <c r="B158" s="190" t="s">
        <v>217</v>
      </c>
      <c r="C158" s="191">
        <v>29</v>
      </c>
      <c r="D158" s="192">
        <v>44812</v>
      </c>
      <c r="E158" s="191" t="s">
        <v>218</v>
      </c>
      <c r="F158" s="118">
        <v>1.0933043478260871</v>
      </c>
      <c r="G158" s="191" t="s">
        <v>219</v>
      </c>
      <c r="H158" s="191" t="s">
        <v>220</v>
      </c>
      <c r="I158" s="193">
        <v>0.625</v>
      </c>
      <c r="J158" s="193">
        <v>0.875</v>
      </c>
      <c r="K158" s="194">
        <f t="shared" si="27"/>
        <v>6.166666666666667</v>
      </c>
    </row>
    <row r="159" spans="1:11" s="67" customFormat="1" x14ac:dyDescent="0.25">
      <c r="A159" s="202"/>
      <c r="B159" s="190" t="s">
        <v>217</v>
      </c>
      <c r="C159" s="191">
        <v>30</v>
      </c>
      <c r="D159" s="192">
        <v>44853</v>
      </c>
      <c r="E159" s="191" t="s">
        <v>218</v>
      </c>
      <c r="F159" s="118">
        <v>1.0833043478260869</v>
      </c>
      <c r="G159" s="191" t="s">
        <v>219</v>
      </c>
      <c r="H159" s="191" t="s">
        <v>220</v>
      </c>
      <c r="I159" s="193">
        <v>0.625</v>
      </c>
      <c r="J159" s="193">
        <v>0.875</v>
      </c>
      <c r="K159" s="194">
        <f t="shared" ref="K159:K164" si="28">(J159-I159)+K158</f>
        <v>6.416666666666667</v>
      </c>
    </row>
    <row r="160" spans="1:11" s="67" customFormat="1" x14ac:dyDescent="0.25">
      <c r="A160" s="202">
        <v>1</v>
      </c>
      <c r="B160" s="190" t="s">
        <v>217</v>
      </c>
      <c r="C160" s="191">
        <v>31</v>
      </c>
      <c r="D160" s="192">
        <v>44872</v>
      </c>
      <c r="E160" s="191" t="s">
        <v>218</v>
      </c>
      <c r="F160" s="289"/>
      <c r="G160" s="191" t="s">
        <v>219</v>
      </c>
      <c r="H160" s="191" t="s">
        <v>220</v>
      </c>
      <c r="I160" s="193">
        <v>0.625</v>
      </c>
      <c r="J160" s="193">
        <v>0.875</v>
      </c>
      <c r="K160" s="194">
        <f t="shared" si="28"/>
        <v>6.666666666666667</v>
      </c>
    </row>
    <row r="161" spans="1:11" s="67" customFormat="1" x14ac:dyDescent="0.25">
      <c r="A161" s="202"/>
      <c r="B161" s="190" t="s">
        <v>217</v>
      </c>
      <c r="C161" s="191">
        <v>32</v>
      </c>
      <c r="D161" s="192">
        <v>44873</v>
      </c>
      <c r="E161" s="191" t="s">
        <v>218</v>
      </c>
      <c r="F161" s="289"/>
      <c r="G161" s="191" t="s">
        <v>219</v>
      </c>
      <c r="H161" s="191" t="s">
        <v>220</v>
      </c>
      <c r="I161" s="193">
        <v>0.625</v>
      </c>
      <c r="J161" s="193">
        <v>0.875</v>
      </c>
      <c r="K161" s="194">
        <f t="shared" si="28"/>
        <v>6.916666666666667</v>
      </c>
    </row>
    <row r="162" spans="1:11" s="67" customFormat="1" x14ac:dyDescent="0.25">
      <c r="A162" s="202"/>
      <c r="B162" s="190" t="s">
        <v>217</v>
      </c>
      <c r="C162" s="191">
        <v>33</v>
      </c>
      <c r="D162" s="192">
        <v>44874</v>
      </c>
      <c r="E162" s="191" t="s">
        <v>218</v>
      </c>
      <c r="F162" s="289"/>
      <c r="G162" s="191" t="s">
        <v>219</v>
      </c>
      <c r="H162" s="191" t="s">
        <v>220</v>
      </c>
      <c r="I162" s="193">
        <v>0.66666666666666663</v>
      </c>
      <c r="J162" s="193">
        <v>0.875</v>
      </c>
      <c r="K162" s="194">
        <f t="shared" si="28"/>
        <v>7.125</v>
      </c>
    </row>
    <row r="163" spans="1:11" s="67" customFormat="1" x14ac:dyDescent="0.25">
      <c r="A163" s="202"/>
      <c r="B163" s="190" t="s">
        <v>217</v>
      </c>
      <c r="C163" s="191">
        <v>34</v>
      </c>
      <c r="D163" s="192">
        <v>44875</v>
      </c>
      <c r="E163" s="191" t="s">
        <v>218</v>
      </c>
      <c r="F163" s="289"/>
      <c r="G163" s="191" t="s">
        <v>219</v>
      </c>
      <c r="H163" s="191" t="s">
        <v>220</v>
      </c>
      <c r="I163" s="193">
        <v>0.625</v>
      </c>
      <c r="J163" s="193">
        <v>0.875</v>
      </c>
      <c r="K163" s="194">
        <f t="shared" si="28"/>
        <v>7.375</v>
      </c>
    </row>
    <row r="164" spans="1:11" s="67" customFormat="1" x14ac:dyDescent="0.25">
      <c r="A164" s="202"/>
      <c r="B164" s="190" t="s">
        <v>217</v>
      </c>
      <c r="C164" s="191">
        <v>35</v>
      </c>
      <c r="D164" s="192">
        <v>44879</v>
      </c>
      <c r="E164" s="191" t="s">
        <v>218</v>
      </c>
      <c r="F164" s="289"/>
      <c r="G164" s="191" t="s">
        <v>219</v>
      </c>
      <c r="H164" s="191" t="s">
        <v>220</v>
      </c>
      <c r="I164" s="193">
        <v>0.625</v>
      </c>
      <c r="J164" s="193">
        <v>0.875</v>
      </c>
      <c r="K164" s="194">
        <f t="shared" si="28"/>
        <v>7.625</v>
      </c>
    </row>
    <row r="165" spans="1:11" s="67" customFormat="1" x14ac:dyDescent="0.25">
      <c r="A165" s="202">
        <v>1</v>
      </c>
      <c r="B165" s="190" t="s">
        <v>217</v>
      </c>
      <c r="C165" s="191">
        <v>36</v>
      </c>
      <c r="D165" s="213">
        <v>44896</v>
      </c>
      <c r="E165" s="191" t="s">
        <v>218</v>
      </c>
      <c r="F165" s="289"/>
      <c r="G165" s="191" t="s">
        <v>219</v>
      </c>
      <c r="H165" s="191" t="s">
        <v>220</v>
      </c>
      <c r="I165" s="193">
        <v>0.625</v>
      </c>
      <c r="J165" s="193">
        <v>0.875</v>
      </c>
      <c r="K165" s="194">
        <f t="shared" ref="K165:K169" si="29">(J165-I165)+K164</f>
        <v>7.875</v>
      </c>
    </row>
    <row r="166" spans="1:11" s="67" customFormat="1" x14ac:dyDescent="0.25">
      <c r="A166" s="202"/>
      <c r="B166" s="190" t="s">
        <v>217</v>
      </c>
      <c r="C166" s="191">
        <v>37</v>
      </c>
      <c r="D166" s="213">
        <v>44897</v>
      </c>
      <c r="E166" s="191" t="s">
        <v>218</v>
      </c>
      <c r="F166" s="289"/>
      <c r="G166" s="191" t="s">
        <v>219</v>
      </c>
      <c r="H166" s="191" t="s">
        <v>220</v>
      </c>
      <c r="I166" s="193">
        <v>0.625</v>
      </c>
      <c r="J166" s="193">
        <v>0.875</v>
      </c>
      <c r="K166" s="194">
        <f t="shared" si="29"/>
        <v>8.125</v>
      </c>
    </row>
    <row r="167" spans="1:11" s="67" customFormat="1" x14ac:dyDescent="0.25">
      <c r="A167" s="202"/>
      <c r="B167" s="190" t="s">
        <v>217</v>
      </c>
      <c r="C167" s="191">
        <v>38</v>
      </c>
      <c r="D167" s="213">
        <v>44900</v>
      </c>
      <c r="E167" s="191" t="s">
        <v>218</v>
      </c>
      <c r="F167" s="289"/>
      <c r="G167" s="191" t="s">
        <v>219</v>
      </c>
      <c r="H167" s="191" t="s">
        <v>220</v>
      </c>
      <c r="I167" s="193">
        <v>0.625</v>
      </c>
      <c r="J167" s="193">
        <v>0.875</v>
      </c>
      <c r="K167" s="194">
        <f t="shared" si="29"/>
        <v>8.375</v>
      </c>
    </row>
    <row r="168" spans="1:11" s="67" customFormat="1" x14ac:dyDescent="0.25">
      <c r="A168" s="202"/>
      <c r="B168" s="190" t="s">
        <v>217</v>
      </c>
      <c r="C168" s="191">
        <v>39</v>
      </c>
      <c r="D168" s="213">
        <v>44901</v>
      </c>
      <c r="E168" s="191" t="s">
        <v>218</v>
      </c>
      <c r="F168" s="289"/>
      <c r="G168" s="191" t="s">
        <v>219</v>
      </c>
      <c r="H168" s="191" t="s">
        <v>220</v>
      </c>
      <c r="I168" s="193">
        <v>0.625</v>
      </c>
      <c r="J168" s="193">
        <v>0.875</v>
      </c>
      <c r="K168" s="194">
        <f t="shared" si="29"/>
        <v>8.625</v>
      </c>
    </row>
    <row r="169" spans="1:11" s="67" customFormat="1" x14ac:dyDescent="0.25">
      <c r="A169" s="202"/>
      <c r="B169" s="190" t="s">
        <v>217</v>
      </c>
      <c r="C169" s="191">
        <v>40</v>
      </c>
      <c r="D169" s="213">
        <v>44902</v>
      </c>
      <c r="E169" s="191" t="s">
        <v>218</v>
      </c>
      <c r="F169" s="289"/>
      <c r="G169" s="191" t="s">
        <v>219</v>
      </c>
      <c r="H169" s="191" t="s">
        <v>220</v>
      </c>
      <c r="I169" s="193">
        <v>0.625</v>
      </c>
      <c r="J169" s="193">
        <v>0.875</v>
      </c>
      <c r="K169" s="194">
        <f t="shared" si="29"/>
        <v>8.875</v>
      </c>
    </row>
    <row r="170" spans="1:11" x14ac:dyDescent="0.25">
      <c r="A170" s="111"/>
      <c r="B170" s="190"/>
      <c r="C170" s="191"/>
      <c r="D170" s="213"/>
      <c r="E170" s="191"/>
      <c r="F170" s="118"/>
      <c r="G170" s="191"/>
      <c r="H170" s="191"/>
      <c r="I170" s="193"/>
      <c r="J170" s="193"/>
      <c r="K170" s="194"/>
    </row>
    <row r="171" spans="1:11" x14ac:dyDescent="0.25">
      <c r="A171" s="111">
        <v>1</v>
      </c>
      <c r="B171" s="190" t="s">
        <v>217</v>
      </c>
      <c r="C171" s="191">
        <v>1</v>
      </c>
      <c r="D171" s="192">
        <v>44683</v>
      </c>
      <c r="E171" s="191" t="s">
        <v>218</v>
      </c>
      <c r="F171" s="118">
        <v>0.13500000000000001</v>
      </c>
      <c r="G171" s="191" t="s">
        <v>219</v>
      </c>
      <c r="H171" s="191" t="s">
        <v>299</v>
      </c>
      <c r="I171" s="193">
        <v>0.75</v>
      </c>
      <c r="J171" s="193">
        <v>0.875</v>
      </c>
      <c r="K171" s="194">
        <f>J171-I171</f>
        <v>0.125</v>
      </c>
    </row>
    <row r="172" spans="1:11" x14ac:dyDescent="0.25">
      <c r="A172" s="111"/>
      <c r="B172" s="190" t="s">
        <v>217</v>
      </c>
      <c r="C172" s="191">
        <v>2</v>
      </c>
      <c r="D172" s="192">
        <v>44684</v>
      </c>
      <c r="E172" s="191" t="s">
        <v>218</v>
      </c>
      <c r="F172" s="118">
        <v>0.13500000000000001</v>
      </c>
      <c r="G172" s="191" t="s">
        <v>219</v>
      </c>
      <c r="H172" s="191" t="s">
        <v>299</v>
      </c>
      <c r="I172" s="193">
        <v>0.75</v>
      </c>
      <c r="J172" s="193">
        <v>0.875</v>
      </c>
      <c r="K172" s="194">
        <f>(J172-I172)+K171</f>
        <v>0.25</v>
      </c>
    </row>
    <row r="173" spans="1:11" x14ac:dyDescent="0.25">
      <c r="A173" s="111"/>
      <c r="B173" s="190" t="s">
        <v>217</v>
      </c>
      <c r="C173" s="191">
        <v>3</v>
      </c>
      <c r="D173" s="192">
        <v>44685</v>
      </c>
      <c r="E173" s="191" t="s">
        <v>218</v>
      </c>
      <c r="F173" s="118">
        <v>0.13500000000000001</v>
      </c>
      <c r="G173" s="191" t="s">
        <v>219</v>
      </c>
      <c r="H173" s="191" t="s">
        <v>299</v>
      </c>
      <c r="I173" s="193">
        <v>0.79166666666666663</v>
      </c>
      <c r="J173" s="193">
        <v>0.83333333333333337</v>
      </c>
      <c r="K173" s="194">
        <f t="shared" ref="K173:K180" si="30">(J173-I173)+K172</f>
        <v>0.29166666666666674</v>
      </c>
    </row>
    <row r="174" spans="1:11" x14ac:dyDescent="0.25">
      <c r="A174" s="111">
        <v>1</v>
      </c>
      <c r="B174" s="190" t="s">
        <v>217</v>
      </c>
      <c r="C174" s="191">
        <v>4</v>
      </c>
      <c r="D174" s="192">
        <v>44686</v>
      </c>
      <c r="E174" s="191" t="s">
        <v>218</v>
      </c>
      <c r="F174" s="118">
        <v>0.13500000000000001</v>
      </c>
      <c r="G174" s="191" t="s">
        <v>219</v>
      </c>
      <c r="H174" s="191" t="s">
        <v>299</v>
      </c>
      <c r="I174" s="193">
        <v>0.79166666666666663</v>
      </c>
      <c r="J174" s="193">
        <v>0.83333333333333337</v>
      </c>
      <c r="K174" s="194">
        <f t="shared" si="30"/>
        <v>0.33333333333333348</v>
      </c>
    </row>
    <row r="175" spans="1:11" x14ac:dyDescent="0.25">
      <c r="A175" s="111"/>
      <c r="B175" s="190" t="s">
        <v>217</v>
      </c>
      <c r="C175" s="191">
        <v>5</v>
      </c>
      <c r="D175" s="192">
        <v>44697</v>
      </c>
      <c r="E175" s="191" t="s">
        <v>218</v>
      </c>
      <c r="F175" s="118">
        <v>0.13500000000000001</v>
      </c>
      <c r="G175" s="191" t="s">
        <v>219</v>
      </c>
      <c r="H175" s="191" t="s">
        <v>299</v>
      </c>
      <c r="I175" s="193">
        <v>0.79166666666666663</v>
      </c>
      <c r="J175" s="193">
        <v>0.875</v>
      </c>
      <c r="K175" s="194">
        <f t="shared" si="30"/>
        <v>0.41666666666666685</v>
      </c>
    </row>
    <row r="176" spans="1:11" x14ac:dyDescent="0.25">
      <c r="A176" s="111">
        <v>1</v>
      </c>
      <c r="B176" s="190" t="s">
        <v>217</v>
      </c>
      <c r="C176" s="191">
        <v>6</v>
      </c>
      <c r="D176" s="192">
        <v>44713</v>
      </c>
      <c r="E176" s="191" t="s">
        <v>218</v>
      </c>
      <c r="F176" s="118">
        <v>0.19899999999999995</v>
      </c>
      <c r="G176" s="191" t="s">
        <v>219</v>
      </c>
      <c r="H176" s="191" t="s">
        <v>299</v>
      </c>
      <c r="I176" s="193">
        <v>0.66666666666666663</v>
      </c>
      <c r="J176" s="193">
        <v>0.875</v>
      </c>
      <c r="K176" s="194">
        <f t="shared" si="30"/>
        <v>0.62500000000000022</v>
      </c>
    </row>
    <row r="177" spans="1:11" x14ac:dyDescent="0.25">
      <c r="A177" s="111"/>
      <c r="B177" s="190" t="s">
        <v>217</v>
      </c>
      <c r="C177" s="191">
        <v>7</v>
      </c>
      <c r="D177" s="192">
        <v>44714</v>
      </c>
      <c r="E177" s="191" t="s">
        <v>218</v>
      </c>
      <c r="F177" s="118">
        <v>0.19899999999999995</v>
      </c>
      <c r="G177" s="191" t="s">
        <v>219</v>
      </c>
      <c r="H177" s="191" t="s">
        <v>299</v>
      </c>
      <c r="I177" s="193">
        <v>0.70833333333333337</v>
      </c>
      <c r="J177" s="193">
        <v>0.875</v>
      </c>
      <c r="K177" s="194">
        <f t="shared" si="30"/>
        <v>0.79166666666666685</v>
      </c>
    </row>
    <row r="178" spans="1:11" x14ac:dyDescent="0.25">
      <c r="A178" s="111"/>
      <c r="B178" s="190" t="s">
        <v>217</v>
      </c>
      <c r="C178" s="191">
        <v>8</v>
      </c>
      <c r="D178" s="192">
        <v>44721</v>
      </c>
      <c r="E178" s="191" t="s">
        <v>218</v>
      </c>
      <c r="F178" s="118">
        <v>0.19899999999999995</v>
      </c>
      <c r="G178" s="191" t="s">
        <v>219</v>
      </c>
      <c r="H178" s="191" t="s">
        <v>299</v>
      </c>
      <c r="I178" s="193">
        <v>0.79166666666666663</v>
      </c>
      <c r="J178" s="193">
        <v>0.83333333333333337</v>
      </c>
      <c r="K178" s="194">
        <f t="shared" si="30"/>
        <v>0.83333333333333359</v>
      </c>
    </row>
    <row r="179" spans="1:11" x14ac:dyDescent="0.25">
      <c r="A179" s="111"/>
      <c r="B179" s="190" t="s">
        <v>217</v>
      </c>
      <c r="C179" s="191">
        <v>9</v>
      </c>
      <c r="D179" s="192">
        <v>44722</v>
      </c>
      <c r="E179" s="191" t="s">
        <v>218</v>
      </c>
      <c r="F179" s="118">
        <v>0.19899999999999995</v>
      </c>
      <c r="G179" s="191" t="s">
        <v>219</v>
      </c>
      <c r="H179" s="191" t="s">
        <v>299</v>
      </c>
      <c r="I179" s="193">
        <v>0.79166666666666663</v>
      </c>
      <c r="J179" s="193">
        <v>0.83333333333333337</v>
      </c>
      <c r="K179" s="194">
        <f t="shared" si="30"/>
        <v>0.87500000000000033</v>
      </c>
    </row>
    <row r="180" spans="1:11" x14ac:dyDescent="0.25">
      <c r="A180" s="111"/>
      <c r="B180" s="190" t="s">
        <v>217</v>
      </c>
      <c r="C180" s="191">
        <v>10</v>
      </c>
      <c r="D180" s="192">
        <v>44735</v>
      </c>
      <c r="E180" s="191" t="s">
        <v>218</v>
      </c>
      <c r="F180" s="118">
        <v>0.19899999999999995</v>
      </c>
      <c r="G180" s="191" t="s">
        <v>219</v>
      </c>
      <c r="H180" s="191" t="s">
        <v>299</v>
      </c>
      <c r="I180" s="193">
        <v>0.79166666666666663</v>
      </c>
      <c r="J180" s="193">
        <v>0.875</v>
      </c>
      <c r="K180" s="194">
        <f t="shared" si="30"/>
        <v>0.9583333333333337</v>
      </c>
    </row>
    <row r="181" spans="1:11" x14ac:dyDescent="0.25">
      <c r="A181" s="111"/>
      <c r="B181" s="190" t="s">
        <v>217</v>
      </c>
      <c r="C181" s="191">
        <v>11</v>
      </c>
      <c r="D181" s="192">
        <v>44771</v>
      </c>
      <c r="E181" s="191" t="s">
        <v>218</v>
      </c>
      <c r="F181" s="118">
        <v>0.19900000000000001</v>
      </c>
      <c r="G181" s="191" t="s">
        <v>219</v>
      </c>
      <c r="H181" s="191" t="s">
        <v>299</v>
      </c>
      <c r="I181" s="193">
        <v>0.625</v>
      </c>
      <c r="J181" s="193">
        <v>0.875</v>
      </c>
      <c r="K181" s="194">
        <f t="shared" ref="K181:K185" si="31">(J181-I181)+K180</f>
        <v>1.2083333333333337</v>
      </c>
    </row>
    <row r="182" spans="1:11" x14ac:dyDescent="0.25">
      <c r="A182" s="111"/>
      <c r="B182" s="190" t="s">
        <v>217</v>
      </c>
      <c r="C182" s="191">
        <v>12</v>
      </c>
      <c r="D182" s="192">
        <v>44777</v>
      </c>
      <c r="E182" s="191" t="s">
        <v>218</v>
      </c>
      <c r="F182" s="118">
        <v>0.17899999999999996</v>
      </c>
      <c r="G182" s="191" t="s">
        <v>219</v>
      </c>
      <c r="H182" s="191" t="s">
        <v>299</v>
      </c>
      <c r="I182" s="193">
        <v>0.625</v>
      </c>
      <c r="J182" s="193">
        <v>0.875</v>
      </c>
      <c r="K182" s="194">
        <f t="shared" si="31"/>
        <v>1.4583333333333337</v>
      </c>
    </row>
    <row r="183" spans="1:11" x14ac:dyDescent="0.25">
      <c r="A183" s="111"/>
      <c r="B183" s="190" t="s">
        <v>217</v>
      </c>
      <c r="C183" s="191">
        <v>13</v>
      </c>
      <c r="D183" s="192">
        <v>44778</v>
      </c>
      <c r="E183" s="191" t="s">
        <v>218</v>
      </c>
      <c r="F183" s="118">
        <v>0.17899999999999996</v>
      </c>
      <c r="G183" s="191" t="s">
        <v>219</v>
      </c>
      <c r="H183" s="191" t="s">
        <v>299</v>
      </c>
      <c r="I183" s="193">
        <v>0.625</v>
      </c>
      <c r="J183" s="193">
        <v>0.875</v>
      </c>
      <c r="K183" s="194">
        <f t="shared" si="31"/>
        <v>1.7083333333333337</v>
      </c>
    </row>
    <row r="184" spans="1:11" x14ac:dyDescent="0.25">
      <c r="A184" s="111"/>
      <c r="B184" s="190" t="s">
        <v>217</v>
      </c>
      <c r="C184" s="191">
        <v>14</v>
      </c>
      <c r="D184" s="192">
        <v>44781</v>
      </c>
      <c r="E184" s="191" t="s">
        <v>218</v>
      </c>
      <c r="F184" s="118">
        <v>0.17899999999999996</v>
      </c>
      <c r="G184" s="191" t="s">
        <v>219</v>
      </c>
      <c r="H184" s="191" t="s">
        <v>299</v>
      </c>
      <c r="I184" s="193">
        <v>0.625</v>
      </c>
      <c r="J184" s="193">
        <v>0.875</v>
      </c>
      <c r="K184" s="194">
        <f t="shared" si="31"/>
        <v>1.9583333333333337</v>
      </c>
    </row>
    <row r="185" spans="1:11" x14ac:dyDescent="0.25">
      <c r="A185" s="111"/>
      <c r="B185" s="190" t="s">
        <v>217</v>
      </c>
      <c r="C185" s="191">
        <v>15</v>
      </c>
      <c r="D185" s="192">
        <v>44782</v>
      </c>
      <c r="E185" s="191" t="s">
        <v>218</v>
      </c>
      <c r="F185" s="118">
        <v>0.17899999999999996</v>
      </c>
      <c r="G185" s="191" t="s">
        <v>219</v>
      </c>
      <c r="H185" s="191" t="s">
        <v>299</v>
      </c>
      <c r="I185" s="193">
        <v>0.625</v>
      </c>
      <c r="J185" s="193">
        <v>0.875</v>
      </c>
      <c r="K185" s="194">
        <f t="shared" si="31"/>
        <v>2.2083333333333339</v>
      </c>
    </row>
    <row r="186" spans="1:11" x14ac:dyDescent="0.25">
      <c r="A186" s="111"/>
      <c r="B186" s="190" t="s">
        <v>217</v>
      </c>
      <c r="C186" s="191">
        <v>16</v>
      </c>
      <c r="D186" s="192">
        <v>44805</v>
      </c>
      <c r="E186" s="191" t="s">
        <v>218</v>
      </c>
      <c r="F186" s="118">
        <v>0.17899999999999999</v>
      </c>
      <c r="G186" s="191" t="s">
        <v>219</v>
      </c>
      <c r="H186" s="191" t="s">
        <v>299</v>
      </c>
      <c r="I186" s="193">
        <v>0.625</v>
      </c>
      <c r="J186" s="193">
        <v>0.875</v>
      </c>
      <c r="K186" s="194">
        <f t="shared" ref="K186:K190" si="32">(J186-I186)+K185</f>
        <v>2.4583333333333339</v>
      </c>
    </row>
    <row r="187" spans="1:11" x14ac:dyDescent="0.25">
      <c r="A187" s="111"/>
      <c r="B187" s="190" t="s">
        <v>217</v>
      </c>
      <c r="C187" s="191">
        <v>17</v>
      </c>
      <c r="D187" s="192">
        <v>44806</v>
      </c>
      <c r="E187" s="191" t="s">
        <v>218</v>
      </c>
      <c r="F187" s="118">
        <v>0.17899999999999999</v>
      </c>
      <c r="G187" s="191" t="s">
        <v>219</v>
      </c>
      <c r="H187" s="191" t="s">
        <v>299</v>
      </c>
      <c r="I187" s="193">
        <v>0.625</v>
      </c>
      <c r="J187" s="193">
        <v>0.875</v>
      </c>
      <c r="K187" s="194">
        <f t="shared" si="32"/>
        <v>2.7083333333333339</v>
      </c>
    </row>
    <row r="188" spans="1:11" x14ac:dyDescent="0.25">
      <c r="A188" s="111"/>
      <c r="B188" s="190" t="s">
        <v>217</v>
      </c>
      <c r="C188" s="191">
        <v>18</v>
      </c>
      <c r="D188" s="192">
        <v>44810</v>
      </c>
      <c r="E188" s="191" t="s">
        <v>218</v>
      </c>
      <c r="F188" s="118">
        <v>0.17899999999999999</v>
      </c>
      <c r="G188" s="191" t="s">
        <v>219</v>
      </c>
      <c r="H188" s="191" t="s">
        <v>299</v>
      </c>
      <c r="I188" s="193">
        <v>0.625</v>
      </c>
      <c r="J188" s="193">
        <v>0.875</v>
      </c>
      <c r="K188" s="194">
        <f t="shared" si="32"/>
        <v>2.9583333333333339</v>
      </c>
    </row>
    <row r="189" spans="1:11" x14ac:dyDescent="0.25">
      <c r="A189" s="111"/>
      <c r="B189" s="190" t="s">
        <v>217</v>
      </c>
      <c r="C189" s="191">
        <v>19</v>
      </c>
      <c r="D189" s="192">
        <v>44811</v>
      </c>
      <c r="E189" s="191" t="s">
        <v>218</v>
      </c>
      <c r="F189" s="118">
        <v>0.17899999999999999</v>
      </c>
      <c r="G189" s="191" t="s">
        <v>219</v>
      </c>
      <c r="H189" s="191" t="s">
        <v>299</v>
      </c>
      <c r="I189" s="193">
        <v>0.625</v>
      </c>
      <c r="J189" s="193">
        <v>0.875</v>
      </c>
      <c r="K189" s="194">
        <f t="shared" si="32"/>
        <v>3.2083333333333339</v>
      </c>
    </row>
    <row r="190" spans="1:11" x14ac:dyDescent="0.25">
      <c r="A190" s="111"/>
      <c r="B190" s="190" t="s">
        <v>217</v>
      </c>
      <c r="C190" s="191">
        <v>20</v>
      </c>
      <c r="D190" s="192">
        <v>44812</v>
      </c>
      <c r="E190" s="191" t="s">
        <v>218</v>
      </c>
      <c r="F190" s="118">
        <v>0.17899999999999999</v>
      </c>
      <c r="G190" s="191" t="s">
        <v>219</v>
      </c>
      <c r="H190" s="191" t="s">
        <v>299</v>
      </c>
      <c r="I190" s="193">
        <v>0.625</v>
      </c>
      <c r="J190" s="193">
        <v>0.875</v>
      </c>
      <c r="K190" s="194">
        <f t="shared" si="32"/>
        <v>3.4583333333333339</v>
      </c>
    </row>
    <row r="191" spans="1:11" x14ac:dyDescent="0.25">
      <c r="A191" s="111"/>
      <c r="B191" s="190" t="s">
        <v>217</v>
      </c>
      <c r="C191" s="191">
        <v>21</v>
      </c>
      <c r="D191" s="192">
        <v>44840</v>
      </c>
      <c r="E191" s="191" t="s">
        <v>218</v>
      </c>
      <c r="F191" s="118">
        <v>0.17899999999999999</v>
      </c>
      <c r="G191" s="191" t="s">
        <v>219</v>
      </c>
      <c r="H191" s="191" t="s">
        <v>299</v>
      </c>
      <c r="I191" s="193">
        <v>0.625</v>
      </c>
      <c r="J191" s="193">
        <v>0.875</v>
      </c>
      <c r="K191" s="194">
        <f t="shared" ref="K191:K192" si="33">(J191-I191)+K190</f>
        <v>3.7083333333333339</v>
      </c>
    </row>
    <row r="192" spans="1:11" x14ac:dyDescent="0.25">
      <c r="A192" s="111"/>
      <c r="B192" s="190" t="s">
        <v>217</v>
      </c>
      <c r="C192" s="191">
        <v>22</v>
      </c>
      <c r="D192" s="192">
        <v>44853</v>
      </c>
      <c r="E192" s="191" t="s">
        <v>218</v>
      </c>
      <c r="F192" s="118">
        <v>0.17899999999999999</v>
      </c>
      <c r="G192" s="191" t="s">
        <v>219</v>
      </c>
      <c r="H192" s="191" t="s">
        <v>299</v>
      </c>
      <c r="I192" s="193">
        <v>0.625</v>
      </c>
      <c r="J192" s="193">
        <v>0.875</v>
      </c>
      <c r="K192" s="194">
        <f t="shared" si="33"/>
        <v>3.9583333333333339</v>
      </c>
    </row>
    <row r="193" spans="1:11" s="67" customFormat="1" x14ac:dyDescent="0.25">
      <c r="A193" s="202"/>
      <c r="B193" s="190"/>
      <c r="C193" s="191"/>
      <c r="D193" s="192"/>
      <c r="E193" s="191"/>
      <c r="F193" s="118"/>
      <c r="G193" s="191"/>
      <c r="H193" s="191"/>
      <c r="I193" s="193"/>
      <c r="J193" s="193"/>
      <c r="K193" s="194"/>
    </row>
    <row r="194" spans="1:11" x14ac:dyDescent="0.25">
      <c r="A194" s="111">
        <v>1</v>
      </c>
      <c r="B194" s="113" t="s">
        <v>217</v>
      </c>
      <c r="C194" s="114">
        <v>1</v>
      </c>
      <c r="D194" s="156">
        <v>44564</v>
      </c>
      <c r="E194" s="114" t="s">
        <v>218</v>
      </c>
      <c r="F194" s="289"/>
      <c r="G194" s="114" t="s">
        <v>219</v>
      </c>
      <c r="H194" s="114" t="s">
        <v>221</v>
      </c>
      <c r="I194" s="115">
        <v>0.66666666666666663</v>
      </c>
      <c r="J194" s="115">
        <v>0.875</v>
      </c>
      <c r="K194" s="116">
        <f>J194-I194</f>
        <v>0.20833333333333337</v>
      </c>
    </row>
    <row r="195" spans="1:11" x14ac:dyDescent="0.25">
      <c r="A195" s="111"/>
      <c r="B195" s="113" t="s">
        <v>217</v>
      </c>
      <c r="C195" s="114">
        <v>2</v>
      </c>
      <c r="D195" s="156">
        <v>44566</v>
      </c>
      <c r="E195" s="114" t="s">
        <v>218</v>
      </c>
      <c r="F195" s="289"/>
      <c r="G195" s="114" t="s">
        <v>219</v>
      </c>
      <c r="H195" s="114" t="s">
        <v>221</v>
      </c>
      <c r="I195" s="115">
        <v>0.66666666666666663</v>
      </c>
      <c r="J195" s="115">
        <v>0.875</v>
      </c>
      <c r="K195" s="116">
        <f>(J195-I195)+K194</f>
        <v>0.41666666666666674</v>
      </c>
    </row>
    <row r="196" spans="1:11" x14ac:dyDescent="0.25">
      <c r="A196" s="111"/>
      <c r="B196" s="113" t="s">
        <v>217</v>
      </c>
      <c r="C196" s="114">
        <v>3</v>
      </c>
      <c r="D196" s="156">
        <v>44592</v>
      </c>
      <c r="E196" s="114" t="s">
        <v>218</v>
      </c>
      <c r="F196" s="289"/>
      <c r="G196" s="114" t="s">
        <v>219</v>
      </c>
      <c r="H196" s="114" t="s">
        <v>221</v>
      </c>
      <c r="I196" s="115">
        <v>0.70833333333333337</v>
      </c>
      <c r="J196" s="115">
        <v>0.79166666666666663</v>
      </c>
      <c r="K196" s="116">
        <f t="shared" ref="K196:K201" si="34">(J196-I196)+K195</f>
        <v>0.5</v>
      </c>
    </row>
    <row r="197" spans="1:11" x14ac:dyDescent="0.25">
      <c r="A197" s="111">
        <v>1</v>
      </c>
      <c r="B197" s="190" t="s">
        <v>217</v>
      </c>
      <c r="C197" s="191">
        <v>4</v>
      </c>
      <c r="D197" s="192">
        <v>44642</v>
      </c>
      <c r="E197" s="191" t="s">
        <v>218</v>
      </c>
      <c r="F197" s="289"/>
      <c r="G197" s="191" t="s">
        <v>219</v>
      </c>
      <c r="H197" s="191" t="s">
        <v>221</v>
      </c>
      <c r="I197" s="193">
        <v>0.75</v>
      </c>
      <c r="J197" s="193">
        <v>0.875</v>
      </c>
      <c r="K197" s="194">
        <f t="shared" si="34"/>
        <v>0.625</v>
      </c>
    </row>
    <row r="198" spans="1:11" x14ac:dyDescent="0.25">
      <c r="A198" s="111"/>
      <c r="B198" s="190" t="s">
        <v>217</v>
      </c>
      <c r="C198" s="191">
        <v>5</v>
      </c>
      <c r="D198" s="192">
        <v>44643</v>
      </c>
      <c r="E198" s="191" t="s">
        <v>218</v>
      </c>
      <c r="F198" s="289"/>
      <c r="G198" s="191" t="s">
        <v>219</v>
      </c>
      <c r="H198" s="191" t="s">
        <v>221</v>
      </c>
      <c r="I198" s="193">
        <v>0.75</v>
      </c>
      <c r="J198" s="193">
        <v>0.875</v>
      </c>
      <c r="K198" s="194">
        <f t="shared" si="34"/>
        <v>0.75</v>
      </c>
    </row>
    <row r="199" spans="1:11" x14ac:dyDescent="0.25">
      <c r="A199" s="111"/>
      <c r="B199" s="190" t="s">
        <v>217</v>
      </c>
      <c r="C199" s="191">
        <v>6</v>
      </c>
      <c r="D199" s="192">
        <v>44644</v>
      </c>
      <c r="E199" s="191" t="s">
        <v>218</v>
      </c>
      <c r="F199" s="289"/>
      <c r="G199" s="191" t="s">
        <v>219</v>
      </c>
      <c r="H199" s="191" t="s">
        <v>221</v>
      </c>
      <c r="I199" s="193">
        <v>0.75</v>
      </c>
      <c r="J199" s="193">
        <v>0.875</v>
      </c>
      <c r="K199" s="194">
        <f t="shared" si="34"/>
        <v>0.875</v>
      </c>
    </row>
    <row r="200" spans="1:11" x14ac:dyDescent="0.25">
      <c r="A200" s="111"/>
      <c r="B200" s="190" t="s">
        <v>217</v>
      </c>
      <c r="C200" s="191">
        <v>7</v>
      </c>
      <c r="D200" s="192">
        <v>44645</v>
      </c>
      <c r="E200" s="191" t="s">
        <v>218</v>
      </c>
      <c r="F200" s="289"/>
      <c r="G200" s="191" t="s">
        <v>219</v>
      </c>
      <c r="H200" s="191" t="s">
        <v>221</v>
      </c>
      <c r="I200" s="193">
        <v>0.75</v>
      </c>
      <c r="J200" s="193">
        <v>0.875</v>
      </c>
      <c r="K200" s="194">
        <f t="shared" si="34"/>
        <v>1</v>
      </c>
    </row>
    <row r="201" spans="1:11" x14ac:dyDescent="0.25">
      <c r="A201" s="111"/>
      <c r="B201" s="190" t="s">
        <v>217</v>
      </c>
      <c r="C201" s="191">
        <v>8</v>
      </c>
      <c r="D201" s="192">
        <v>44648</v>
      </c>
      <c r="E201" s="191" t="s">
        <v>218</v>
      </c>
      <c r="F201" s="289"/>
      <c r="G201" s="191" t="s">
        <v>219</v>
      </c>
      <c r="H201" s="191" t="s">
        <v>221</v>
      </c>
      <c r="I201" s="193">
        <v>0.75</v>
      </c>
      <c r="J201" s="193">
        <v>0.875</v>
      </c>
      <c r="K201" s="194">
        <f t="shared" si="34"/>
        <v>1.125</v>
      </c>
    </row>
    <row r="202" spans="1:11" x14ac:dyDescent="0.25">
      <c r="A202" s="111"/>
      <c r="B202" s="190" t="s">
        <v>217</v>
      </c>
      <c r="C202" s="191">
        <v>9</v>
      </c>
      <c r="D202" s="192">
        <v>44657</v>
      </c>
      <c r="E202" s="191" t="s">
        <v>218</v>
      </c>
      <c r="F202" s="289"/>
      <c r="G202" s="191" t="s">
        <v>219</v>
      </c>
      <c r="H202" s="191" t="s">
        <v>221</v>
      </c>
      <c r="I202" s="193">
        <v>0.75</v>
      </c>
      <c r="J202" s="193">
        <v>0.875</v>
      </c>
      <c r="K202" s="194">
        <f t="shared" ref="K202:K206" si="35">(J202-I202)+K201</f>
        <v>1.25</v>
      </c>
    </row>
    <row r="203" spans="1:11" x14ac:dyDescent="0.25">
      <c r="A203" s="111"/>
      <c r="B203" s="190" t="s">
        <v>217</v>
      </c>
      <c r="C203" s="191">
        <v>10</v>
      </c>
      <c r="D203" s="192">
        <v>44658</v>
      </c>
      <c r="E203" s="191" t="s">
        <v>218</v>
      </c>
      <c r="F203" s="289"/>
      <c r="G203" s="191" t="s">
        <v>219</v>
      </c>
      <c r="H203" s="191" t="s">
        <v>221</v>
      </c>
      <c r="I203" s="193">
        <v>0.70833333333333337</v>
      </c>
      <c r="J203" s="193">
        <v>0.875</v>
      </c>
      <c r="K203" s="194">
        <f t="shared" si="35"/>
        <v>1.4166666666666665</v>
      </c>
    </row>
    <row r="204" spans="1:11" x14ac:dyDescent="0.25">
      <c r="A204" s="111"/>
      <c r="B204" s="190" t="s">
        <v>217</v>
      </c>
      <c r="C204" s="191">
        <v>11</v>
      </c>
      <c r="D204" s="192">
        <v>44669</v>
      </c>
      <c r="E204" s="191" t="s">
        <v>218</v>
      </c>
      <c r="F204" s="289"/>
      <c r="G204" s="191" t="s">
        <v>219</v>
      </c>
      <c r="H204" s="191" t="s">
        <v>221</v>
      </c>
      <c r="I204" s="193">
        <v>0.70833333333333337</v>
      </c>
      <c r="J204" s="193">
        <v>0.875</v>
      </c>
      <c r="K204" s="194">
        <f t="shared" si="35"/>
        <v>1.583333333333333</v>
      </c>
    </row>
    <row r="205" spans="1:11" x14ac:dyDescent="0.25">
      <c r="A205" s="111"/>
      <c r="B205" s="190" t="s">
        <v>217</v>
      </c>
      <c r="C205" s="191">
        <v>12</v>
      </c>
      <c r="D205" s="192">
        <v>44676</v>
      </c>
      <c r="E205" s="191" t="s">
        <v>218</v>
      </c>
      <c r="F205" s="289"/>
      <c r="G205" s="191" t="s">
        <v>219</v>
      </c>
      <c r="H205" s="191" t="s">
        <v>221</v>
      </c>
      <c r="I205" s="193">
        <v>0.66666666666666663</v>
      </c>
      <c r="J205" s="193">
        <v>0.875</v>
      </c>
      <c r="K205" s="194">
        <f t="shared" si="35"/>
        <v>1.7916666666666665</v>
      </c>
    </row>
    <row r="206" spans="1:11" x14ac:dyDescent="0.25">
      <c r="A206" s="111"/>
      <c r="B206" s="190" t="s">
        <v>217</v>
      </c>
      <c r="C206" s="191">
        <v>13</v>
      </c>
      <c r="D206" s="192">
        <v>44683</v>
      </c>
      <c r="E206" s="191" t="s">
        <v>218</v>
      </c>
      <c r="F206" s="118">
        <v>0.68500000000000005</v>
      </c>
      <c r="G206" s="191" t="s">
        <v>219</v>
      </c>
      <c r="H206" s="191" t="s">
        <v>221</v>
      </c>
      <c r="I206" s="193">
        <v>0.75</v>
      </c>
      <c r="J206" s="193">
        <v>0.875</v>
      </c>
      <c r="K206" s="194">
        <f t="shared" si="35"/>
        <v>1.9166666666666665</v>
      </c>
    </row>
    <row r="207" spans="1:11" x14ac:dyDescent="0.25">
      <c r="A207" s="111"/>
      <c r="B207" s="190" t="s">
        <v>217</v>
      </c>
      <c r="C207" s="191">
        <v>14</v>
      </c>
      <c r="D207" s="192">
        <v>44684</v>
      </c>
      <c r="E207" s="191" t="s">
        <v>218</v>
      </c>
      <c r="F207" s="118">
        <v>0.68500000000000005</v>
      </c>
      <c r="G207" s="191" t="s">
        <v>219</v>
      </c>
      <c r="H207" s="191" t="s">
        <v>221</v>
      </c>
      <c r="I207" s="193">
        <v>0.75</v>
      </c>
      <c r="J207" s="193">
        <v>0.875</v>
      </c>
      <c r="K207" s="194">
        <f t="shared" ref="K207:K214" si="36">(J207-I207)+K206</f>
        <v>2.0416666666666665</v>
      </c>
    </row>
    <row r="208" spans="1:11" x14ac:dyDescent="0.25">
      <c r="A208" s="111"/>
      <c r="B208" s="190" t="s">
        <v>217</v>
      </c>
      <c r="C208" s="191">
        <v>15</v>
      </c>
      <c r="D208" s="192">
        <v>44685</v>
      </c>
      <c r="E208" s="191" t="s">
        <v>218</v>
      </c>
      <c r="F208" s="118">
        <v>0.68500000000000005</v>
      </c>
      <c r="G208" s="191" t="s">
        <v>219</v>
      </c>
      <c r="H208" s="191" t="s">
        <v>221</v>
      </c>
      <c r="I208" s="193">
        <v>0.70833333333333337</v>
      </c>
      <c r="J208" s="193">
        <v>0.875</v>
      </c>
      <c r="K208" s="194">
        <f t="shared" si="36"/>
        <v>2.208333333333333</v>
      </c>
    </row>
    <row r="209" spans="1:11" x14ac:dyDescent="0.25">
      <c r="A209" s="111"/>
      <c r="B209" s="190" t="s">
        <v>217</v>
      </c>
      <c r="C209" s="191">
        <v>16</v>
      </c>
      <c r="D209" s="192">
        <v>44686</v>
      </c>
      <c r="E209" s="191" t="s">
        <v>218</v>
      </c>
      <c r="F209" s="118">
        <v>0.68500000000000005</v>
      </c>
      <c r="G209" s="191" t="s">
        <v>219</v>
      </c>
      <c r="H209" s="191" t="s">
        <v>221</v>
      </c>
      <c r="I209" s="193">
        <v>0.75</v>
      </c>
      <c r="J209" s="193">
        <v>0.875</v>
      </c>
      <c r="K209" s="194">
        <f t="shared" si="36"/>
        <v>2.333333333333333</v>
      </c>
    </row>
    <row r="210" spans="1:11" x14ac:dyDescent="0.25">
      <c r="A210" s="111"/>
      <c r="B210" s="190" t="s">
        <v>217</v>
      </c>
      <c r="C210" s="191">
        <v>17</v>
      </c>
      <c r="D210" s="192">
        <v>44706</v>
      </c>
      <c r="E210" s="191" t="s">
        <v>218</v>
      </c>
      <c r="F210" s="118">
        <v>0.68500000000000005</v>
      </c>
      <c r="G210" s="191" t="s">
        <v>219</v>
      </c>
      <c r="H210" s="191" t="s">
        <v>221</v>
      </c>
      <c r="I210" s="193">
        <v>0.625</v>
      </c>
      <c r="J210" s="193">
        <v>0.875</v>
      </c>
      <c r="K210" s="194">
        <f t="shared" si="36"/>
        <v>2.583333333333333</v>
      </c>
    </row>
    <row r="211" spans="1:11" s="67" customFormat="1" x14ac:dyDescent="0.25">
      <c r="A211" s="202"/>
      <c r="B211" s="190" t="s">
        <v>217</v>
      </c>
      <c r="C211" s="191">
        <v>18</v>
      </c>
      <c r="D211" s="192">
        <v>44720</v>
      </c>
      <c r="E211" s="191" t="s">
        <v>218</v>
      </c>
      <c r="F211" s="118">
        <v>1.0335217391304345</v>
      </c>
      <c r="G211" s="191" t="s">
        <v>219</v>
      </c>
      <c r="H211" s="191" t="s">
        <v>221</v>
      </c>
      <c r="I211" s="193">
        <v>0.625</v>
      </c>
      <c r="J211" s="193">
        <v>0.875</v>
      </c>
      <c r="K211" s="194">
        <f t="shared" si="36"/>
        <v>2.833333333333333</v>
      </c>
    </row>
    <row r="212" spans="1:11" s="67" customFormat="1" x14ac:dyDescent="0.25">
      <c r="A212" s="202"/>
      <c r="B212" s="190" t="s">
        <v>217</v>
      </c>
      <c r="C212" s="191">
        <v>19</v>
      </c>
      <c r="D212" s="192">
        <v>44721</v>
      </c>
      <c r="E212" s="191" t="s">
        <v>218</v>
      </c>
      <c r="F212" s="118">
        <v>1.0335217391304345</v>
      </c>
      <c r="G212" s="191" t="s">
        <v>219</v>
      </c>
      <c r="H212" s="191" t="s">
        <v>221</v>
      </c>
      <c r="I212" s="193">
        <v>0.625</v>
      </c>
      <c r="J212" s="193">
        <v>0.875</v>
      </c>
      <c r="K212" s="194">
        <f t="shared" si="36"/>
        <v>3.083333333333333</v>
      </c>
    </row>
    <row r="213" spans="1:11" s="67" customFormat="1" x14ac:dyDescent="0.25">
      <c r="A213" s="202"/>
      <c r="B213" s="190" t="s">
        <v>217</v>
      </c>
      <c r="C213" s="191">
        <v>20</v>
      </c>
      <c r="D213" s="192">
        <v>44722</v>
      </c>
      <c r="E213" s="191" t="s">
        <v>218</v>
      </c>
      <c r="F213" s="118">
        <v>1.0335217391304345</v>
      </c>
      <c r="G213" s="191" t="s">
        <v>219</v>
      </c>
      <c r="H213" s="191" t="s">
        <v>221</v>
      </c>
      <c r="I213" s="193">
        <v>0.625</v>
      </c>
      <c r="J213" s="193">
        <v>0.875</v>
      </c>
      <c r="K213" s="194">
        <f t="shared" si="36"/>
        <v>3.333333333333333</v>
      </c>
    </row>
    <row r="214" spans="1:11" s="67" customFormat="1" x14ac:dyDescent="0.25">
      <c r="A214" s="202"/>
      <c r="B214" s="190" t="s">
        <v>217</v>
      </c>
      <c r="C214" s="191">
        <v>21</v>
      </c>
      <c r="D214" s="192">
        <v>44739</v>
      </c>
      <c r="E214" s="191" t="s">
        <v>218</v>
      </c>
      <c r="F214" s="118">
        <v>1.0335217391304345</v>
      </c>
      <c r="G214" s="191" t="s">
        <v>219</v>
      </c>
      <c r="H214" s="191" t="s">
        <v>221</v>
      </c>
      <c r="I214" s="193">
        <v>0.625</v>
      </c>
      <c r="J214" s="193">
        <v>0.875</v>
      </c>
      <c r="K214" s="194">
        <f t="shared" si="36"/>
        <v>3.583333333333333</v>
      </c>
    </row>
    <row r="215" spans="1:11" x14ac:dyDescent="0.25">
      <c r="A215" s="111"/>
      <c r="B215" s="190" t="s">
        <v>217</v>
      </c>
      <c r="C215" s="191">
        <v>22</v>
      </c>
      <c r="D215" s="192">
        <v>44753</v>
      </c>
      <c r="E215" s="191" t="s">
        <v>218</v>
      </c>
      <c r="F215" s="118">
        <v>1.0385217391304344</v>
      </c>
      <c r="G215" s="191" t="s">
        <v>219</v>
      </c>
      <c r="H215" s="191" t="s">
        <v>221</v>
      </c>
      <c r="I215" s="193">
        <v>0.625</v>
      </c>
      <c r="J215" s="193">
        <v>0.875</v>
      </c>
      <c r="K215" s="194">
        <f t="shared" ref="K215:K224" si="37">(J215-I215)+K214</f>
        <v>3.833333333333333</v>
      </c>
    </row>
    <row r="216" spans="1:11" s="67" customFormat="1" x14ac:dyDescent="0.25">
      <c r="A216" s="202"/>
      <c r="B216" s="190" t="s">
        <v>217</v>
      </c>
      <c r="C216" s="191">
        <v>23</v>
      </c>
      <c r="D216" s="192">
        <v>44756</v>
      </c>
      <c r="E216" s="191" t="s">
        <v>218</v>
      </c>
      <c r="F216" s="118">
        <v>1.0385217391304344</v>
      </c>
      <c r="G216" s="191" t="s">
        <v>219</v>
      </c>
      <c r="H216" s="191" t="s">
        <v>221</v>
      </c>
      <c r="I216" s="193">
        <v>0.625</v>
      </c>
      <c r="J216" s="193">
        <v>0.875</v>
      </c>
      <c r="K216" s="194">
        <f t="shared" si="37"/>
        <v>4.083333333333333</v>
      </c>
    </row>
    <row r="217" spans="1:11" s="67" customFormat="1" x14ac:dyDescent="0.25">
      <c r="A217" s="202"/>
      <c r="B217" s="190" t="s">
        <v>217</v>
      </c>
      <c r="C217" s="191">
        <v>24</v>
      </c>
      <c r="D217" s="192">
        <v>44757</v>
      </c>
      <c r="E217" s="191" t="s">
        <v>218</v>
      </c>
      <c r="F217" s="118">
        <v>1.0385217391304344</v>
      </c>
      <c r="G217" s="191" t="s">
        <v>219</v>
      </c>
      <c r="H217" s="191" t="s">
        <v>221</v>
      </c>
      <c r="I217" s="193">
        <v>0.625</v>
      </c>
      <c r="J217" s="193">
        <v>0.875</v>
      </c>
      <c r="K217" s="194">
        <f t="shared" si="37"/>
        <v>4.333333333333333</v>
      </c>
    </row>
    <row r="218" spans="1:11" s="67" customFormat="1" x14ac:dyDescent="0.25">
      <c r="A218" s="202"/>
      <c r="B218" s="190" t="s">
        <v>217</v>
      </c>
      <c r="C218" s="191">
        <v>25</v>
      </c>
      <c r="D218" s="192">
        <v>44760</v>
      </c>
      <c r="E218" s="191" t="s">
        <v>218</v>
      </c>
      <c r="F218" s="118">
        <v>1.0385217391304344</v>
      </c>
      <c r="G218" s="191" t="s">
        <v>219</v>
      </c>
      <c r="H218" s="191" t="s">
        <v>221</v>
      </c>
      <c r="I218" s="193">
        <v>0.625</v>
      </c>
      <c r="J218" s="193">
        <v>0.875</v>
      </c>
      <c r="K218" s="194">
        <f t="shared" si="37"/>
        <v>4.583333333333333</v>
      </c>
    </row>
    <row r="219" spans="1:11" s="67" customFormat="1" x14ac:dyDescent="0.25">
      <c r="A219" s="202"/>
      <c r="B219" s="190" t="s">
        <v>217</v>
      </c>
      <c r="C219" s="191">
        <v>26</v>
      </c>
      <c r="D219" s="192">
        <v>44761</v>
      </c>
      <c r="E219" s="191" t="s">
        <v>218</v>
      </c>
      <c r="F219" s="118">
        <v>1.0385217391304344</v>
      </c>
      <c r="G219" s="191" t="s">
        <v>219</v>
      </c>
      <c r="H219" s="191" t="s">
        <v>221</v>
      </c>
      <c r="I219" s="193">
        <v>0.625</v>
      </c>
      <c r="J219" s="193">
        <v>0.875</v>
      </c>
      <c r="K219" s="194">
        <f t="shared" si="37"/>
        <v>4.833333333333333</v>
      </c>
    </row>
    <row r="220" spans="1:11" x14ac:dyDescent="0.25">
      <c r="A220" s="111"/>
      <c r="B220" s="190" t="s">
        <v>217</v>
      </c>
      <c r="C220" s="191">
        <v>27</v>
      </c>
      <c r="D220" s="192">
        <v>44777</v>
      </c>
      <c r="E220" s="191" t="s">
        <v>218</v>
      </c>
      <c r="F220" s="118">
        <v>0.91808695652173911</v>
      </c>
      <c r="G220" s="191" t="s">
        <v>219</v>
      </c>
      <c r="H220" s="191" t="s">
        <v>221</v>
      </c>
      <c r="I220" s="193">
        <v>0.625</v>
      </c>
      <c r="J220" s="193">
        <v>0.875</v>
      </c>
      <c r="K220" s="194">
        <f t="shared" si="37"/>
        <v>5.083333333333333</v>
      </c>
    </row>
    <row r="221" spans="1:11" x14ac:dyDescent="0.25">
      <c r="A221" s="111"/>
      <c r="B221" s="190" t="s">
        <v>217</v>
      </c>
      <c r="C221" s="191">
        <v>28</v>
      </c>
      <c r="D221" s="192">
        <v>44778</v>
      </c>
      <c r="E221" s="191" t="s">
        <v>218</v>
      </c>
      <c r="F221" s="118">
        <v>0.91808695652173911</v>
      </c>
      <c r="G221" s="191" t="s">
        <v>219</v>
      </c>
      <c r="H221" s="191" t="s">
        <v>221</v>
      </c>
      <c r="I221" s="193">
        <v>0.625</v>
      </c>
      <c r="J221" s="193">
        <v>0.875</v>
      </c>
      <c r="K221" s="194">
        <f t="shared" si="37"/>
        <v>5.333333333333333</v>
      </c>
    </row>
    <row r="222" spans="1:11" x14ac:dyDescent="0.25">
      <c r="A222" s="111"/>
      <c r="B222" s="190" t="s">
        <v>217</v>
      </c>
      <c r="C222" s="191">
        <v>29</v>
      </c>
      <c r="D222" s="192">
        <v>44781</v>
      </c>
      <c r="E222" s="191" t="s">
        <v>218</v>
      </c>
      <c r="F222" s="118">
        <v>0.91808695652173911</v>
      </c>
      <c r="G222" s="191" t="s">
        <v>219</v>
      </c>
      <c r="H222" s="191" t="s">
        <v>221</v>
      </c>
      <c r="I222" s="193">
        <v>0.625</v>
      </c>
      <c r="J222" s="193">
        <v>0.875</v>
      </c>
      <c r="K222" s="194">
        <f t="shared" si="37"/>
        <v>5.583333333333333</v>
      </c>
    </row>
    <row r="223" spans="1:11" x14ac:dyDescent="0.25">
      <c r="A223" s="111"/>
      <c r="B223" s="190" t="s">
        <v>217</v>
      </c>
      <c r="C223" s="191">
        <v>30</v>
      </c>
      <c r="D223" s="192">
        <v>44782</v>
      </c>
      <c r="E223" s="191" t="s">
        <v>218</v>
      </c>
      <c r="F223" s="118">
        <v>0.91808695652173911</v>
      </c>
      <c r="G223" s="191" t="s">
        <v>219</v>
      </c>
      <c r="H223" s="191" t="s">
        <v>221</v>
      </c>
      <c r="I223" s="193">
        <v>0.625</v>
      </c>
      <c r="J223" s="193">
        <v>0.875</v>
      </c>
      <c r="K223" s="194">
        <f t="shared" si="37"/>
        <v>5.833333333333333</v>
      </c>
    </row>
    <row r="224" spans="1:11" x14ac:dyDescent="0.25">
      <c r="A224" s="111"/>
      <c r="B224" s="190" t="s">
        <v>217</v>
      </c>
      <c r="C224" s="191">
        <v>31</v>
      </c>
      <c r="D224" s="192">
        <v>44789</v>
      </c>
      <c r="E224" s="191" t="s">
        <v>218</v>
      </c>
      <c r="F224" s="118">
        <v>0.91808695652173911</v>
      </c>
      <c r="G224" s="191" t="s">
        <v>219</v>
      </c>
      <c r="H224" s="191" t="s">
        <v>221</v>
      </c>
      <c r="I224" s="193">
        <v>0.625</v>
      </c>
      <c r="J224" s="193">
        <v>0.875</v>
      </c>
      <c r="K224" s="194">
        <f t="shared" si="37"/>
        <v>6.083333333333333</v>
      </c>
    </row>
    <row r="225" spans="1:11" x14ac:dyDescent="0.25">
      <c r="A225" s="111"/>
      <c r="B225" s="190" t="s">
        <v>217</v>
      </c>
      <c r="C225" s="191">
        <v>32</v>
      </c>
      <c r="D225" s="192">
        <v>44805</v>
      </c>
      <c r="E225" s="191" t="s">
        <v>218</v>
      </c>
      <c r="F225" s="118">
        <v>0.91460869565217406</v>
      </c>
      <c r="G225" s="191" t="s">
        <v>219</v>
      </c>
      <c r="H225" s="191" t="s">
        <v>221</v>
      </c>
      <c r="I225" s="193">
        <v>0.625</v>
      </c>
      <c r="J225" s="193">
        <v>0.875</v>
      </c>
      <c r="K225" s="194">
        <f t="shared" ref="K225:K229" si="38">(J225-I225)+K224</f>
        <v>6.333333333333333</v>
      </c>
    </row>
    <row r="226" spans="1:11" x14ac:dyDescent="0.25">
      <c r="A226" s="111"/>
      <c r="B226" s="190" t="s">
        <v>217</v>
      </c>
      <c r="C226" s="191">
        <v>33</v>
      </c>
      <c r="D226" s="192">
        <v>44806</v>
      </c>
      <c r="E226" s="191" t="s">
        <v>218</v>
      </c>
      <c r="F226" s="118">
        <v>0.91460869565217406</v>
      </c>
      <c r="G226" s="191" t="s">
        <v>219</v>
      </c>
      <c r="H226" s="191" t="s">
        <v>221</v>
      </c>
      <c r="I226" s="193">
        <v>0.625</v>
      </c>
      <c r="J226" s="193">
        <v>0.875</v>
      </c>
      <c r="K226" s="194">
        <f t="shared" si="38"/>
        <v>6.583333333333333</v>
      </c>
    </row>
    <row r="227" spans="1:11" x14ac:dyDescent="0.25">
      <c r="A227" s="111"/>
      <c r="B227" s="190" t="s">
        <v>217</v>
      </c>
      <c r="C227" s="191">
        <v>34</v>
      </c>
      <c r="D227" s="192">
        <v>44810</v>
      </c>
      <c r="E227" s="191" t="s">
        <v>218</v>
      </c>
      <c r="F227" s="118">
        <v>0.91460869565217406</v>
      </c>
      <c r="G227" s="191" t="s">
        <v>219</v>
      </c>
      <c r="H227" s="191" t="s">
        <v>221</v>
      </c>
      <c r="I227" s="193">
        <v>0.625</v>
      </c>
      <c r="J227" s="193">
        <v>0.875</v>
      </c>
      <c r="K227" s="194">
        <f t="shared" si="38"/>
        <v>6.833333333333333</v>
      </c>
    </row>
    <row r="228" spans="1:11" x14ac:dyDescent="0.25">
      <c r="A228" s="111"/>
      <c r="B228" s="190" t="s">
        <v>217</v>
      </c>
      <c r="C228" s="191">
        <v>35</v>
      </c>
      <c r="D228" s="192">
        <v>44811</v>
      </c>
      <c r="E228" s="191" t="s">
        <v>218</v>
      </c>
      <c r="F228" s="118">
        <v>0.91460869565217406</v>
      </c>
      <c r="G228" s="191" t="s">
        <v>219</v>
      </c>
      <c r="H228" s="191" t="s">
        <v>221</v>
      </c>
      <c r="I228" s="193">
        <v>0.625</v>
      </c>
      <c r="J228" s="193">
        <v>0.875</v>
      </c>
      <c r="K228" s="194">
        <f t="shared" si="38"/>
        <v>7.083333333333333</v>
      </c>
    </row>
    <row r="229" spans="1:11" x14ac:dyDescent="0.25">
      <c r="A229" s="111"/>
      <c r="B229" s="190" t="s">
        <v>217</v>
      </c>
      <c r="C229" s="191">
        <v>36</v>
      </c>
      <c r="D229" s="192">
        <v>44812</v>
      </c>
      <c r="E229" s="191" t="s">
        <v>218</v>
      </c>
      <c r="F229" s="118">
        <v>0.91460869565217406</v>
      </c>
      <c r="G229" s="191" t="s">
        <v>219</v>
      </c>
      <c r="H229" s="191" t="s">
        <v>221</v>
      </c>
      <c r="I229" s="193">
        <v>0.625</v>
      </c>
      <c r="J229" s="193">
        <v>0.875</v>
      </c>
      <c r="K229" s="194">
        <f t="shared" si="38"/>
        <v>7.333333333333333</v>
      </c>
    </row>
    <row r="230" spans="1:11" x14ac:dyDescent="0.25">
      <c r="A230" s="111"/>
      <c r="B230" s="190" t="s">
        <v>217</v>
      </c>
      <c r="C230" s="191">
        <v>37</v>
      </c>
      <c r="D230" s="192">
        <v>44840</v>
      </c>
      <c r="E230" s="191" t="s">
        <v>218</v>
      </c>
      <c r="F230" s="118">
        <v>0.90960869565217406</v>
      </c>
      <c r="G230" s="191" t="s">
        <v>219</v>
      </c>
      <c r="H230" s="191" t="s">
        <v>221</v>
      </c>
      <c r="I230" s="193">
        <v>0.625</v>
      </c>
      <c r="J230" s="193">
        <v>0.875</v>
      </c>
      <c r="K230" s="194">
        <f t="shared" ref="K230:K236" si="39">(J230-I230)+K229</f>
        <v>7.583333333333333</v>
      </c>
    </row>
    <row r="231" spans="1:11" x14ac:dyDescent="0.25">
      <c r="A231" s="111"/>
      <c r="B231" s="190" t="s">
        <v>217</v>
      </c>
      <c r="C231" s="191">
        <v>38</v>
      </c>
      <c r="D231" s="192">
        <v>44853</v>
      </c>
      <c r="E231" s="191" t="s">
        <v>218</v>
      </c>
      <c r="F231" s="118">
        <v>0.90960869565217406</v>
      </c>
      <c r="G231" s="191" t="s">
        <v>219</v>
      </c>
      <c r="H231" s="191" t="s">
        <v>221</v>
      </c>
      <c r="I231" s="193">
        <v>0.625</v>
      </c>
      <c r="J231" s="193">
        <v>0.875</v>
      </c>
      <c r="K231" s="194">
        <f t="shared" si="39"/>
        <v>7.833333333333333</v>
      </c>
    </row>
    <row r="232" spans="1:11" s="67" customFormat="1" x14ac:dyDescent="0.25">
      <c r="A232" s="202">
        <v>1</v>
      </c>
      <c r="B232" s="190" t="s">
        <v>217</v>
      </c>
      <c r="C232" s="191">
        <v>39</v>
      </c>
      <c r="D232" s="192">
        <v>44872</v>
      </c>
      <c r="E232" s="191" t="s">
        <v>218</v>
      </c>
      <c r="F232" s="289"/>
      <c r="G232" s="191" t="s">
        <v>219</v>
      </c>
      <c r="H232" s="191" t="s">
        <v>221</v>
      </c>
      <c r="I232" s="193">
        <v>0.625</v>
      </c>
      <c r="J232" s="193">
        <v>0.875</v>
      </c>
      <c r="K232" s="194">
        <f t="shared" si="39"/>
        <v>8.0833333333333321</v>
      </c>
    </row>
    <row r="233" spans="1:11" s="67" customFormat="1" x14ac:dyDescent="0.25">
      <c r="A233" s="202"/>
      <c r="B233" s="190" t="s">
        <v>217</v>
      </c>
      <c r="C233" s="191">
        <v>40</v>
      </c>
      <c r="D233" s="192">
        <v>44873</v>
      </c>
      <c r="E233" s="191" t="s">
        <v>218</v>
      </c>
      <c r="F233" s="289"/>
      <c r="G233" s="191" t="s">
        <v>219</v>
      </c>
      <c r="H233" s="191" t="s">
        <v>221</v>
      </c>
      <c r="I233" s="193">
        <v>0.625</v>
      </c>
      <c r="J233" s="193">
        <v>0.875</v>
      </c>
      <c r="K233" s="194">
        <f t="shared" si="39"/>
        <v>8.3333333333333321</v>
      </c>
    </row>
    <row r="234" spans="1:11" s="67" customFormat="1" x14ac:dyDescent="0.25">
      <c r="A234" s="202"/>
      <c r="B234" s="190" t="s">
        <v>217</v>
      </c>
      <c r="C234" s="191">
        <v>41</v>
      </c>
      <c r="D234" s="192">
        <v>44874</v>
      </c>
      <c r="E234" s="191" t="s">
        <v>218</v>
      </c>
      <c r="F234" s="289"/>
      <c r="G234" s="191" t="s">
        <v>219</v>
      </c>
      <c r="H234" s="191" t="s">
        <v>221</v>
      </c>
      <c r="I234" s="193">
        <v>0.66666666666666663</v>
      </c>
      <c r="J234" s="193">
        <v>0.875</v>
      </c>
      <c r="K234" s="194">
        <f t="shared" si="39"/>
        <v>8.5416666666666661</v>
      </c>
    </row>
    <row r="235" spans="1:11" s="67" customFormat="1" x14ac:dyDescent="0.25">
      <c r="A235" s="202"/>
      <c r="B235" s="190" t="s">
        <v>217</v>
      </c>
      <c r="C235" s="191">
        <v>42</v>
      </c>
      <c r="D235" s="192">
        <v>44875</v>
      </c>
      <c r="E235" s="191" t="s">
        <v>218</v>
      </c>
      <c r="F235" s="289"/>
      <c r="G235" s="191" t="s">
        <v>219</v>
      </c>
      <c r="H235" s="191" t="s">
        <v>221</v>
      </c>
      <c r="I235" s="193">
        <v>0.625</v>
      </c>
      <c r="J235" s="193">
        <v>0.875</v>
      </c>
      <c r="K235" s="194">
        <f t="shared" si="39"/>
        <v>8.7916666666666661</v>
      </c>
    </row>
    <row r="236" spans="1:11" s="67" customFormat="1" x14ac:dyDescent="0.25">
      <c r="A236" s="202"/>
      <c r="B236" s="190" t="s">
        <v>217</v>
      </c>
      <c r="C236" s="191">
        <v>43</v>
      </c>
      <c r="D236" s="192">
        <v>44879</v>
      </c>
      <c r="E236" s="191" t="s">
        <v>218</v>
      </c>
      <c r="F236" s="289"/>
      <c r="G236" s="191" t="s">
        <v>219</v>
      </c>
      <c r="H236" s="191" t="s">
        <v>221</v>
      </c>
      <c r="I236" s="193">
        <v>0.625</v>
      </c>
      <c r="J236" s="193">
        <v>0.875</v>
      </c>
      <c r="K236" s="194">
        <f t="shared" si="39"/>
        <v>9.0416666666666661</v>
      </c>
    </row>
    <row r="237" spans="1:11" s="67" customFormat="1" x14ac:dyDescent="0.25">
      <c r="A237" s="202">
        <v>1</v>
      </c>
      <c r="B237" s="190" t="s">
        <v>217</v>
      </c>
      <c r="C237" s="191">
        <v>44</v>
      </c>
      <c r="D237" s="213">
        <v>44896</v>
      </c>
      <c r="E237" s="191" t="s">
        <v>218</v>
      </c>
      <c r="F237" s="289"/>
      <c r="G237" s="191" t="s">
        <v>219</v>
      </c>
      <c r="H237" s="191" t="s">
        <v>221</v>
      </c>
      <c r="I237" s="193">
        <v>0.625</v>
      </c>
      <c r="J237" s="193">
        <v>0.875</v>
      </c>
      <c r="K237" s="194">
        <f t="shared" ref="K237:K241" si="40">(J237-I237)+K236</f>
        <v>9.2916666666666661</v>
      </c>
    </row>
    <row r="238" spans="1:11" s="67" customFormat="1" x14ac:dyDescent="0.25">
      <c r="A238" s="202"/>
      <c r="B238" s="190" t="s">
        <v>217</v>
      </c>
      <c r="C238" s="191">
        <v>45</v>
      </c>
      <c r="D238" s="213">
        <v>44897</v>
      </c>
      <c r="E238" s="191" t="s">
        <v>218</v>
      </c>
      <c r="F238" s="289"/>
      <c r="G238" s="191" t="s">
        <v>219</v>
      </c>
      <c r="H238" s="191" t="s">
        <v>221</v>
      </c>
      <c r="I238" s="193">
        <v>0.625</v>
      </c>
      <c r="J238" s="193">
        <v>0.875</v>
      </c>
      <c r="K238" s="194">
        <f t="shared" si="40"/>
        <v>9.5416666666666661</v>
      </c>
    </row>
    <row r="239" spans="1:11" s="67" customFormat="1" x14ac:dyDescent="0.25">
      <c r="A239" s="202"/>
      <c r="B239" s="190" t="s">
        <v>217</v>
      </c>
      <c r="C239" s="191">
        <v>46</v>
      </c>
      <c r="D239" s="213">
        <v>44900</v>
      </c>
      <c r="E239" s="191" t="s">
        <v>218</v>
      </c>
      <c r="F239" s="289"/>
      <c r="G239" s="191" t="s">
        <v>219</v>
      </c>
      <c r="H239" s="191" t="s">
        <v>221</v>
      </c>
      <c r="I239" s="193">
        <v>0.625</v>
      </c>
      <c r="J239" s="193">
        <v>0.875</v>
      </c>
      <c r="K239" s="194">
        <f t="shared" si="40"/>
        <v>9.7916666666666661</v>
      </c>
    </row>
    <row r="240" spans="1:11" s="67" customFormat="1" x14ac:dyDescent="0.25">
      <c r="A240" s="202"/>
      <c r="B240" s="190" t="s">
        <v>217</v>
      </c>
      <c r="C240" s="191">
        <v>47</v>
      </c>
      <c r="D240" s="213">
        <v>44901</v>
      </c>
      <c r="E240" s="191" t="s">
        <v>218</v>
      </c>
      <c r="F240" s="289"/>
      <c r="G240" s="191" t="s">
        <v>219</v>
      </c>
      <c r="H240" s="191" t="s">
        <v>221</v>
      </c>
      <c r="I240" s="193">
        <v>0.625</v>
      </c>
      <c r="J240" s="193">
        <v>0.875</v>
      </c>
      <c r="K240" s="194">
        <f t="shared" si="40"/>
        <v>10.041666666666666</v>
      </c>
    </row>
    <row r="241" spans="1:11" s="67" customFormat="1" x14ac:dyDescent="0.25">
      <c r="A241" s="202"/>
      <c r="B241" s="190" t="s">
        <v>217</v>
      </c>
      <c r="C241" s="191">
        <v>48</v>
      </c>
      <c r="D241" s="213">
        <v>44902</v>
      </c>
      <c r="E241" s="191" t="s">
        <v>218</v>
      </c>
      <c r="F241" s="289"/>
      <c r="G241" s="191" t="s">
        <v>219</v>
      </c>
      <c r="H241" s="191" t="s">
        <v>221</v>
      </c>
      <c r="I241" s="193">
        <v>0.625</v>
      </c>
      <c r="J241" s="193">
        <v>0.875</v>
      </c>
      <c r="K241" s="194">
        <f t="shared" si="40"/>
        <v>10.291666666666666</v>
      </c>
    </row>
    <row r="242" spans="1:11" x14ac:dyDescent="0.25">
      <c r="A242" s="111"/>
      <c r="B242" s="190"/>
      <c r="C242" s="191"/>
      <c r="D242" s="192"/>
      <c r="E242" s="191"/>
      <c r="F242" s="118"/>
      <c r="G242" s="191"/>
      <c r="H242" s="191"/>
      <c r="I242" s="193"/>
      <c r="J242" s="193"/>
      <c r="K242" s="194"/>
    </row>
    <row r="243" spans="1:11" x14ac:dyDescent="0.25">
      <c r="A243" s="111"/>
      <c r="B243" s="190" t="s">
        <v>217</v>
      </c>
      <c r="C243" s="191">
        <v>1</v>
      </c>
      <c r="D243" s="192">
        <v>44706</v>
      </c>
      <c r="E243" s="191" t="s">
        <v>218</v>
      </c>
      <c r="F243" s="118">
        <v>0.01</v>
      </c>
      <c r="G243" s="191" t="s">
        <v>219</v>
      </c>
      <c r="H243" s="191" t="s">
        <v>300</v>
      </c>
      <c r="I243" s="193">
        <v>0.625</v>
      </c>
      <c r="J243" s="193">
        <v>0.875</v>
      </c>
      <c r="K243" s="194">
        <f t="shared" ref="K243:K250" si="41">(J243-I243)+K242</f>
        <v>0.25</v>
      </c>
    </row>
    <row r="244" spans="1:11" x14ac:dyDescent="0.25">
      <c r="A244" s="111"/>
      <c r="B244" s="190" t="s">
        <v>217</v>
      </c>
      <c r="C244" s="191">
        <v>2</v>
      </c>
      <c r="D244" s="192">
        <v>44707</v>
      </c>
      <c r="E244" s="191" t="s">
        <v>218</v>
      </c>
      <c r="F244" s="118">
        <v>0.01</v>
      </c>
      <c r="G244" s="191" t="s">
        <v>219</v>
      </c>
      <c r="H244" s="191" t="s">
        <v>300</v>
      </c>
      <c r="I244" s="193">
        <v>0.79166666666666663</v>
      </c>
      <c r="J244" s="193">
        <v>0.875</v>
      </c>
      <c r="K244" s="194">
        <f t="shared" si="41"/>
        <v>0.33333333333333337</v>
      </c>
    </row>
    <row r="245" spans="1:11" x14ac:dyDescent="0.25">
      <c r="A245" s="111"/>
      <c r="B245" s="190" t="s">
        <v>217</v>
      </c>
      <c r="C245" s="191">
        <v>3</v>
      </c>
      <c r="D245" s="192">
        <v>44712</v>
      </c>
      <c r="E245" s="191" t="s">
        <v>218</v>
      </c>
      <c r="F245" s="118">
        <v>0.01</v>
      </c>
      <c r="G245" s="191" t="s">
        <v>219</v>
      </c>
      <c r="H245" s="191" t="s">
        <v>300</v>
      </c>
      <c r="I245" s="193">
        <v>0.75</v>
      </c>
      <c r="J245" s="193">
        <v>0.875</v>
      </c>
      <c r="K245" s="194">
        <f t="shared" si="41"/>
        <v>0.45833333333333337</v>
      </c>
    </row>
    <row r="246" spans="1:11" s="67" customFormat="1" x14ac:dyDescent="0.25">
      <c r="A246" s="202"/>
      <c r="B246" s="190" t="s">
        <v>217</v>
      </c>
      <c r="C246" s="191">
        <v>4</v>
      </c>
      <c r="D246" s="192">
        <v>44720</v>
      </c>
      <c r="E246" s="191" t="s">
        <v>218</v>
      </c>
      <c r="F246" s="118">
        <v>4.8999999999999988E-2</v>
      </c>
      <c r="G246" s="191" t="s">
        <v>219</v>
      </c>
      <c r="H246" s="191" t="s">
        <v>300</v>
      </c>
      <c r="I246" s="193">
        <v>0.625</v>
      </c>
      <c r="J246" s="193">
        <v>0.875</v>
      </c>
      <c r="K246" s="194">
        <f t="shared" si="41"/>
        <v>0.70833333333333337</v>
      </c>
    </row>
    <row r="247" spans="1:11" s="67" customFormat="1" x14ac:dyDescent="0.25">
      <c r="A247" s="202"/>
      <c r="B247" s="190" t="s">
        <v>217</v>
      </c>
      <c r="C247" s="191">
        <v>5</v>
      </c>
      <c r="D247" s="192">
        <v>44721</v>
      </c>
      <c r="E247" s="191" t="s">
        <v>218</v>
      </c>
      <c r="F247" s="118">
        <v>4.8999999999999988E-2</v>
      </c>
      <c r="G247" s="191" t="s">
        <v>219</v>
      </c>
      <c r="H247" s="191" t="s">
        <v>300</v>
      </c>
      <c r="I247" s="193">
        <v>0.625</v>
      </c>
      <c r="J247" s="193">
        <v>0.875</v>
      </c>
      <c r="K247" s="194">
        <f t="shared" si="41"/>
        <v>0.95833333333333337</v>
      </c>
    </row>
    <row r="248" spans="1:11" s="67" customFormat="1" x14ac:dyDescent="0.25">
      <c r="A248" s="202"/>
      <c r="B248" s="190" t="s">
        <v>217</v>
      </c>
      <c r="C248" s="191">
        <v>6</v>
      </c>
      <c r="D248" s="192">
        <v>44722</v>
      </c>
      <c r="E248" s="191" t="s">
        <v>218</v>
      </c>
      <c r="F248" s="118">
        <v>4.8999999999999988E-2</v>
      </c>
      <c r="G248" s="191" t="s">
        <v>219</v>
      </c>
      <c r="H248" s="191" t="s">
        <v>300</v>
      </c>
      <c r="I248" s="193">
        <v>0.625</v>
      </c>
      <c r="J248" s="193">
        <v>0.875</v>
      </c>
      <c r="K248" s="194">
        <f t="shared" si="41"/>
        <v>1.2083333333333335</v>
      </c>
    </row>
    <row r="249" spans="1:11" s="67" customFormat="1" x14ac:dyDescent="0.25">
      <c r="A249" s="202"/>
      <c r="B249" s="190" t="s">
        <v>217</v>
      </c>
      <c r="C249" s="191">
        <v>7</v>
      </c>
      <c r="D249" s="192">
        <v>44735</v>
      </c>
      <c r="E249" s="191" t="s">
        <v>218</v>
      </c>
      <c r="F249" s="118">
        <v>4.8999999999999988E-2</v>
      </c>
      <c r="G249" s="191" t="s">
        <v>219</v>
      </c>
      <c r="H249" s="191" t="s">
        <v>300</v>
      </c>
      <c r="I249" s="193">
        <v>0.66666666666666663</v>
      </c>
      <c r="J249" s="193">
        <v>0.875</v>
      </c>
      <c r="K249" s="194">
        <f t="shared" si="41"/>
        <v>1.416666666666667</v>
      </c>
    </row>
    <row r="250" spans="1:11" s="67" customFormat="1" x14ac:dyDescent="0.25">
      <c r="A250" s="202"/>
      <c r="B250" s="190" t="s">
        <v>217</v>
      </c>
      <c r="C250" s="191">
        <v>8</v>
      </c>
      <c r="D250" s="192">
        <v>44739</v>
      </c>
      <c r="E250" s="191" t="s">
        <v>218</v>
      </c>
      <c r="F250" s="118">
        <v>4.8999999999999988E-2</v>
      </c>
      <c r="G250" s="191" t="s">
        <v>219</v>
      </c>
      <c r="H250" s="191" t="s">
        <v>300</v>
      </c>
      <c r="I250" s="193">
        <v>0.625</v>
      </c>
      <c r="J250" s="193">
        <v>0.875</v>
      </c>
      <c r="K250" s="194">
        <f t="shared" si="41"/>
        <v>1.666666666666667</v>
      </c>
    </row>
    <row r="251" spans="1:11" s="67" customFormat="1" x14ac:dyDescent="0.25">
      <c r="A251" s="202"/>
      <c r="B251" s="190" t="s">
        <v>217</v>
      </c>
      <c r="C251" s="191">
        <v>9</v>
      </c>
      <c r="D251" s="192">
        <v>44753</v>
      </c>
      <c r="E251" s="191" t="s">
        <v>218</v>
      </c>
      <c r="F251" s="118">
        <v>4.8999999999999995E-2</v>
      </c>
      <c r="G251" s="191" t="s">
        <v>219</v>
      </c>
      <c r="H251" s="191" t="s">
        <v>300</v>
      </c>
      <c r="I251" s="193">
        <v>0.625</v>
      </c>
      <c r="J251" s="193">
        <v>0.875</v>
      </c>
      <c r="K251" s="194">
        <f t="shared" ref="K251:K260" si="42">(J251-I251)+K250</f>
        <v>1.916666666666667</v>
      </c>
    </row>
    <row r="252" spans="1:11" s="67" customFormat="1" x14ac:dyDescent="0.25">
      <c r="A252" s="202"/>
      <c r="B252" s="190" t="s">
        <v>217</v>
      </c>
      <c r="C252" s="191">
        <v>10</v>
      </c>
      <c r="D252" s="192">
        <v>44756</v>
      </c>
      <c r="E252" s="191" t="s">
        <v>218</v>
      </c>
      <c r="F252" s="118">
        <v>4.8999999999999995E-2</v>
      </c>
      <c r="G252" s="191" t="s">
        <v>219</v>
      </c>
      <c r="H252" s="191" t="s">
        <v>300</v>
      </c>
      <c r="I252" s="193">
        <v>0.625</v>
      </c>
      <c r="J252" s="193">
        <v>0.875</v>
      </c>
      <c r="K252" s="194">
        <f t="shared" si="42"/>
        <v>2.166666666666667</v>
      </c>
    </row>
    <row r="253" spans="1:11" s="67" customFormat="1" x14ac:dyDescent="0.25">
      <c r="A253" s="202"/>
      <c r="B253" s="190" t="s">
        <v>217</v>
      </c>
      <c r="C253" s="191">
        <v>11</v>
      </c>
      <c r="D253" s="192">
        <v>44757</v>
      </c>
      <c r="E253" s="191" t="s">
        <v>218</v>
      </c>
      <c r="F253" s="118">
        <v>4.8999999999999995E-2</v>
      </c>
      <c r="G253" s="191" t="s">
        <v>219</v>
      </c>
      <c r="H253" s="191" t="s">
        <v>300</v>
      </c>
      <c r="I253" s="193">
        <v>0.625</v>
      </c>
      <c r="J253" s="193">
        <v>0.875</v>
      </c>
      <c r="K253" s="194">
        <f t="shared" si="42"/>
        <v>2.416666666666667</v>
      </c>
    </row>
    <row r="254" spans="1:11" s="67" customFormat="1" x14ac:dyDescent="0.25">
      <c r="A254" s="202"/>
      <c r="B254" s="190" t="s">
        <v>217</v>
      </c>
      <c r="C254" s="191">
        <v>12</v>
      </c>
      <c r="D254" s="192">
        <v>44760</v>
      </c>
      <c r="E254" s="191" t="s">
        <v>218</v>
      </c>
      <c r="F254" s="118">
        <v>4.8999999999999995E-2</v>
      </c>
      <c r="G254" s="191" t="s">
        <v>219</v>
      </c>
      <c r="H254" s="191" t="s">
        <v>300</v>
      </c>
      <c r="I254" s="193">
        <v>0.625</v>
      </c>
      <c r="J254" s="193">
        <v>0.875</v>
      </c>
      <c r="K254" s="194">
        <f t="shared" si="42"/>
        <v>2.666666666666667</v>
      </c>
    </row>
    <row r="255" spans="1:11" s="67" customFormat="1" x14ac:dyDescent="0.25">
      <c r="A255" s="202"/>
      <c r="B255" s="190" t="s">
        <v>217</v>
      </c>
      <c r="C255" s="191">
        <v>13</v>
      </c>
      <c r="D255" s="192">
        <v>44761</v>
      </c>
      <c r="E255" s="191" t="s">
        <v>218</v>
      </c>
      <c r="F255" s="118">
        <v>4.8999999999999995E-2</v>
      </c>
      <c r="G255" s="191" t="s">
        <v>219</v>
      </c>
      <c r="H255" s="191" t="s">
        <v>300</v>
      </c>
      <c r="I255" s="193">
        <v>0.625</v>
      </c>
      <c r="J255" s="193">
        <v>0.875</v>
      </c>
      <c r="K255" s="194">
        <f t="shared" si="42"/>
        <v>2.916666666666667</v>
      </c>
    </row>
    <row r="256" spans="1:11" x14ac:dyDescent="0.25">
      <c r="A256" s="111">
        <v>1</v>
      </c>
      <c r="B256" s="190" t="s">
        <v>217</v>
      </c>
      <c r="C256" s="191">
        <v>14</v>
      </c>
      <c r="D256" s="192">
        <v>44774</v>
      </c>
      <c r="E256" s="191" t="s">
        <v>218</v>
      </c>
      <c r="F256" s="118">
        <v>3.8999999999999993E-2</v>
      </c>
      <c r="G256" s="191" t="s">
        <v>219</v>
      </c>
      <c r="H256" s="191" t="s">
        <v>300</v>
      </c>
      <c r="I256" s="193">
        <v>0.79166666666666663</v>
      </c>
      <c r="J256" s="193">
        <v>0.83333333333333337</v>
      </c>
      <c r="K256" s="194">
        <f t="shared" si="42"/>
        <v>2.9583333333333339</v>
      </c>
    </row>
    <row r="257" spans="1:11" x14ac:dyDescent="0.25">
      <c r="A257" s="111"/>
      <c r="B257" s="190" t="s">
        <v>217</v>
      </c>
      <c r="C257" s="191">
        <v>15</v>
      </c>
      <c r="D257" s="192">
        <v>44776</v>
      </c>
      <c r="E257" s="191" t="s">
        <v>218</v>
      </c>
      <c r="F257" s="118">
        <v>3.8999999999999993E-2</v>
      </c>
      <c r="G257" s="191" t="s">
        <v>219</v>
      </c>
      <c r="H257" s="191" t="s">
        <v>300</v>
      </c>
      <c r="I257" s="193">
        <v>0.79166666666666663</v>
      </c>
      <c r="J257" s="193">
        <v>0.83333333333333337</v>
      </c>
      <c r="K257" s="194">
        <f t="shared" si="42"/>
        <v>3.0000000000000009</v>
      </c>
    </row>
    <row r="258" spans="1:11" x14ac:dyDescent="0.25">
      <c r="A258" s="111"/>
      <c r="B258" s="190" t="s">
        <v>217</v>
      </c>
      <c r="C258" s="191">
        <v>16</v>
      </c>
      <c r="D258" s="192">
        <v>44777</v>
      </c>
      <c r="E258" s="191" t="s">
        <v>218</v>
      </c>
      <c r="F258" s="118">
        <v>3.8999999999999993E-2</v>
      </c>
      <c r="G258" s="191" t="s">
        <v>219</v>
      </c>
      <c r="H258" s="191" t="s">
        <v>300</v>
      </c>
      <c r="I258" s="193">
        <v>0.75</v>
      </c>
      <c r="J258" s="193">
        <v>0.83333333333333337</v>
      </c>
      <c r="K258" s="194">
        <f t="shared" si="42"/>
        <v>3.0833333333333344</v>
      </c>
    </row>
    <row r="259" spans="1:11" x14ac:dyDescent="0.25">
      <c r="A259" s="111"/>
      <c r="B259" s="190" t="s">
        <v>217</v>
      </c>
      <c r="C259" s="191">
        <v>17</v>
      </c>
      <c r="D259" s="192">
        <v>44778</v>
      </c>
      <c r="E259" s="191" t="s">
        <v>218</v>
      </c>
      <c r="F259" s="118">
        <v>3.8999999999999993E-2</v>
      </c>
      <c r="G259" s="191" t="s">
        <v>219</v>
      </c>
      <c r="H259" s="191" t="s">
        <v>300</v>
      </c>
      <c r="I259" s="193">
        <v>0.75</v>
      </c>
      <c r="J259" s="193">
        <v>0.83333333333333337</v>
      </c>
      <c r="K259" s="194">
        <f t="shared" si="42"/>
        <v>3.1666666666666679</v>
      </c>
    </row>
    <row r="260" spans="1:11" x14ac:dyDescent="0.25">
      <c r="A260" s="111"/>
      <c r="B260" s="190" t="s">
        <v>217</v>
      </c>
      <c r="C260" s="191">
        <v>18</v>
      </c>
      <c r="D260" s="192">
        <v>44781</v>
      </c>
      <c r="E260" s="191" t="s">
        <v>218</v>
      </c>
      <c r="F260" s="118">
        <v>3.8999999999999993E-2</v>
      </c>
      <c r="G260" s="191" t="s">
        <v>219</v>
      </c>
      <c r="H260" s="191" t="s">
        <v>300</v>
      </c>
      <c r="I260" s="193">
        <v>0.70833333333333337</v>
      </c>
      <c r="J260" s="193">
        <v>0.875</v>
      </c>
      <c r="K260" s="194">
        <f t="shared" si="42"/>
        <v>3.3333333333333344</v>
      </c>
    </row>
    <row r="261" spans="1:11" x14ac:dyDescent="0.25">
      <c r="A261" s="111">
        <v>1</v>
      </c>
      <c r="B261" s="190" t="s">
        <v>217</v>
      </c>
      <c r="C261" s="191">
        <v>19</v>
      </c>
      <c r="D261" s="192">
        <v>44805</v>
      </c>
      <c r="E261" s="191" t="s">
        <v>218</v>
      </c>
      <c r="F261" s="118">
        <v>3.8999999999999993E-2</v>
      </c>
      <c r="G261" s="191" t="s">
        <v>219</v>
      </c>
      <c r="H261" s="191" t="s">
        <v>300</v>
      </c>
      <c r="I261" s="193">
        <v>0.625</v>
      </c>
      <c r="J261" s="193">
        <v>0.875</v>
      </c>
      <c r="K261" s="194">
        <f t="shared" ref="K261:K265" si="43">(J261-I261)+K260</f>
        <v>3.5833333333333344</v>
      </c>
    </row>
    <row r="262" spans="1:11" x14ac:dyDescent="0.25">
      <c r="A262" s="111"/>
      <c r="B262" s="190" t="s">
        <v>217</v>
      </c>
      <c r="C262" s="191">
        <v>20</v>
      </c>
      <c r="D262" s="192">
        <v>44806</v>
      </c>
      <c r="E262" s="191" t="s">
        <v>218</v>
      </c>
      <c r="F262" s="118">
        <v>3.8999999999999993E-2</v>
      </c>
      <c r="G262" s="191" t="s">
        <v>219</v>
      </c>
      <c r="H262" s="191" t="s">
        <v>300</v>
      </c>
      <c r="I262" s="193">
        <v>0.625</v>
      </c>
      <c r="J262" s="193">
        <v>0.875</v>
      </c>
      <c r="K262" s="194">
        <f t="shared" si="43"/>
        <v>3.8333333333333344</v>
      </c>
    </row>
    <row r="263" spans="1:11" x14ac:dyDescent="0.25">
      <c r="A263" s="111"/>
      <c r="B263" s="190" t="s">
        <v>217</v>
      </c>
      <c r="C263" s="191">
        <v>21</v>
      </c>
      <c r="D263" s="192">
        <v>44810</v>
      </c>
      <c r="E263" s="191" t="s">
        <v>218</v>
      </c>
      <c r="F263" s="118">
        <v>3.8999999999999993E-2</v>
      </c>
      <c r="G263" s="191" t="s">
        <v>219</v>
      </c>
      <c r="H263" s="191" t="s">
        <v>300</v>
      </c>
      <c r="I263" s="193">
        <v>0.625</v>
      </c>
      <c r="J263" s="193">
        <v>0.875</v>
      </c>
      <c r="K263" s="194">
        <f t="shared" si="43"/>
        <v>4.0833333333333339</v>
      </c>
    </row>
    <row r="264" spans="1:11" x14ac:dyDescent="0.25">
      <c r="A264" s="111"/>
      <c r="B264" s="190" t="s">
        <v>217</v>
      </c>
      <c r="C264" s="191">
        <v>22</v>
      </c>
      <c r="D264" s="192">
        <v>44811</v>
      </c>
      <c r="E264" s="191" t="s">
        <v>218</v>
      </c>
      <c r="F264" s="118">
        <v>3.8999999999999993E-2</v>
      </c>
      <c r="G264" s="191" t="s">
        <v>219</v>
      </c>
      <c r="H264" s="191" t="s">
        <v>300</v>
      </c>
      <c r="I264" s="193">
        <v>0.625</v>
      </c>
      <c r="J264" s="193">
        <v>0.875</v>
      </c>
      <c r="K264" s="194">
        <f t="shared" si="43"/>
        <v>4.3333333333333339</v>
      </c>
    </row>
    <row r="265" spans="1:11" x14ac:dyDescent="0.25">
      <c r="A265" s="111"/>
      <c r="B265" s="190" t="s">
        <v>217</v>
      </c>
      <c r="C265" s="191">
        <v>23</v>
      </c>
      <c r="D265" s="192">
        <v>44812</v>
      </c>
      <c r="E265" s="191" t="s">
        <v>218</v>
      </c>
      <c r="F265" s="118">
        <v>3.8999999999999993E-2</v>
      </c>
      <c r="G265" s="191" t="s">
        <v>219</v>
      </c>
      <c r="H265" s="191" t="s">
        <v>300</v>
      </c>
      <c r="I265" s="193">
        <v>0.625</v>
      </c>
      <c r="J265" s="193">
        <v>0.875</v>
      </c>
      <c r="K265" s="194">
        <f t="shared" si="43"/>
        <v>4.5833333333333339</v>
      </c>
    </row>
    <row r="266" spans="1:11" x14ac:dyDescent="0.25">
      <c r="A266" s="111"/>
      <c r="B266" s="190" t="s">
        <v>217</v>
      </c>
      <c r="C266" s="191">
        <v>24</v>
      </c>
      <c r="D266" s="192">
        <v>44853</v>
      </c>
      <c r="E266" s="191" t="s">
        <v>218</v>
      </c>
      <c r="F266" s="118">
        <v>3.8999999999999993E-2</v>
      </c>
      <c r="G266" s="191" t="s">
        <v>219</v>
      </c>
      <c r="H266" s="191" t="s">
        <v>300</v>
      </c>
      <c r="I266" s="193">
        <v>0.625</v>
      </c>
      <c r="J266" s="193">
        <v>0.875</v>
      </c>
      <c r="K266" s="194">
        <f t="shared" ref="K266" si="44">(J266-I266)+K265</f>
        <v>4.8333333333333339</v>
      </c>
    </row>
    <row r="267" spans="1:11" s="67" customFormat="1" x14ac:dyDescent="0.25">
      <c r="A267" s="202"/>
      <c r="B267" s="190"/>
      <c r="C267" s="191"/>
      <c r="D267" s="192"/>
      <c r="E267" s="191"/>
      <c r="F267" s="118"/>
      <c r="G267" s="191"/>
      <c r="H267" s="191"/>
      <c r="I267" s="193"/>
      <c r="J267" s="193"/>
      <c r="K267" s="194"/>
    </row>
    <row r="268" spans="1:11" x14ac:dyDescent="0.25">
      <c r="A268" s="111">
        <v>1</v>
      </c>
      <c r="B268" s="190" t="s">
        <v>217</v>
      </c>
      <c r="C268" s="191">
        <v>1</v>
      </c>
      <c r="D268" s="192">
        <v>44621</v>
      </c>
      <c r="E268" s="191" t="s">
        <v>218</v>
      </c>
      <c r="F268" s="289"/>
      <c r="G268" s="191" t="s">
        <v>219</v>
      </c>
      <c r="H268" s="191" t="s">
        <v>271</v>
      </c>
      <c r="I268" s="193">
        <v>0.70833333333333337</v>
      </c>
      <c r="J268" s="193">
        <v>0.79166666666666663</v>
      </c>
      <c r="K268" s="194">
        <f>(J268-I268)+K242</f>
        <v>8.3333333333333259E-2</v>
      </c>
    </row>
    <row r="269" spans="1:11" x14ac:dyDescent="0.25">
      <c r="A269" s="111"/>
      <c r="B269" s="190" t="s">
        <v>217</v>
      </c>
      <c r="C269" s="191">
        <v>2</v>
      </c>
      <c r="D269" s="192">
        <v>44622</v>
      </c>
      <c r="E269" s="191" t="s">
        <v>218</v>
      </c>
      <c r="F269" s="289"/>
      <c r="G269" s="191" t="s">
        <v>219</v>
      </c>
      <c r="H269" s="191" t="s">
        <v>271</v>
      </c>
      <c r="I269" s="193">
        <v>0.75</v>
      </c>
      <c r="J269" s="193">
        <v>0.79166666666666663</v>
      </c>
      <c r="K269" s="194">
        <f t="shared" ref="K269:K272" si="45">(J269-I269)+K268</f>
        <v>0.12499999999999989</v>
      </c>
    </row>
    <row r="270" spans="1:11" x14ac:dyDescent="0.25">
      <c r="A270" s="111"/>
      <c r="B270" s="190" t="s">
        <v>217</v>
      </c>
      <c r="C270" s="191">
        <v>3</v>
      </c>
      <c r="D270" s="192">
        <v>44627</v>
      </c>
      <c r="E270" s="191" t="s">
        <v>218</v>
      </c>
      <c r="F270" s="289"/>
      <c r="G270" s="191" t="s">
        <v>219</v>
      </c>
      <c r="H270" s="191" t="s">
        <v>271</v>
      </c>
      <c r="I270" s="193">
        <v>0.75</v>
      </c>
      <c r="J270" s="193">
        <v>0.83333333333333337</v>
      </c>
      <c r="K270" s="194">
        <f t="shared" si="45"/>
        <v>0.20833333333333326</v>
      </c>
    </row>
    <row r="271" spans="1:11" x14ac:dyDescent="0.25">
      <c r="A271" s="111"/>
      <c r="B271" s="190" t="s">
        <v>217</v>
      </c>
      <c r="C271" s="191">
        <v>4</v>
      </c>
      <c r="D271" s="192">
        <v>44628</v>
      </c>
      <c r="E271" s="191" t="s">
        <v>218</v>
      </c>
      <c r="F271" s="289"/>
      <c r="G271" s="191" t="s">
        <v>219</v>
      </c>
      <c r="H271" s="191" t="s">
        <v>271</v>
      </c>
      <c r="I271" s="193">
        <v>0.75</v>
      </c>
      <c r="J271" s="193">
        <v>0.79166666666666663</v>
      </c>
      <c r="K271" s="194">
        <f t="shared" si="45"/>
        <v>0.24999999999999989</v>
      </c>
    </row>
    <row r="272" spans="1:11" x14ac:dyDescent="0.25">
      <c r="A272" s="111"/>
      <c r="B272" s="190" t="s">
        <v>217</v>
      </c>
      <c r="C272" s="191">
        <v>5</v>
      </c>
      <c r="D272" s="192">
        <v>44631</v>
      </c>
      <c r="E272" s="191" t="s">
        <v>218</v>
      </c>
      <c r="F272" s="289"/>
      <c r="G272" s="191" t="s">
        <v>219</v>
      </c>
      <c r="H272" s="191" t="s">
        <v>271</v>
      </c>
      <c r="I272" s="193">
        <v>0.75</v>
      </c>
      <c r="J272" s="193">
        <v>0.79166666666666663</v>
      </c>
      <c r="K272" s="194">
        <f t="shared" si="45"/>
        <v>0.29166666666666652</v>
      </c>
    </row>
    <row r="273" spans="1:11" x14ac:dyDescent="0.25">
      <c r="A273" s="111"/>
      <c r="B273" s="190" t="s">
        <v>217</v>
      </c>
      <c r="C273" s="191">
        <v>6</v>
      </c>
      <c r="D273" s="192">
        <v>44657</v>
      </c>
      <c r="E273" s="191" t="s">
        <v>218</v>
      </c>
      <c r="F273" s="289"/>
      <c r="G273" s="191" t="s">
        <v>219</v>
      </c>
      <c r="H273" s="191" t="s">
        <v>271</v>
      </c>
      <c r="I273" s="193">
        <v>0.75</v>
      </c>
      <c r="J273" s="193">
        <v>0.875</v>
      </c>
      <c r="K273" s="194">
        <f t="shared" ref="K273:K276" si="46">(J273-I273)+K272</f>
        <v>0.41666666666666652</v>
      </c>
    </row>
    <row r="274" spans="1:11" x14ac:dyDescent="0.25">
      <c r="A274" s="111"/>
      <c r="B274" s="190" t="s">
        <v>217</v>
      </c>
      <c r="C274" s="191">
        <v>7</v>
      </c>
      <c r="D274" s="192">
        <v>44658</v>
      </c>
      <c r="E274" s="191" t="s">
        <v>218</v>
      </c>
      <c r="F274" s="289"/>
      <c r="G274" s="191" t="s">
        <v>219</v>
      </c>
      <c r="H274" s="191" t="s">
        <v>271</v>
      </c>
      <c r="I274" s="193">
        <v>0.70833333333333337</v>
      </c>
      <c r="J274" s="193">
        <v>0.875</v>
      </c>
      <c r="K274" s="194">
        <f t="shared" si="46"/>
        <v>0.58333333333333315</v>
      </c>
    </row>
    <row r="275" spans="1:11" x14ac:dyDescent="0.25">
      <c r="A275" s="111"/>
      <c r="B275" s="190" t="s">
        <v>217</v>
      </c>
      <c r="C275" s="191">
        <v>8</v>
      </c>
      <c r="D275" s="192">
        <v>44659</v>
      </c>
      <c r="E275" s="191" t="s">
        <v>218</v>
      </c>
      <c r="F275" s="289"/>
      <c r="G275" s="191" t="s">
        <v>219</v>
      </c>
      <c r="H275" s="191" t="s">
        <v>271</v>
      </c>
      <c r="I275" s="193">
        <v>0.75</v>
      </c>
      <c r="J275" s="193">
        <v>0.875</v>
      </c>
      <c r="K275" s="194">
        <f t="shared" si="46"/>
        <v>0.70833333333333315</v>
      </c>
    </row>
    <row r="276" spans="1:11" x14ac:dyDescent="0.25">
      <c r="A276" s="111"/>
      <c r="B276" s="190" t="s">
        <v>217</v>
      </c>
      <c r="C276" s="191">
        <v>9</v>
      </c>
      <c r="D276" s="192">
        <v>44662</v>
      </c>
      <c r="E276" s="191" t="s">
        <v>218</v>
      </c>
      <c r="F276" s="289"/>
      <c r="G276" s="191" t="s">
        <v>219</v>
      </c>
      <c r="H276" s="191" t="s">
        <v>271</v>
      </c>
      <c r="I276" s="193">
        <v>0.75</v>
      </c>
      <c r="J276" s="193">
        <v>0.875</v>
      </c>
      <c r="K276" s="194">
        <f t="shared" si="46"/>
        <v>0.83333333333333315</v>
      </c>
    </row>
    <row r="277" spans="1:11" x14ac:dyDescent="0.25">
      <c r="A277" s="111"/>
      <c r="B277" s="190" t="s">
        <v>217</v>
      </c>
      <c r="C277" s="191">
        <v>10</v>
      </c>
      <c r="D277" s="192">
        <v>44663</v>
      </c>
      <c r="E277" s="191" t="s">
        <v>218</v>
      </c>
      <c r="F277" s="289"/>
      <c r="G277" s="191" t="s">
        <v>219</v>
      </c>
      <c r="H277" s="191" t="s">
        <v>271</v>
      </c>
      <c r="I277" s="193">
        <v>0.75</v>
      </c>
      <c r="J277" s="193">
        <v>0.875</v>
      </c>
      <c r="K277" s="194">
        <f t="shared" ref="K277:K288" si="47">(J277-I277)+K276</f>
        <v>0.95833333333333315</v>
      </c>
    </row>
    <row r="278" spans="1:11" x14ac:dyDescent="0.25">
      <c r="A278" s="111"/>
      <c r="B278" s="190" t="s">
        <v>217</v>
      </c>
      <c r="C278" s="191">
        <v>11</v>
      </c>
      <c r="D278" s="192">
        <v>44683</v>
      </c>
      <c r="E278" s="191" t="s">
        <v>218</v>
      </c>
      <c r="F278" s="118">
        <v>0.55250000000000021</v>
      </c>
      <c r="G278" s="191" t="s">
        <v>219</v>
      </c>
      <c r="H278" s="191" t="s">
        <v>271</v>
      </c>
      <c r="I278" s="193">
        <v>0.75</v>
      </c>
      <c r="J278" s="193">
        <v>0.875</v>
      </c>
      <c r="K278" s="194">
        <f t="shared" si="47"/>
        <v>1.083333333333333</v>
      </c>
    </row>
    <row r="279" spans="1:11" x14ac:dyDescent="0.25">
      <c r="A279" s="111"/>
      <c r="B279" s="190" t="s">
        <v>217</v>
      </c>
      <c r="C279" s="191">
        <v>12</v>
      </c>
      <c r="D279" s="192">
        <v>44684</v>
      </c>
      <c r="E279" s="191" t="s">
        <v>218</v>
      </c>
      <c r="F279" s="118">
        <v>0.55250000000000021</v>
      </c>
      <c r="G279" s="191" t="s">
        <v>219</v>
      </c>
      <c r="H279" s="191" t="s">
        <v>271</v>
      </c>
      <c r="I279" s="193">
        <v>0.75</v>
      </c>
      <c r="J279" s="193">
        <v>0.875</v>
      </c>
      <c r="K279" s="194">
        <f t="shared" si="47"/>
        <v>1.208333333333333</v>
      </c>
    </row>
    <row r="280" spans="1:11" x14ac:dyDescent="0.25">
      <c r="A280" s="111"/>
      <c r="B280" s="190" t="s">
        <v>217</v>
      </c>
      <c r="C280" s="191">
        <v>13</v>
      </c>
      <c r="D280" s="192">
        <v>44685</v>
      </c>
      <c r="E280" s="191" t="s">
        <v>218</v>
      </c>
      <c r="F280" s="118">
        <v>0.55250000000000021</v>
      </c>
      <c r="G280" s="191" t="s">
        <v>219</v>
      </c>
      <c r="H280" s="191" t="s">
        <v>271</v>
      </c>
      <c r="I280" s="193">
        <v>0.70833333333333337</v>
      </c>
      <c r="J280" s="193">
        <v>0.875</v>
      </c>
      <c r="K280" s="194">
        <f t="shared" si="47"/>
        <v>1.3749999999999996</v>
      </c>
    </row>
    <row r="281" spans="1:11" x14ac:dyDescent="0.25">
      <c r="A281" s="111"/>
      <c r="B281" s="190" t="s">
        <v>217</v>
      </c>
      <c r="C281" s="191">
        <v>14</v>
      </c>
      <c r="D281" s="192">
        <v>44686</v>
      </c>
      <c r="E281" s="191" t="s">
        <v>218</v>
      </c>
      <c r="F281" s="118">
        <v>0.55250000000000021</v>
      </c>
      <c r="G281" s="191" t="s">
        <v>219</v>
      </c>
      <c r="H281" s="191" t="s">
        <v>271</v>
      </c>
      <c r="I281" s="193">
        <v>0.75</v>
      </c>
      <c r="J281" s="193">
        <v>0.875</v>
      </c>
      <c r="K281" s="194">
        <f t="shared" si="47"/>
        <v>1.4999999999999996</v>
      </c>
    </row>
    <row r="282" spans="1:11" x14ac:dyDescent="0.25">
      <c r="A282" s="111"/>
      <c r="B282" s="190" t="s">
        <v>217</v>
      </c>
      <c r="C282" s="191">
        <v>15</v>
      </c>
      <c r="D282" s="192">
        <v>44722</v>
      </c>
      <c r="E282" s="191" t="s">
        <v>218</v>
      </c>
      <c r="F282" s="118">
        <v>0.51021739130434796</v>
      </c>
      <c r="G282" s="191" t="s">
        <v>219</v>
      </c>
      <c r="H282" s="191" t="s">
        <v>271</v>
      </c>
      <c r="I282" s="193">
        <v>0.625</v>
      </c>
      <c r="J282" s="193">
        <v>0.875</v>
      </c>
      <c r="K282" s="194">
        <f t="shared" si="47"/>
        <v>1.7499999999999996</v>
      </c>
    </row>
    <row r="283" spans="1:11" x14ac:dyDescent="0.25">
      <c r="A283" s="111"/>
      <c r="B283" s="190" t="s">
        <v>217</v>
      </c>
      <c r="C283" s="191">
        <v>16</v>
      </c>
      <c r="D283" s="192">
        <v>44771</v>
      </c>
      <c r="E283" s="191" t="s">
        <v>218</v>
      </c>
      <c r="F283" s="118">
        <v>0.51021739130434796</v>
      </c>
      <c r="G283" s="191" t="s">
        <v>219</v>
      </c>
      <c r="H283" s="191" t="s">
        <v>271</v>
      </c>
      <c r="I283" s="193">
        <v>0.625</v>
      </c>
      <c r="J283" s="193">
        <v>0.875</v>
      </c>
      <c r="K283" s="194">
        <f t="shared" si="47"/>
        <v>1.9999999999999996</v>
      </c>
    </row>
    <row r="284" spans="1:11" s="67" customFormat="1" x14ac:dyDescent="0.25">
      <c r="A284" s="202">
        <v>1</v>
      </c>
      <c r="B284" s="190" t="s">
        <v>217</v>
      </c>
      <c r="C284" s="191">
        <v>17</v>
      </c>
      <c r="D284" s="192">
        <v>44777</v>
      </c>
      <c r="E284" s="191" t="s">
        <v>218</v>
      </c>
      <c r="F284" s="118">
        <v>0.53586956521739137</v>
      </c>
      <c r="G284" s="191" t="s">
        <v>219</v>
      </c>
      <c r="H284" s="191" t="s">
        <v>271</v>
      </c>
      <c r="I284" s="193">
        <v>0.625</v>
      </c>
      <c r="J284" s="193">
        <v>0.875</v>
      </c>
      <c r="K284" s="194">
        <f t="shared" si="47"/>
        <v>2.2499999999999996</v>
      </c>
    </row>
    <row r="285" spans="1:11" s="67" customFormat="1" x14ac:dyDescent="0.25">
      <c r="A285" s="202"/>
      <c r="B285" s="190" t="s">
        <v>217</v>
      </c>
      <c r="C285" s="191">
        <v>18</v>
      </c>
      <c r="D285" s="192">
        <v>44778</v>
      </c>
      <c r="E285" s="191" t="s">
        <v>218</v>
      </c>
      <c r="F285" s="118">
        <v>0.53586956521739137</v>
      </c>
      <c r="G285" s="191" t="s">
        <v>219</v>
      </c>
      <c r="H285" s="191" t="s">
        <v>271</v>
      </c>
      <c r="I285" s="193">
        <v>0.625</v>
      </c>
      <c r="J285" s="193">
        <v>0.875</v>
      </c>
      <c r="K285" s="194">
        <f t="shared" si="47"/>
        <v>2.4999999999999996</v>
      </c>
    </row>
    <row r="286" spans="1:11" s="67" customFormat="1" x14ac:dyDescent="0.25">
      <c r="A286" s="202"/>
      <c r="B286" s="190" t="s">
        <v>217</v>
      </c>
      <c r="C286" s="191">
        <v>19</v>
      </c>
      <c r="D286" s="192">
        <v>44781</v>
      </c>
      <c r="E286" s="191" t="s">
        <v>218</v>
      </c>
      <c r="F286" s="118">
        <v>0.53586956521739137</v>
      </c>
      <c r="G286" s="191" t="s">
        <v>219</v>
      </c>
      <c r="H286" s="191" t="s">
        <v>271</v>
      </c>
      <c r="I286" s="193">
        <v>0.625</v>
      </c>
      <c r="J286" s="193">
        <v>0.875</v>
      </c>
      <c r="K286" s="194">
        <f t="shared" si="47"/>
        <v>2.7499999999999996</v>
      </c>
    </row>
    <row r="287" spans="1:11" s="67" customFormat="1" x14ac:dyDescent="0.25">
      <c r="A287" s="202"/>
      <c r="B287" s="190" t="s">
        <v>217</v>
      </c>
      <c r="C287" s="191">
        <v>20</v>
      </c>
      <c r="D287" s="192">
        <v>44782</v>
      </c>
      <c r="E287" s="191" t="s">
        <v>218</v>
      </c>
      <c r="F287" s="118">
        <v>0.53586956521739137</v>
      </c>
      <c r="G287" s="191" t="s">
        <v>219</v>
      </c>
      <c r="H287" s="191" t="s">
        <v>271</v>
      </c>
      <c r="I287" s="193">
        <v>0.625</v>
      </c>
      <c r="J287" s="193">
        <v>0.875</v>
      </c>
      <c r="K287" s="194">
        <f t="shared" si="47"/>
        <v>2.9999999999999996</v>
      </c>
    </row>
    <row r="288" spans="1:11" s="67" customFormat="1" x14ac:dyDescent="0.25">
      <c r="A288" s="202"/>
      <c r="B288" s="190" t="s">
        <v>217</v>
      </c>
      <c r="C288" s="191">
        <v>21</v>
      </c>
      <c r="D288" s="192">
        <v>44783</v>
      </c>
      <c r="E288" s="191" t="s">
        <v>218</v>
      </c>
      <c r="F288" s="118">
        <v>0.53586956521739137</v>
      </c>
      <c r="G288" s="191" t="s">
        <v>219</v>
      </c>
      <c r="H288" s="191" t="s">
        <v>271</v>
      </c>
      <c r="I288" s="193">
        <v>0.625</v>
      </c>
      <c r="J288" s="193">
        <v>0.875</v>
      </c>
      <c r="K288" s="194">
        <f t="shared" si="47"/>
        <v>3.2499999999999996</v>
      </c>
    </row>
    <row r="289" spans="1:11" s="67" customFormat="1" x14ac:dyDescent="0.25">
      <c r="A289" s="202">
        <v>1</v>
      </c>
      <c r="B289" s="190" t="s">
        <v>217</v>
      </c>
      <c r="C289" s="191">
        <v>22</v>
      </c>
      <c r="D289" s="192">
        <v>44805</v>
      </c>
      <c r="E289" s="191" t="s">
        <v>218</v>
      </c>
      <c r="F289" s="118">
        <v>0.55108695652173922</v>
      </c>
      <c r="G289" s="191" t="s">
        <v>219</v>
      </c>
      <c r="H289" s="191" t="s">
        <v>271</v>
      </c>
      <c r="I289" s="193">
        <v>0.625</v>
      </c>
      <c r="J289" s="193">
        <v>0.875</v>
      </c>
      <c r="K289" s="194">
        <f t="shared" ref="K289:K293" si="48">(J289-I289)+K288</f>
        <v>3.4999999999999996</v>
      </c>
    </row>
    <row r="290" spans="1:11" s="67" customFormat="1" x14ac:dyDescent="0.25">
      <c r="A290" s="202"/>
      <c r="B290" s="190" t="s">
        <v>217</v>
      </c>
      <c r="C290" s="191">
        <v>23</v>
      </c>
      <c r="D290" s="192">
        <v>44806</v>
      </c>
      <c r="E290" s="191" t="s">
        <v>218</v>
      </c>
      <c r="F290" s="118">
        <v>0.55108695652173922</v>
      </c>
      <c r="G290" s="191" t="s">
        <v>219</v>
      </c>
      <c r="H290" s="191" t="s">
        <v>271</v>
      </c>
      <c r="I290" s="193">
        <v>0.625</v>
      </c>
      <c r="J290" s="193">
        <v>0.875</v>
      </c>
      <c r="K290" s="194">
        <f t="shared" si="48"/>
        <v>3.7499999999999996</v>
      </c>
    </row>
    <row r="291" spans="1:11" s="67" customFormat="1" x14ac:dyDescent="0.25">
      <c r="A291" s="202"/>
      <c r="B291" s="190" t="s">
        <v>217</v>
      </c>
      <c r="C291" s="191">
        <v>24</v>
      </c>
      <c r="D291" s="192">
        <v>44810</v>
      </c>
      <c r="E291" s="191" t="s">
        <v>218</v>
      </c>
      <c r="F291" s="118">
        <v>0.55108695652173922</v>
      </c>
      <c r="G291" s="191" t="s">
        <v>219</v>
      </c>
      <c r="H291" s="191" t="s">
        <v>271</v>
      </c>
      <c r="I291" s="193">
        <v>0.625</v>
      </c>
      <c r="J291" s="193">
        <v>0.875</v>
      </c>
      <c r="K291" s="194">
        <f t="shared" si="48"/>
        <v>3.9999999999999996</v>
      </c>
    </row>
    <row r="292" spans="1:11" s="67" customFormat="1" x14ac:dyDescent="0.25">
      <c r="A292" s="202"/>
      <c r="B292" s="190" t="s">
        <v>217</v>
      </c>
      <c r="C292" s="191">
        <v>25</v>
      </c>
      <c r="D292" s="192">
        <v>44811</v>
      </c>
      <c r="E292" s="191" t="s">
        <v>218</v>
      </c>
      <c r="F292" s="118">
        <v>0.55108695652173922</v>
      </c>
      <c r="G292" s="191" t="s">
        <v>219</v>
      </c>
      <c r="H292" s="191" t="s">
        <v>271</v>
      </c>
      <c r="I292" s="193">
        <v>0.625</v>
      </c>
      <c r="J292" s="193">
        <v>0.875</v>
      </c>
      <c r="K292" s="194">
        <f t="shared" si="48"/>
        <v>4.25</v>
      </c>
    </row>
    <row r="293" spans="1:11" s="67" customFormat="1" x14ac:dyDescent="0.25">
      <c r="A293" s="202"/>
      <c r="B293" s="190" t="s">
        <v>217</v>
      </c>
      <c r="C293" s="191">
        <v>26</v>
      </c>
      <c r="D293" s="192">
        <v>44812</v>
      </c>
      <c r="E293" s="191" t="s">
        <v>218</v>
      </c>
      <c r="F293" s="118">
        <v>0.55108695652173922</v>
      </c>
      <c r="G293" s="191" t="s">
        <v>219</v>
      </c>
      <c r="H293" s="191" t="s">
        <v>271</v>
      </c>
      <c r="I293" s="193">
        <v>0.625</v>
      </c>
      <c r="J293" s="193">
        <v>0.875</v>
      </c>
      <c r="K293" s="194">
        <f t="shared" si="48"/>
        <v>4.5</v>
      </c>
    </row>
    <row r="294" spans="1:11" s="67" customFormat="1" x14ac:dyDescent="0.25">
      <c r="A294" s="202"/>
      <c r="B294" s="190" t="s">
        <v>217</v>
      </c>
      <c r="C294" s="191">
        <v>27</v>
      </c>
      <c r="D294" s="192">
        <v>44853</v>
      </c>
      <c r="E294" s="191" t="s">
        <v>218</v>
      </c>
      <c r="F294" s="118">
        <v>0.55108695652173922</v>
      </c>
      <c r="G294" s="191" t="s">
        <v>219</v>
      </c>
      <c r="H294" s="191" t="s">
        <v>271</v>
      </c>
      <c r="I294" s="193">
        <v>0.625</v>
      </c>
      <c r="J294" s="193">
        <v>0.875</v>
      </c>
      <c r="K294" s="194">
        <f t="shared" ref="K294:K300" si="49">(J294-I294)+K293</f>
        <v>4.75</v>
      </c>
    </row>
    <row r="295" spans="1:11" s="67" customFormat="1" x14ac:dyDescent="0.25">
      <c r="A295" s="202"/>
      <c r="B295" s="190" t="s">
        <v>217</v>
      </c>
      <c r="C295" s="191">
        <v>28</v>
      </c>
      <c r="D295" s="192">
        <v>44854</v>
      </c>
      <c r="E295" s="191" t="s">
        <v>218</v>
      </c>
      <c r="F295" s="118">
        <v>0.55108695652173922</v>
      </c>
      <c r="G295" s="191" t="s">
        <v>219</v>
      </c>
      <c r="H295" s="191" t="s">
        <v>271</v>
      </c>
      <c r="I295" s="193">
        <v>0.66666666666666663</v>
      </c>
      <c r="J295" s="193">
        <v>0.875</v>
      </c>
      <c r="K295" s="194">
        <f t="shared" si="49"/>
        <v>4.958333333333333</v>
      </c>
    </row>
    <row r="296" spans="1:11" s="67" customFormat="1" x14ac:dyDescent="0.25">
      <c r="A296" s="202">
        <v>1</v>
      </c>
      <c r="B296" s="190" t="s">
        <v>217</v>
      </c>
      <c r="C296" s="191">
        <v>29</v>
      </c>
      <c r="D296" s="192">
        <v>44872</v>
      </c>
      <c r="E296" s="191" t="s">
        <v>218</v>
      </c>
      <c r="F296" s="289"/>
      <c r="G296" s="191" t="s">
        <v>219</v>
      </c>
      <c r="H296" s="191" t="s">
        <v>271</v>
      </c>
      <c r="I296" s="193">
        <v>0.625</v>
      </c>
      <c r="J296" s="193">
        <v>0.875</v>
      </c>
      <c r="K296" s="194">
        <f t="shared" si="49"/>
        <v>5.208333333333333</v>
      </c>
    </row>
    <row r="297" spans="1:11" s="67" customFormat="1" x14ac:dyDescent="0.25">
      <c r="A297" s="202"/>
      <c r="B297" s="190" t="s">
        <v>217</v>
      </c>
      <c r="C297" s="191">
        <v>30</v>
      </c>
      <c r="D297" s="192">
        <v>44873</v>
      </c>
      <c r="E297" s="191" t="s">
        <v>218</v>
      </c>
      <c r="F297" s="289"/>
      <c r="G297" s="191" t="s">
        <v>219</v>
      </c>
      <c r="H297" s="191" t="s">
        <v>271</v>
      </c>
      <c r="I297" s="193">
        <v>0.625</v>
      </c>
      <c r="J297" s="193">
        <v>0.875</v>
      </c>
      <c r="K297" s="194">
        <f t="shared" si="49"/>
        <v>5.458333333333333</v>
      </c>
    </row>
    <row r="298" spans="1:11" s="67" customFormat="1" x14ac:dyDescent="0.25">
      <c r="A298" s="202"/>
      <c r="B298" s="190" t="s">
        <v>217</v>
      </c>
      <c r="C298" s="191">
        <v>31</v>
      </c>
      <c r="D298" s="192">
        <v>44875</v>
      </c>
      <c r="E298" s="191" t="s">
        <v>218</v>
      </c>
      <c r="F298" s="289"/>
      <c r="G298" s="191" t="s">
        <v>219</v>
      </c>
      <c r="H298" s="191" t="s">
        <v>271</v>
      </c>
      <c r="I298" s="193">
        <v>0.625</v>
      </c>
      <c r="J298" s="193">
        <v>0.875</v>
      </c>
      <c r="K298" s="194">
        <f t="shared" si="49"/>
        <v>5.708333333333333</v>
      </c>
    </row>
    <row r="299" spans="1:11" s="67" customFormat="1" x14ac:dyDescent="0.25">
      <c r="A299" s="202"/>
      <c r="B299" s="190" t="s">
        <v>217</v>
      </c>
      <c r="C299" s="191">
        <v>32</v>
      </c>
      <c r="D299" s="192">
        <v>44879</v>
      </c>
      <c r="E299" s="191" t="s">
        <v>218</v>
      </c>
      <c r="F299" s="289"/>
      <c r="G299" s="191" t="s">
        <v>219</v>
      </c>
      <c r="H299" s="191" t="s">
        <v>271</v>
      </c>
      <c r="I299" s="193">
        <v>0.625</v>
      </c>
      <c r="J299" s="193">
        <v>0.875</v>
      </c>
      <c r="K299" s="194">
        <f t="shared" si="49"/>
        <v>5.958333333333333</v>
      </c>
    </row>
    <row r="300" spans="1:11" s="67" customFormat="1" x14ac:dyDescent="0.25">
      <c r="A300" s="202"/>
      <c r="B300" s="190" t="s">
        <v>217</v>
      </c>
      <c r="C300" s="191">
        <v>33</v>
      </c>
      <c r="D300" s="192">
        <v>44880</v>
      </c>
      <c r="E300" s="191" t="s">
        <v>218</v>
      </c>
      <c r="F300" s="289"/>
      <c r="G300" s="191" t="s">
        <v>219</v>
      </c>
      <c r="H300" s="191" t="s">
        <v>271</v>
      </c>
      <c r="I300" s="193">
        <v>0.625</v>
      </c>
      <c r="J300" s="193">
        <v>0.875</v>
      </c>
      <c r="K300" s="194">
        <f t="shared" si="49"/>
        <v>6.208333333333333</v>
      </c>
    </row>
    <row r="301" spans="1:11" s="67" customFormat="1" x14ac:dyDescent="0.25">
      <c r="A301" s="202">
        <v>1</v>
      </c>
      <c r="B301" s="190" t="s">
        <v>217</v>
      </c>
      <c r="C301" s="191">
        <v>34</v>
      </c>
      <c r="D301" s="213">
        <v>44896</v>
      </c>
      <c r="E301" s="191" t="s">
        <v>218</v>
      </c>
      <c r="F301" s="289"/>
      <c r="G301" s="191" t="s">
        <v>219</v>
      </c>
      <c r="H301" s="191" t="s">
        <v>271</v>
      </c>
      <c r="I301" s="193">
        <v>0.625</v>
      </c>
      <c r="J301" s="193">
        <v>0.875</v>
      </c>
      <c r="K301" s="194">
        <f t="shared" ref="K301:K305" si="50">(J301-I301)+K300</f>
        <v>6.458333333333333</v>
      </c>
    </row>
    <row r="302" spans="1:11" s="67" customFormat="1" x14ac:dyDescent="0.25">
      <c r="A302" s="202"/>
      <c r="B302" s="190" t="s">
        <v>217</v>
      </c>
      <c r="C302" s="191">
        <v>35</v>
      </c>
      <c r="D302" s="213">
        <v>44897</v>
      </c>
      <c r="E302" s="191" t="s">
        <v>218</v>
      </c>
      <c r="F302" s="289"/>
      <c r="G302" s="191" t="s">
        <v>219</v>
      </c>
      <c r="H302" s="191" t="s">
        <v>271</v>
      </c>
      <c r="I302" s="193">
        <v>0.625</v>
      </c>
      <c r="J302" s="193">
        <v>0.875</v>
      </c>
      <c r="K302" s="194">
        <f t="shared" si="50"/>
        <v>6.708333333333333</v>
      </c>
    </row>
    <row r="303" spans="1:11" s="67" customFormat="1" x14ac:dyDescent="0.25">
      <c r="A303" s="202"/>
      <c r="B303" s="190" t="s">
        <v>217</v>
      </c>
      <c r="C303" s="191">
        <v>36</v>
      </c>
      <c r="D303" s="213">
        <v>44900</v>
      </c>
      <c r="E303" s="191" t="s">
        <v>218</v>
      </c>
      <c r="F303" s="289"/>
      <c r="G303" s="191" t="s">
        <v>219</v>
      </c>
      <c r="H303" s="191" t="s">
        <v>271</v>
      </c>
      <c r="I303" s="193">
        <v>0.625</v>
      </c>
      <c r="J303" s="193">
        <v>0.875</v>
      </c>
      <c r="K303" s="194">
        <f t="shared" si="50"/>
        <v>6.958333333333333</v>
      </c>
    </row>
    <row r="304" spans="1:11" s="67" customFormat="1" x14ac:dyDescent="0.25">
      <c r="A304" s="202"/>
      <c r="B304" s="190" t="s">
        <v>217</v>
      </c>
      <c r="C304" s="191">
        <v>37</v>
      </c>
      <c r="D304" s="213">
        <v>44901</v>
      </c>
      <c r="E304" s="191" t="s">
        <v>218</v>
      </c>
      <c r="F304" s="289"/>
      <c r="G304" s="191" t="s">
        <v>219</v>
      </c>
      <c r="H304" s="191" t="s">
        <v>271</v>
      </c>
      <c r="I304" s="193">
        <v>0.625</v>
      </c>
      <c r="J304" s="193">
        <v>0.875</v>
      </c>
      <c r="K304" s="194">
        <f t="shared" si="50"/>
        <v>7.208333333333333</v>
      </c>
    </row>
    <row r="305" spans="1:11" s="67" customFormat="1" x14ac:dyDescent="0.25">
      <c r="A305" s="202"/>
      <c r="B305" s="190" t="s">
        <v>217</v>
      </c>
      <c r="C305" s="191">
        <v>38</v>
      </c>
      <c r="D305" s="213">
        <v>44902</v>
      </c>
      <c r="E305" s="191" t="s">
        <v>218</v>
      </c>
      <c r="F305" s="289"/>
      <c r="G305" s="191" t="s">
        <v>219</v>
      </c>
      <c r="H305" s="191" t="s">
        <v>271</v>
      </c>
      <c r="I305" s="193">
        <v>0.625</v>
      </c>
      <c r="J305" s="193">
        <v>0.875</v>
      </c>
      <c r="K305" s="194">
        <f t="shared" si="50"/>
        <v>7.458333333333333</v>
      </c>
    </row>
    <row r="306" spans="1:11" x14ac:dyDescent="0.25">
      <c r="A306" s="111"/>
      <c r="B306" s="190"/>
      <c r="C306" s="191"/>
      <c r="D306" s="192"/>
      <c r="E306" s="191"/>
      <c r="F306" s="118"/>
      <c r="G306" s="191"/>
      <c r="H306" s="191"/>
      <c r="I306" s="193"/>
      <c r="J306" s="193"/>
      <c r="K306" s="194"/>
    </row>
    <row r="307" spans="1:11" x14ac:dyDescent="0.25">
      <c r="A307" s="111"/>
      <c r="B307" s="206" t="s">
        <v>307</v>
      </c>
      <c r="C307" s="207">
        <v>1</v>
      </c>
      <c r="D307" s="208">
        <v>44740</v>
      </c>
      <c r="E307" s="191" t="s">
        <v>305</v>
      </c>
      <c r="F307" s="209">
        <v>7.8379740564615705</v>
      </c>
      <c r="G307" s="209" t="s">
        <v>303</v>
      </c>
      <c r="H307" s="210" t="s">
        <v>308</v>
      </c>
      <c r="I307" s="193">
        <v>0.66666666666666663</v>
      </c>
      <c r="J307" s="193">
        <v>0.70833333333333337</v>
      </c>
      <c r="K307" s="211">
        <f>J307-I307</f>
        <v>4.1666666666666741E-2</v>
      </c>
    </row>
    <row r="308" spans="1:11" x14ac:dyDescent="0.25">
      <c r="A308" s="111"/>
      <c r="B308" s="206" t="s">
        <v>307</v>
      </c>
      <c r="C308" s="207">
        <v>2</v>
      </c>
      <c r="D308" s="192">
        <v>44789</v>
      </c>
      <c r="E308" s="191" t="s">
        <v>305</v>
      </c>
      <c r="F308" s="209">
        <v>4.5860168518584912</v>
      </c>
      <c r="G308" s="209" t="s">
        <v>303</v>
      </c>
      <c r="H308" s="210" t="s">
        <v>308</v>
      </c>
      <c r="I308" s="193">
        <v>0.75</v>
      </c>
      <c r="J308" s="193">
        <v>0.79166666666666663</v>
      </c>
      <c r="K308" s="194">
        <f t="shared" ref="K308" si="51">(J308-I308)+K307</f>
        <v>8.333333333333337E-2</v>
      </c>
    </row>
    <row r="309" spans="1:11" x14ac:dyDescent="0.25">
      <c r="A309" s="111"/>
      <c r="B309" s="206" t="s">
        <v>307</v>
      </c>
      <c r="C309" s="207">
        <v>3</v>
      </c>
      <c r="D309" s="192">
        <v>44809</v>
      </c>
      <c r="E309" s="191" t="s">
        <v>315</v>
      </c>
      <c r="F309" s="209">
        <v>5.3250353268225883</v>
      </c>
      <c r="G309" s="191" t="s">
        <v>303</v>
      </c>
      <c r="H309" s="210" t="s">
        <v>308</v>
      </c>
      <c r="I309" s="193">
        <v>0.77083333333333304</v>
      </c>
      <c r="J309" s="193">
        <v>0.84166666666666701</v>
      </c>
      <c r="K309" s="194">
        <f>(J309-I309)+K308</f>
        <v>0.15416666666666734</v>
      </c>
    </row>
    <row r="310" spans="1:11" x14ac:dyDescent="0.25">
      <c r="A310" s="111"/>
      <c r="B310" s="206" t="s">
        <v>307</v>
      </c>
      <c r="C310" s="207">
        <v>4</v>
      </c>
      <c r="D310" s="192">
        <v>44810</v>
      </c>
      <c r="E310" s="191" t="s">
        <v>315</v>
      </c>
      <c r="F310" s="209">
        <v>6.42</v>
      </c>
      <c r="G310" s="191" t="s">
        <v>303</v>
      </c>
      <c r="H310" s="210" t="s">
        <v>308</v>
      </c>
      <c r="I310" s="193">
        <v>0.70833333333333304</v>
      </c>
      <c r="J310" s="193">
        <v>0.875</v>
      </c>
      <c r="K310" s="194">
        <f t="shared" ref="K310:K311" si="52">(J310-I310)+K309</f>
        <v>0.3208333333333343</v>
      </c>
    </row>
    <row r="311" spans="1:11" x14ac:dyDescent="0.25">
      <c r="A311" s="111"/>
      <c r="B311" s="206" t="s">
        <v>307</v>
      </c>
      <c r="C311" s="207">
        <v>5</v>
      </c>
      <c r="D311" s="192">
        <v>44811</v>
      </c>
      <c r="E311" s="191" t="s">
        <v>218</v>
      </c>
      <c r="F311" s="209">
        <v>5.3250353268225883</v>
      </c>
      <c r="G311" s="191" t="s">
        <v>303</v>
      </c>
      <c r="H311" s="210" t="s">
        <v>308</v>
      </c>
      <c r="I311" s="193">
        <v>0.75</v>
      </c>
      <c r="J311" s="193">
        <v>0.83333333333333304</v>
      </c>
      <c r="K311" s="194">
        <f t="shared" si="52"/>
        <v>0.40416666666666734</v>
      </c>
    </row>
    <row r="312" spans="1:11" x14ac:dyDescent="0.25">
      <c r="A312" s="111"/>
      <c r="B312" s="206" t="s">
        <v>307</v>
      </c>
      <c r="C312" s="207">
        <v>6</v>
      </c>
      <c r="D312" s="192">
        <v>44811</v>
      </c>
      <c r="E312" s="191" t="s">
        <v>315</v>
      </c>
      <c r="F312" s="209">
        <v>3.2437699845251098</v>
      </c>
      <c r="G312" s="191" t="s">
        <v>303</v>
      </c>
      <c r="H312" s="210" t="s">
        <v>308</v>
      </c>
      <c r="I312" s="193">
        <v>0.83333333333333304</v>
      </c>
      <c r="J312" s="193">
        <v>0.84166666666666701</v>
      </c>
      <c r="K312" s="194">
        <f t="shared" ref="K312:K313" si="53">(J312-I312)+K311</f>
        <v>0.41250000000000131</v>
      </c>
    </row>
    <row r="313" spans="1:11" x14ac:dyDescent="0.25">
      <c r="A313" s="111"/>
      <c r="B313" s="206" t="s">
        <v>307</v>
      </c>
      <c r="C313" s="207">
        <v>7</v>
      </c>
      <c r="D313" s="192">
        <v>44812</v>
      </c>
      <c r="E313" s="191" t="s">
        <v>218</v>
      </c>
      <c r="F313" s="209">
        <v>5.0199999999999996</v>
      </c>
      <c r="G313" s="191" t="s">
        <v>303</v>
      </c>
      <c r="H313" s="210" t="s">
        <v>308</v>
      </c>
      <c r="I313" s="193">
        <v>0.75</v>
      </c>
      <c r="J313" s="193">
        <v>0.83333333333333304</v>
      </c>
      <c r="K313" s="194">
        <f t="shared" si="53"/>
        <v>0.49583333333333435</v>
      </c>
    </row>
    <row r="314" spans="1:11" x14ac:dyDescent="0.25">
      <c r="A314" s="111"/>
      <c r="B314" s="190"/>
      <c r="C314" s="191"/>
      <c r="D314" s="192"/>
      <c r="E314" s="191"/>
      <c r="F314" s="118"/>
      <c r="G314" s="191"/>
      <c r="H314" s="191"/>
      <c r="I314" s="193"/>
      <c r="J314" s="193"/>
      <c r="K314" s="194"/>
    </row>
    <row r="315" spans="1:11" x14ac:dyDescent="0.25">
      <c r="A315" s="111"/>
      <c r="B315" s="206" t="s">
        <v>307</v>
      </c>
      <c r="C315" s="207">
        <v>1</v>
      </c>
      <c r="D315" s="208">
        <v>44740</v>
      </c>
      <c r="E315" s="191" t="s">
        <v>305</v>
      </c>
      <c r="F315" s="209">
        <v>1.4559078825261149</v>
      </c>
      <c r="G315" s="209" t="s">
        <v>303</v>
      </c>
      <c r="H315" s="210" t="s">
        <v>309</v>
      </c>
      <c r="I315" s="193">
        <v>0.66666666666666663</v>
      </c>
      <c r="J315" s="193">
        <v>0.70833333333333337</v>
      </c>
      <c r="K315" s="211">
        <f>J315-I315</f>
        <v>4.1666666666666741E-2</v>
      </c>
    </row>
    <row r="316" spans="1:11" x14ac:dyDescent="0.25">
      <c r="A316" s="111"/>
      <c r="B316" s="206" t="s">
        <v>307</v>
      </c>
      <c r="C316" s="207">
        <v>2</v>
      </c>
      <c r="D316" s="192">
        <v>44789</v>
      </c>
      <c r="E316" s="191" t="s">
        <v>305</v>
      </c>
      <c r="F316" s="209">
        <v>0.86471332470903106</v>
      </c>
      <c r="G316" s="209" t="s">
        <v>303</v>
      </c>
      <c r="H316" s="210" t="s">
        <v>309</v>
      </c>
      <c r="I316" s="193">
        <v>0.75</v>
      </c>
      <c r="J316" s="193">
        <v>0.79166666666666663</v>
      </c>
      <c r="K316" s="194">
        <f t="shared" ref="K316" si="54">(J316-I316)+K315</f>
        <v>8.333333333333337E-2</v>
      </c>
    </row>
    <row r="317" spans="1:11" x14ac:dyDescent="0.25">
      <c r="A317" s="111"/>
      <c r="B317" s="206" t="s">
        <v>307</v>
      </c>
      <c r="C317" s="207">
        <v>3</v>
      </c>
      <c r="D317" s="208">
        <v>44809</v>
      </c>
      <c r="E317" s="191" t="s">
        <v>315</v>
      </c>
      <c r="F317" s="209">
        <v>1.1000000000000001</v>
      </c>
      <c r="G317" s="191" t="s">
        <v>303</v>
      </c>
      <c r="H317" s="210" t="s">
        <v>309</v>
      </c>
      <c r="I317" s="193">
        <v>0.77083333333333304</v>
      </c>
      <c r="J317" s="193">
        <v>0.84166666666666701</v>
      </c>
      <c r="K317" s="194">
        <f>(J317-I317)+K316</f>
        <v>0.15416666666666734</v>
      </c>
    </row>
    <row r="318" spans="1:11" x14ac:dyDescent="0.25">
      <c r="A318" s="111"/>
      <c r="B318" s="206" t="s">
        <v>307</v>
      </c>
      <c r="C318" s="207">
        <v>4</v>
      </c>
      <c r="D318" s="192">
        <v>44810</v>
      </c>
      <c r="E318" s="191" t="s">
        <v>315</v>
      </c>
      <c r="F318" s="209">
        <v>1.3</v>
      </c>
      <c r="G318" s="191" t="s">
        <v>303</v>
      </c>
      <c r="H318" s="210" t="s">
        <v>309</v>
      </c>
      <c r="I318" s="193">
        <v>0.70833333333333304</v>
      </c>
      <c r="J318" s="193">
        <v>0.875</v>
      </c>
      <c r="K318" s="194">
        <f t="shared" ref="K318:K319" si="55">(J318-I318)+K317</f>
        <v>0.3208333333333343</v>
      </c>
    </row>
    <row r="319" spans="1:11" x14ac:dyDescent="0.25">
      <c r="A319" s="111"/>
      <c r="B319" s="206" t="s">
        <v>307</v>
      </c>
      <c r="C319" s="207">
        <v>5</v>
      </c>
      <c r="D319" s="208">
        <v>44811</v>
      </c>
      <c r="E319" s="191" t="s">
        <v>218</v>
      </c>
      <c r="F319" s="209">
        <v>1.103179539219213</v>
      </c>
      <c r="G319" s="191" t="s">
        <v>303</v>
      </c>
      <c r="H319" s="210" t="s">
        <v>309</v>
      </c>
      <c r="I319" s="193">
        <v>0.75</v>
      </c>
      <c r="J319" s="193">
        <v>0.83333333333333304</v>
      </c>
      <c r="K319" s="194">
        <f t="shared" si="55"/>
        <v>0.40416666666666734</v>
      </c>
    </row>
    <row r="320" spans="1:11" x14ac:dyDescent="0.25">
      <c r="A320" s="111"/>
      <c r="B320" s="206" t="s">
        <v>307</v>
      </c>
      <c r="C320" s="207">
        <v>6</v>
      </c>
      <c r="D320" s="208">
        <v>44811</v>
      </c>
      <c r="E320" s="191" t="s">
        <v>315</v>
      </c>
      <c r="F320" s="209">
        <v>0.67200693652426269</v>
      </c>
      <c r="G320" s="191" t="s">
        <v>303</v>
      </c>
      <c r="H320" s="210" t="s">
        <v>309</v>
      </c>
      <c r="I320" s="193">
        <v>0.83333333333333304</v>
      </c>
      <c r="J320" s="193">
        <v>0.84166666666666701</v>
      </c>
      <c r="K320" s="194">
        <f t="shared" ref="K320:K321" si="56">(J320-I320)+K319</f>
        <v>0.41250000000000131</v>
      </c>
    </row>
    <row r="321" spans="1:11" x14ac:dyDescent="0.25">
      <c r="A321" s="111"/>
      <c r="B321" s="206" t="s">
        <v>307</v>
      </c>
      <c r="C321" s="207">
        <v>7</v>
      </c>
      <c r="D321" s="192">
        <v>44812</v>
      </c>
      <c r="E321" s="191" t="s">
        <v>218</v>
      </c>
      <c r="F321" s="209">
        <v>1</v>
      </c>
      <c r="G321" s="191" t="s">
        <v>303</v>
      </c>
      <c r="H321" s="210" t="s">
        <v>309</v>
      </c>
      <c r="I321" s="193">
        <v>0.75</v>
      </c>
      <c r="J321" s="193">
        <v>0.83333333333333304</v>
      </c>
      <c r="K321" s="194">
        <f t="shared" si="56"/>
        <v>0.49583333333333435</v>
      </c>
    </row>
    <row r="322" spans="1:11" x14ac:dyDescent="0.25">
      <c r="A322" s="111"/>
      <c r="B322" s="190"/>
      <c r="C322" s="191"/>
      <c r="D322" s="192"/>
      <c r="E322" s="191"/>
      <c r="F322" s="118"/>
      <c r="G322" s="191"/>
      <c r="H322" s="191"/>
      <c r="I322" s="193"/>
      <c r="J322" s="193"/>
      <c r="K322" s="194"/>
    </row>
    <row r="323" spans="1:11" x14ac:dyDescent="0.25">
      <c r="A323" s="111"/>
      <c r="B323" s="206" t="s">
        <v>307</v>
      </c>
      <c r="C323" s="207">
        <v>1</v>
      </c>
      <c r="D323" s="208">
        <v>44740</v>
      </c>
      <c r="E323" s="191" t="s">
        <v>305</v>
      </c>
      <c r="F323" s="209">
        <v>0.20214152300374161</v>
      </c>
      <c r="G323" s="209" t="s">
        <v>303</v>
      </c>
      <c r="H323" s="210" t="s">
        <v>310</v>
      </c>
      <c r="I323" s="193">
        <v>0.66666666666666663</v>
      </c>
      <c r="J323" s="193">
        <v>0.70833333333333337</v>
      </c>
      <c r="K323" s="211">
        <f>J323-I323</f>
        <v>4.1666666666666741E-2</v>
      </c>
    </row>
    <row r="324" spans="1:11" x14ac:dyDescent="0.25">
      <c r="A324" s="111"/>
      <c r="B324" s="206" t="s">
        <v>307</v>
      </c>
      <c r="C324" s="207">
        <v>2</v>
      </c>
      <c r="D324" s="192">
        <v>44789</v>
      </c>
      <c r="E324" s="191" t="s">
        <v>305</v>
      </c>
      <c r="F324" s="209">
        <v>0.11605817864359216</v>
      </c>
      <c r="G324" s="209" t="s">
        <v>303</v>
      </c>
      <c r="H324" s="210" t="s">
        <v>310</v>
      </c>
      <c r="I324" s="193">
        <v>0.75</v>
      </c>
      <c r="J324" s="193">
        <v>0.79166666666666663</v>
      </c>
      <c r="K324" s="194">
        <f t="shared" ref="K324" si="57">(J324-I324)+K323</f>
        <v>8.333333333333337E-2</v>
      </c>
    </row>
    <row r="325" spans="1:11" x14ac:dyDescent="0.25">
      <c r="A325" s="111"/>
      <c r="B325" s="206" t="s">
        <v>307</v>
      </c>
      <c r="C325" s="207">
        <v>3</v>
      </c>
      <c r="D325" s="192">
        <v>44809</v>
      </c>
      <c r="E325" s="191" t="s">
        <v>315</v>
      </c>
      <c r="F325" s="209">
        <v>0.12</v>
      </c>
      <c r="G325" s="191" t="s">
        <v>303</v>
      </c>
      <c r="H325" s="210" t="s">
        <v>310</v>
      </c>
      <c r="I325" s="193">
        <v>0.77083333333333304</v>
      </c>
      <c r="J325" s="193">
        <v>0.84166666666666701</v>
      </c>
      <c r="K325" s="194">
        <f t="shared" ref="K325:K326" si="58">(J325-I325)+K324</f>
        <v>0.15416666666666734</v>
      </c>
    </row>
    <row r="326" spans="1:11" x14ac:dyDescent="0.25">
      <c r="A326" s="111"/>
      <c r="B326" s="206" t="s">
        <v>307</v>
      </c>
      <c r="C326" s="207">
        <v>4</v>
      </c>
      <c r="D326" s="192">
        <v>44810</v>
      </c>
      <c r="E326" s="191" t="s">
        <v>315</v>
      </c>
      <c r="F326" s="209">
        <v>0.15</v>
      </c>
      <c r="G326" s="191" t="s">
        <v>303</v>
      </c>
      <c r="H326" s="210" t="s">
        <v>310</v>
      </c>
      <c r="I326" s="193">
        <v>0.70833333333333304</v>
      </c>
      <c r="J326" s="193">
        <v>0.875</v>
      </c>
      <c r="K326" s="194">
        <f t="shared" si="58"/>
        <v>0.3208333333333343</v>
      </c>
    </row>
    <row r="327" spans="1:11" x14ac:dyDescent="0.25">
      <c r="A327" s="111"/>
      <c r="B327" s="206" t="s">
        <v>307</v>
      </c>
      <c r="C327" s="207">
        <v>5</v>
      </c>
      <c r="D327" s="192">
        <v>44811</v>
      </c>
      <c r="E327" s="191" t="s">
        <v>218</v>
      </c>
      <c r="F327" s="209">
        <v>0.12271157621676788</v>
      </c>
      <c r="G327" s="191" t="s">
        <v>303</v>
      </c>
      <c r="H327" s="210" t="s">
        <v>310</v>
      </c>
      <c r="I327" s="193">
        <v>0.75</v>
      </c>
      <c r="J327" s="193">
        <v>0.83333333333333304</v>
      </c>
      <c r="K327" s="194">
        <f t="shared" ref="K327" si="59">(J327-I327)+K326</f>
        <v>0.40416666666666734</v>
      </c>
    </row>
    <row r="328" spans="1:11" x14ac:dyDescent="0.25">
      <c r="A328" s="111"/>
      <c r="B328" s="206" t="s">
        <v>307</v>
      </c>
      <c r="C328" s="207">
        <v>6</v>
      </c>
      <c r="D328" s="192">
        <v>44811</v>
      </c>
      <c r="E328" s="191" t="s">
        <v>315</v>
      </c>
      <c r="F328" s="209">
        <v>7.4750326196094841E-2</v>
      </c>
      <c r="G328" s="191" t="s">
        <v>303</v>
      </c>
      <c r="H328" s="210" t="s">
        <v>310</v>
      </c>
      <c r="I328" s="193">
        <v>0.83333333333333304</v>
      </c>
      <c r="J328" s="193">
        <v>0.84166666666666701</v>
      </c>
      <c r="K328" s="194">
        <f t="shared" ref="K328:K329" si="60">(J328-I328)+K327</f>
        <v>0.41250000000000131</v>
      </c>
    </row>
    <row r="329" spans="1:11" x14ac:dyDescent="0.25">
      <c r="A329" s="111"/>
      <c r="B329" s="206" t="s">
        <v>307</v>
      </c>
      <c r="C329" s="207">
        <v>7</v>
      </c>
      <c r="D329" s="192">
        <v>44812</v>
      </c>
      <c r="E329" s="191" t="s">
        <v>218</v>
      </c>
      <c r="F329" s="209">
        <v>0.12</v>
      </c>
      <c r="G329" s="191" t="s">
        <v>303</v>
      </c>
      <c r="H329" s="210" t="s">
        <v>310</v>
      </c>
      <c r="I329" s="193">
        <v>0.75</v>
      </c>
      <c r="J329" s="193">
        <v>0.83333333333333304</v>
      </c>
      <c r="K329" s="194">
        <f t="shared" si="60"/>
        <v>0.49583333333333435</v>
      </c>
    </row>
    <row r="330" spans="1:11" x14ac:dyDescent="0.25">
      <c r="A330" s="111"/>
      <c r="B330" s="190"/>
      <c r="C330" s="191"/>
      <c r="D330" s="192"/>
      <c r="E330" s="191"/>
      <c r="F330" s="118"/>
      <c r="G330" s="191"/>
      <c r="H330" s="191"/>
      <c r="I330" s="193"/>
      <c r="J330" s="193"/>
      <c r="K330" s="194"/>
    </row>
    <row r="331" spans="1:11" x14ac:dyDescent="0.25">
      <c r="A331" s="111"/>
      <c r="B331" s="206" t="s">
        <v>307</v>
      </c>
      <c r="C331" s="207">
        <v>1</v>
      </c>
      <c r="D331" s="208">
        <v>44740</v>
      </c>
      <c r="E331" s="191" t="s">
        <v>305</v>
      </c>
      <c r="F331" s="209">
        <v>3.7040255683289711</v>
      </c>
      <c r="G331" s="209" t="s">
        <v>303</v>
      </c>
      <c r="H331" s="210" t="s">
        <v>311</v>
      </c>
      <c r="I331" s="193">
        <v>0.66666666666666663</v>
      </c>
      <c r="J331" s="193">
        <v>0.70833333333333337</v>
      </c>
      <c r="K331" s="211">
        <f>J331-I331</f>
        <v>4.1666666666666741E-2</v>
      </c>
    </row>
    <row r="332" spans="1:11" x14ac:dyDescent="0.25">
      <c r="A332" s="111"/>
      <c r="B332" s="206" t="s">
        <v>307</v>
      </c>
      <c r="C332" s="207">
        <v>2</v>
      </c>
      <c r="D332" s="192">
        <v>44789</v>
      </c>
      <c r="E332" s="191" t="s">
        <v>305</v>
      </c>
      <c r="F332" s="209">
        <v>2.1193807509404383</v>
      </c>
      <c r="G332" s="209" t="s">
        <v>303</v>
      </c>
      <c r="H332" s="210" t="s">
        <v>311</v>
      </c>
      <c r="I332" s="193">
        <v>0.75</v>
      </c>
      <c r="J332" s="193">
        <v>0.79166666666666663</v>
      </c>
      <c r="K332" s="194">
        <f t="shared" ref="K332:K335" si="61">(J332-I332)+K331</f>
        <v>8.333333333333337E-2</v>
      </c>
    </row>
    <row r="333" spans="1:11" x14ac:dyDescent="0.25">
      <c r="A333" s="111"/>
      <c r="B333" s="206" t="s">
        <v>307</v>
      </c>
      <c r="C333" s="207">
        <v>3</v>
      </c>
      <c r="D333" s="192">
        <v>44809</v>
      </c>
      <c r="E333" s="191" t="s">
        <v>315</v>
      </c>
      <c r="F333" s="209">
        <v>2.46</v>
      </c>
      <c r="G333" s="191" t="s">
        <v>303</v>
      </c>
      <c r="H333" s="210" t="s">
        <v>311</v>
      </c>
      <c r="I333" s="193">
        <v>0.77083333333333304</v>
      </c>
      <c r="J333" s="193">
        <v>0.84166666666666701</v>
      </c>
      <c r="K333" s="194">
        <f t="shared" si="61"/>
        <v>0.15416666666666734</v>
      </c>
    </row>
    <row r="334" spans="1:11" x14ac:dyDescent="0.25">
      <c r="A334" s="111"/>
      <c r="B334" s="206" t="s">
        <v>307</v>
      </c>
      <c r="C334" s="207">
        <v>4</v>
      </c>
      <c r="D334" s="192">
        <v>44810</v>
      </c>
      <c r="E334" s="191" t="s">
        <v>315</v>
      </c>
      <c r="F334" s="209">
        <v>2.97</v>
      </c>
      <c r="G334" s="191" t="s">
        <v>303</v>
      </c>
      <c r="H334" s="210" t="s">
        <v>311</v>
      </c>
      <c r="I334" s="193">
        <v>0.70833333333333304</v>
      </c>
      <c r="J334" s="193">
        <v>0.875</v>
      </c>
      <c r="K334" s="194">
        <f t="shared" si="61"/>
        <v>0.3208333333333343</v>
      </c>
    </row>
    <row r="335" spans="1:11" x14ac:dyDescent="0.25">
      <c r="A335" s="111"/>
      <c r="B335" s="206" t="s">
        <v>307</v>
      </c>
      <c r="C335" s="207">
        <v>5</v>
      </c>
      <c r="D335" s="192">
        <v>44811</v>
      </c>
      <c r="E335" s="191" t="s">
        <v>218</v>
      </c>
      <c r="F335" s="209">
        <v>2.4625264179249293</v>
      </c>
      <c r="G335" s="191" t="s">
        <v>303</v>
      </c>
      <c r="H335" s="210" t="s">
        <v>311</v>
      </c>
      <c r="I335" s="193">
        <v>0.75</v>
      </c>
      <c r="J335" s="193">
        <v>0.83333333333333304</v>
      </c>
      <c r="K335" s="194">
        <f t="shared" si="61"/>
        <v>0.40416666666666734</v>
      </c>
    </row>
    <row r="336" spans="1:11" x14ac:dyDescent="0.25">
      <c r="A336" s="111"/>
      <c r="B336" s="206" t="s">
        <v>307</v>
      </c>
      <c r="C336" s="207">
        <v>6</v>
      </c>
      <c r="D336" s="192">
        <v>44811</v>
      </c>
      <c r="E336" s="191" t="s">
        <v>315</v>
      </c>
      <c r="F336" s="209">
        <v>1.500059396851237</v>
      </c>
      <c r="G336" s="191" t="s">
        <v>303</v>
      </c>
      <c r="H336" s="210" t="s">
        <v>311</v>
      </c>
      <c r="I336" s="193">
        <v>0.83333333333333304</v>
      </c>
      <c r="J336" s="193">
        <v>0.84166666666666701</v>
      </c>
      <c r="K336" s="194">
        <f t="shared" ref="K336:K337" si="62">(J336-I336)+K335</f>
        <v>0.41250000000000131</v>
      </c>
    </row>
    <row r="337" spans="1:11" x14ac:dyDescent="0.25">
      <c r="A337" s="111"/>
      <c r="B337" s="206" t="s">
        <v>307</v>
      </c>
      <c r="C337" s="207">
        <v>7</v>
      </c>
      <c r="D337" s="192">
        <v>44812</v>
      </c>
      <c r="E337" s="191" t="s">
        <v>218</v>
      </c>
      <c r="F337" s="209">
        <v>2.3199999999999998</v>
      </c>
      <c r="G337" s="191" t="s">
        <v>303</v>
      </c>
      <c r="H337" s="210" t="s">
        <v>311</v>
      </c>
      <c r="I337" s="193">
        <v>0.75</v>
      </c>
      <c r="J337" s="193">
        <v>0.83333333333333304</v>
      </c>
      <c r="K337" s="194">
        <f t="shared" si="62"/>
        <v>0.49583333333333435</v>
      </c>
    </row>
    <row r="338" spans="1:11" x14ac:dyDescent="0.25">
      <c r="A338" s="111"/>
      <c r="B338" s="190"/>
      <c r="C338" s="191"/>
      <c r="D338" s="192"/>
      <c r="E338" s="191"/>
      <c r="F338" s="118"/>
      <c r="G338" s="191"/>
      <c r="H338" s="191"/>
      <c r="I338" s="193"/>
      <c r="J338" s="193"/>
      <c r="K338" s="194"/>
    </row>
    <row r="339" spans="1:11" x14ac:dyDescent="0.25">
      <c r="A339" s="111"/>
      <c r="B339" s="206" t="s">
        <v>307</v>
      </c>
      <c r="C339" s="207">
        <v>1</v>
      </c>
      <c r="D339" s="208">
        <v>44740</v>
      </c>
      <c r="E339" s="191" t="s">
        <v>305</v>
      </c>
      <c r="F339" s="209">
        <v>7.5150483815148101</v>
      </c>
      <c r="G339" s="209" t="s">
        <v>303</v>
      </c>
      <c r="H339" s="210" t="s">
        <v>299</v>
      </c>
      <c r="I339" s="193">
        <v>0.66666666666666663</v>
      </c>
      <c r="J339" s="193">
        <v>0.70833333333333337</v>
      </c>
      <c r="K339" s="211">
        <f>J339-I339</f>
        <v>4.1666666666666741E-2</v>
      </c>
    </row>
    <row r="340" spans="1:11" x14ac:dyDescent="0.25">
      <c r="A340" s="111"/>
      <c r="B340" s="206" t="s">
        <v>307</v>
      </c>
      <c r="C340" s="207">
        <v>2</v>
      </c>
      <c r="D340" s="192">
        <v>44789</v>
      </c>
      <c r="E340" s="191" t="s">
        <v>305</v>
      </c>
      <c r="F340" s="209">
        <v>4.4194403156211548</v>
      </c>
      <c r="G340" s="209" t="s">
        <v>303</v>
      </c>
      <c r="H340" s="210" t="s">
        <v>299</v>
      </c>
      <c r="I340" s="193">
        <v>0.75</v>
      </c>
      <c r="J340" s="193">
        <v>0.79166666666666663</v>
      </c>
      <c r="K340" s="194">
        <f t="shared" ref="K340" si="63">(J340-I340)+K339</f>
        <v>8.333333333333337E-2</v>
      </c>
    </row>
    <row r="341" spans="1:11" x14ac:dyDescent="0.25">
      <c r="A341" s="111"/>
      <c r="B341" s="206" t="s">
        <v>307</v>
      </c>
      <c r="C341" s="207">
        <v>3</v>
      </c>
      <c r="D341" s="192">
        <v>44809</v>
      </c>
      <c r="E341" s="191" t="s">
        <v>315</v>
      </c>
      <c r="F341" s="209">
        <v>5.4205947772073237</v>
      </c>
      <c r="G341" s="191" t="s">
        <v>303</v>
      </c>
      <c r="H341" s="210" t="s">
        <v>299</v>
      </c>
      <c r="I341" s="193">
        <v>0.77083333333333304</v>
      </c>
      <c r="J341" s="193">
        <v>0.84166666666666701</v>
      </c>
      <c r="K341" s="194">
        <f t="shared" ref="K341" si="64">(J341-I341)+K340</f>
        <v>0.15416666666666734</v>
      </c>
    </row>
    <row r="342" spans="1:11" x14ac:dyDescent="0.25">
      <c r="A342" s="111"/>
      <c r="B342" s="206" t="s">
        <v>307</v>
      </c>
      <c r="C342" s="207">
        <v>4</v>
      </c>
      <c r="D342" s="192">
        <v>44810</v>
      </c>
      <c r="E342" s="191" t="s">
        <v>315</v>
      </c>
      <c r="F342" s="209">
        <v>6.4586024189614193</v>
      </c>
      <c r="G342" s="191" t="s">
        <v>303</v>
      </c>
      <c r="H342" s="210" t="s">
        <v>299</v>
      </c>
      <c r="I342" s="193">
        <v>0.70833333333333304</v>
      </c>
      <c r="J342" s="193">
        <v>0.875</v>
      </c>
      <c r="K342" s="194">
        <f t="shared" ref="K342" si="65">(J342-I342)+K341</f>
        <v>0.3208333333333343</v>
      </c>
    </row>
    <row r="343" spans="1:11" x14ac:dyDescent="0.25">
      <c r="A343" s="111"/>
      <c r="B343" s="206" t="s">
        <v>307</v>
      </c>
      <c r="C343" s="207">
        <v>5</v>
      </c>
      <c r="D343" s="192">
        <v>44811</v>
      </c>
      <c r="E343" s="191" t="s">
        <v>218</v>
      </c>
      <c r="F343" s="209">
        <v>5.4205947772073237</v>
      </c>
      <c r="G343" s="191" t="s">
        <v>303</v>
      </c>
      <c r="H343" s="210" t="s">
        <v>299</v>
      </c>
      <c r="I343" s="193">
        <v>0.75</v>
      </c>
      <c r="J343" s="193">
        <v>0.83333333333333304</v>
      </c>
      <c r="K343" s="194">
        <f t="shared" ref="K343" si="66">(J343-I343)+K342</f>
        <v>0.40416666666666734</v>
      </c>
    </row>
    <row r="344" spans="1:11" x14ac:dyDescent="0.25">
      <c r="A344" s="111"/>
      <c r="B344" s="206" t="s">
        <v>307</v>
      </c>
      <c r="C344" s="207">
        <v>6</v>
      </c>
      <c r="D344" s="192">
        <v>44811</v>
      </c>
      <c r="E344" s="191" t="s">
        <v>315</v>
      </c>
      <c r="F344" s="209">
        <v>3.3019804672489266</v>
      </c>
      <c r="G344" s="191" t="s">
        <v>303</v>
      </c>
      <c r="H344" s="210" t="s">
        <v>299</v>
      </c>
      <c r="I344" s="193">
        <v>0.83333333333333304</v>
      </c>
      <c r="J344" s="193">
        <v>0.84166666666666701</v>
      </c>
      <c r="K344" s="194">
        <f t="shared" ref="K344:K345" si="67">(J344-I344)+K343</f>
        <v>0.41250000000000131</v>
      </c>
    </row>
    <row r="345" spans="1:11" x14ac:dyDescent="0.25">
      <c r="A345" s="111"/>
      <c r="B345" s="206" t="s">
        <v>307</v>
      </c>
      <c r="C345" s="207">
        <v>7</v>
      </c>
      <c r="D345" s="192">
        <v>44812</v>
      </c>
      <c r="E345" s="191" t="s">
        <v>218</v>
      </c>
      <c r="F345" s="209">
        <v>4.9986888884764582</v>
      </c>
      <c r="G345" s="191" t="s">
        <v>303</v>
      </c>
      <c r="H345" s="210" t="s">
        <v>299</v>
      </c>
      <c r="I345" s="193">
        <v>0.75</v>
      </c>
      <c r="J345" s="193">
        <v>0.79166666666666696</v>
      </c>
      <c r="K345" s="194">
        <f t="shared" si="67"/>
        <v>0.45416666666666827</v>
      </c>
    </row>
    <row r="346" spans="1:11" x14ac:dyDescent="0.25">
      <c r="A346" s="111"/>
      <c r="B346" s="190"/>
      <c r="C346" s="191"/>
      <c r="D346" s="192"/>
      <c r="E346" s="191"/>
      <c r="F346" s="118"/>
      <c r="G346" s="191"/>
      <c r="H346" s="191"/>
      <c r="I346" s="193"/>
      <c r="J346" s="193"/>
      <c r="K346" s="194"/>
    </row>
    <row r="347" spans="1:11" x14ac:dyDescent="0.25">
      <c r="A347" s="111"/>
      <c r="B347" s="206" t="s">
        <v>307</v>
      </c>
      <c r="C347" s="207">
        <v>1</v>
      </c>
      <c r="D347" s="208">
        <v>44740</v>
      </c>
      <c r="E347" s="191" t="s">
        <v>305</v>
      </c>
      <c r="F347" s="209">
        <v>1.6813922708354845</v>
      </c>
      <c r="G347" s="209" t="s">
        <v>303</v>
      </c>
      <c r="H347" s="210" t="s">
        <v>312</v>
      </c>
      <c r="I347" s="193">
        <v>0.66666666666666663</v>
      </c>
      <c r="J347" s="193">
        <v>0.70833333333333337</v>
      </c>
      <c r="K347" s="211">
        <f>J347-I347</f>
        <v>4.1666666666666741E-2</v>
      </c>
    </row>
    <row r="348" spans="1:11" ht="15" customHeight="1" x14ac:dyDescent="0.25">
      <c r="A348" s="111"/>
      <c r="B348" s="206" t="s">
        <v>307</v>
      </c>
      <c r="C348" s="207">
        <v>2</v>
      </c>
      <c r="D348" s="192">
        <v>44789</v>
      </c>
      <c r="E348" s="191" t="s">
        <v>305</v>
      </c>
      <c r="F348" s="209">
        <v>0.96811891681495699</v>
      </c>
      <c r="G348" s="209" t="s">
        <v>303</v>
      </c>
      <c r="H348" s="210" t="s">
        <v>312</v>
      </c>
      <c r="I348" s="193">
        <v>0.75</v>
      </c>
      <c r="J348" s="193">
        <v>0.79166666666666663</v>
      </c>
      <c r="K348" s="194">
        <f t="shared" ref="K348" si="68">(J348-I348)+K347</f>
        <v>8.333333333333337E-2</v>
      </c>
    </row>
    <row r="349" spans="1:11" x14ac:dyDescent="0.25">
      <c r="A349" s="111"/>
      <c r="B349" s="206" t="s">
        <v>307</v>
      </c>
      <c r="C349" s="207">
        <v>3</v>
      </c>
      <c r="D349" s="192">
        <v>44809</v>
      </c>
      <c r="E349" s="191" t="s">
        <v>315</v>
      </c>
      <c r="F349" s="209">
        <v>1.1295766969415666</v>
      </c>
      <c r="G349" s="191" t="s">
        <v>303</v>
      </c>
      <c r="H349" s="210" t="s">
        <v>312</v>
      </c>
      <c r="I349" s="193">
        <v>0.77916666666666701</v>
      </c>
      <c r="J349" s="193">
        <v>0.84166666666666701</v>
      </c>
      <c r="K349" s="194">
        <f t="shared" ref="K349:K353" si="69">(J349-I349)+K348</f>
        <v>0.14583333333333337</v>
      </c>
    </row>
    <row r="350" spans="1:11" x14ac:dyDescent="0.25">
      <c r="A350" s="111"/>
      <c r="B350" s="206" t="s">
        <v>307</v>
      </c>
      <c r="C350" s="207">
        <v>4</v>
      </c>
      <c r="D350" s="192">
        <v>44810</v>
      </c>
      <c r="E350" s="191" t="s">
        <v>315</v>
      </c>
      <c r="F350" s="209">
        <v>1.3575880027739584</v>
      </c>
      <c r="G350" s="191" t="s">
        <v>303</v>
      </c>
      <c r="H350" s="210" t="s">
        <v>312</v>
      </c>
      <c r="I350" s="193">
        <v>0.70833333333333304</v>
      </c>
      <c r="J350" s="193">
        <v>0.875</v>
      </c>
      <c r="K350" s="194">
        <f t="shared" si="69"/>
        <v>0.31250000000000033</v>
      </c>
    </row>
    <row r="351" spans="1:11" x14ac:dyDescent="0.25">
      <c r="A351" s="111"/>
      <c r="B351" s="206" t="s">
        <v>307</v>
      </c>
      <c r="C351" s="207">
        <v>5</v>
      </c>
      <c r="D351" s="192">
        <v>44811</v>
      </c>
      <c r="E351" s="191" t="s">
        <v>218</v>
      </c>
      <c r="F351" s="209">
        <v>1.1295766969415666</v>
      </c>
      <c r="G351" s="191" t="s">
        <v>303</v>
      </c>
      <c r="H351" s="210" t="s">
        <v>312</v>
      </c>
      <c r="I351" s="193">
        <v>0.75</v>
      </c>
      <c r="J351" s="193">
        <v>0.83333333333333304</v>
      </c>
      <c r="K351" s="194">
        <f t="shared" si="69"/>
        <v>0.39583333333333337</v>
      </c>
    </row>
    <row r="352" spans="1:11" x14ac:dyDescent="0.25">
      <c r="A352" s="111"/>
      <c r="B352" s="206" t="s">
        <v>307</v>
      </c>
      <c r="C352" s="207">
        <v>6</v>
      </c>
      <c r="D352" s="192">
        <v>44811</v>
      </c>
      <c r="E352" s="191" t="s">
        <v>315</v>
      </c>
      <c r="F352" s="209">
        <v>0.68808688766848147</v>
      </c>
      <c r="G352" s="191" t="s">
        <v>303</v>
      </c>
      <c r="H352" s="210" t="s">
        <v>312</v>
      </c>
      <c r="I352" s="193">
        <v>0.83333333333333304</v>
      </c>
      <c r="J352" s="193">
        <v>0.84166666666666701</v>
      </c>
      <c r="K352" s="194">
        <f t="shared" si="69"/>
        <v>0.40416666666666734</v>
      </c>
    </row>
    <row r="353" spans="1:11" x14ac:dyDescent="0.25">
      <c r="A353" s="111"/>
      <c r="B353" s="206" t="s">
        <v>307</v>
      </c>
      <c r="C353" s="207">
        <v>7</v>
      </c>
      <c r="D353" s="192">
        <v>44812</v>
      </c>
      <c r="E353" s="191" t="s">
        <v>218</v>
      </c>
      <c r="F353" s="209">
        <v>1.3160034315934819</v>
      </c>
      <c r="G353" s="191" t="s">
        <v>303</v>
      </c>
      <c r="H353" s="210" t="s">
        <v>312</v>
      </c>
      <c r="I353" s="193">
        <v>0.70833333333333304</v>
      </c>
      <c r="J353" s="193">
        <v>0.83333333333333304</v>
      </c>
      <c r="K353" s="194">
        <f t="shared" si="69"/>
        <v>0.52916666666666734</v>
      </c>
    </row>
    <row r="354" spans="1:11" x14ac:dyDescent="0.25">
      <c r="A354" s="111"/>
      <c r="B354" s="190"/>
      <c r="C354" s="191"/>
      <c r="D354" s="192"/>
      <c r="E354" s="191"/>
      <c r="F354" s="118"/>
      <c r="G354" s="191"/>
      <c r="H354" s="191"/>
      <c r="I354" s="193"/>
      <c r="J354" s="193"/>
      <c r="K354" s="194"/>
    </row>
    <row r="355" spans="1:11" x14ac:dyDescent="0.25">
      <c r="A355" s="111"/>
      <c r="B355" s="206" t="s">
        <v>307</v>
      </c>
      <c r="C355" s="207">
        <v>1</v>
      </c>
      <c r="D355" s="208">
        <v>44740</v>
      </c>
      <c r="E355" s="191" t="s">
        <v>305</v>
      </c>
      <c r="F355" s="209">
        <v>7.6128273803537017</v>
      </c>
      <c r="G355" s="209" t="s">
        <v>303</v>
      </c>
      <c r="H355" s="210" t="s">
        <v>313</v>
      </c>
      <c r="I355" s="193">
        <v>0.66666666666666663</v>
      </c>
      <c r="J355" s="193">
        <v>0.70833333333333337</v>
      </c>
      <c r="K355" s="211">
        <f>J355-I355</f>
        <v>4.1666666666666741E-2</v>
      </c>
    </row>
    <row r="356" spans="1:11" x14ac:dyDescent="0.25">
      <c r="A356" s="111"/>
      <c r="B356" s="206" t="s">
        <v>307</v>
      </c>
      <c r="C356" s="207">
        <v>2</v>
      </c>
      <c r="D356" s="192">
        <v>44789</v>
      </c>
      <c r="E356" s="191" t="s">
        <v>305</v>
      </c>
      <c r="F356" s="209">
        <v>4.5163733261648593</v>
      </c>
      <c r="G356" s="209" t="s">
        <v>303</v>
      </c>
      <c r="H356" s="210" t="s">
        <v>313</v>
      </c>
      <c r="I356" s="193">
        <v>0.75</v>
      </c>
      <c r="J356" s="193">
        <v>0.79166666666666663</v>
      </c>
      <c r="K356" s="194">
        <f t="shared" ref="K356" si="70">(J356-I356)+K355</f>
        <v>8.333333333333337E-2</v>
      </c>
    </row>
    <row r="357" spans="1:11" x14ac:dyDescent="0.25">
      <c r="A357" s="111"/>
      <c r="B357" s="206" t="s">
        <v>307</v>
      </c>
      <c r="C357" s="207">
        <v>3</v>
      </c>
      <c r="D357" s="192">
        <v>44809</v>
      </c>
      <c r="E357" s="191" t="s">
        <v>315</v>
      </c>
      <c r="F357" s="209">
        <v>5.6736431328714083</v>
      </c>
      <c r="G357" s="191" t="s">
        <v>303</v>
      </c>
      <c r="H357" s="210" t="s">
        <v>313</v>
      </c>
      <c r="I357" s="193">
        <v>0.77083333333333304</v>
      </c>
      <c r="J357" s="193">
        <v>0.84166666666666701</v>
      </c>
      <c r="K357" s="194">
        <f t="shared" ref="K357" si="71">(J357-I357)+K356</f>
        <v>0.15416666666666734</v>
      </c>
    </row>
    <row r="358" spans="1:11" x14ac:dyDescent="0.25">
      <c r="A358" s="111"/>
      <c r="B358" s="206" t="s">
        <v>307</v>
      </c>
      <c r="C358" s="207">
        <v>4</v>
      </c>
      <c r="D358" s="192">
        <v>44810</v>
      </c>
      <c r="E358" s="191" t="s">
        <v>315</v>
      </c>
      <c r="F358" s="209">
        <v>6.7306775066627385</v>
      </c>
      <c r="G358" s="191" t="s">
        <v>303</v>
      </c>
      <c r="H358" s="210" t="s">
        <v>313</v>
      </c>
      <c r="I358" s="193">
        <v>0.70833333333333304</v>
      </c>
      <c r="J358" s="193">
        <v>0.875</v>
      </c>
      <c r="K358" s="194">
        <f t="shared" ref="K358:K359" si="72">(J358-I358)+K357</f>
        <v>0.3208333333333343</v>
      </c>
    </row>
    <row r="359" spans="1:11" x14ac:dyDescent="0.25">
      <c r="A359" s="111"/>
      <c r="B359" s="206" t="s">
        <v>307</v>
      </c>
      <c r="C359" s="207">
        <v>5</v>
      </c>
      <c r="D359" s="192">
        <v>44811</v>
      </c>
      <c r="E359" s="191" t="s">
        <v>218</v>
      </c>
      <c r="F359" s="209">
        <v>5.6736431328714083</v>
      </c>
      <c r="G359" s="191" t="s">
        <v>303</v>
      </c>
      <c r="H359" s="210" t="s">
        <v>313</v>
      </c>
      <c r="I359" s="193">
        <v>0.75</v>
      </c>
      <c r="J359" s="193">
        <v>0.83333333333333304</v>
      </c>
      <c r="K359" s="194">
        <f t="shared" si="72"/>
        <v>0.40416666666666734</v>
      </c>
    </row>
    <row r="360" spans="1:11" x14ac:dyDescent="0.25">
      <c r="A360" s="111"/>
      <c r="B360" s="206" t="s">
        <v>307</v>
      </c>
      <c r="C360" s="207">
        <v>6</v>
      </c>
      <c r="D360" s="192">
        <v>44811</v>
      </c>
      <c r="E360" s="191" t="s">
        <v>315</v>
      </c>
      <c r="F360" s="209">
        <v>3.4561260475800109</v>
      </c>
      <c r="G360" s="191" t="s">
        <v>303</v>
      </c>
      <c r="H360" s="210" t="s">
        <v>313</v>
      </c>
      <c r="I360" s="193">
        <v>0.83333333333333304</v>
      </c>
      <c r="J360" s="193">
        <v>0.84166666666666701</v>
      </c>
      <c r="K360" s="194">
        <f t="shared" ref="K360:K361" si="73">(J360-I360)+K359</f>
        <v>0.41250000000000131</v>
      </c>
    </row>
    <row r="361" spans="1:11" x14ac:dyDescent="0.25">
      <c r="A361" s="111"/>
      <c r="B361" s="206" t="s">
        <v>307</v>
      </c>
      <c r="C361" s="207">
        <v>7</v>
      </c>
      <c r="D361" s="192">
        <v>44812</v>
      </c>
      <c r="E361" s="191" t="s">
        <v>218</v>
      </c>
      <c r="F361" s="209">
        <v>6.4329844171401787</v>
      </c>
      <c r="G361" s="191" t="s">
        <v>303</v>
      </c>
      <c r="H361" s="210" t="s">
        <v>313</v>
      </c>
      <c r="I361" s="193">
        <v>0.70833333333333304</v>
      </c>
      <c r="J361" s="193">
        <v>0.83333333333333304</v>
      </c>
      <c r="K361" s="194">
        <f t="shared" si="73"/>
        <v>0.53750000000000131</v>
      </c>
    </row>
    <row r="362" spans="1:11" x14ac:dyDescent="0.25">
      <c r="A362" s="111"/>
      <c r="B362" s="190"/>
      <c r="C362" s="191"/>
      <c r="D362" s="192"/>
      <c r="E362" s="191"/>
      <c r="F362" s="118"/>
      <c r="G362" s="191"/>
      <c r="H362" s="191"/>
      <c r="I362" s="193"/>
      <c r="J362" s="193"/>
      <c r="K362" s="194"/>
    </row>
    <row r="363" spans="1:11" x14ac:dyDescent="0.25">
      <c r="A363" s="111"/>
      <c r="B363" s="206" t="s">
        <v>307</v>
      </c>
      <c r="C363" s="207">
        <v>1</v>
      </c>
      <c r="D363" s="208">
        <v>44740</v>
      </c>
      <c r="E363" s="191" t="s">
        <v>305</v>
      </c>
      <c r="F363" s="209">
        <v>1.6330818617072349</v>
      </c>
      <c r="G363" s="209" t="s">
        <v>303</v>
      </c>
      <c r="H363" s="210" t="s">
        <v>300</v>
      </c>
      <c r="I363" s="193">
        <v>0.66666666666666663</v>
      </c>
      <c r="J363" s="193">
        <v>0.70833333333333337</v>
      </c>
      <c r="K363" s="211">
        <f>J363-I363</f>
        <v>4.1666666666666741E-2</v>
      </c>
    </row>
    <row r="364" spans="1:11" x14ac:dyDescent="0.25">
      <c r="A364" s="111"/>
      <c r="B364" s="206" t="s">
        <v>307</v>
      </c>
      <c r="C364" s="207">
        <v>2</v>
      </c>
      <c r="D364" s="192">
        <v>44789</v>
      </c>
      <c r="E364" s="191" t="s">
        <v>305</v>
      </c>
      <c r="F364" s="209">
        <v>0.95461666821830848</v>
      </c>
      <c r="G364" s="209" t="s">
        <v>303</v>
      </c>
      <c r="H364" s="210" t="s">
        <v>300</v>
      </c>
      <c r="I364" s="193">
        <v>0.75</v>
      </c>
      <c r="J364" s="193">
        <v>0.79166666666666663</v>
      </c>
      <c r="K364" s="194">
        <f t="shared" ref="K364" si="74">(J364-I364)+K363</f>
        <v>8.333333333333337E-2</v>
      </c>
    </row>
    <row r="365" spans="1:11" x14ac:dyDescent="0.25">
      <c r="A365" s="111"/>
      <c r="B365" s="206" t="s">
        <v>307</v>
      </c>
      <c r="C365" s="207">
        <v>3</v>
      </c>
      <c r="D365" s="192">
        <v>44809</v>
      </c>
      <c r="E365" s="191" t="s">
        <v>315</v>
      </c>
      <c r="F365" s="209">
        <v>1.1228704610803519</v>
      </c>
      <c r="G365" s="191" t="s">
        <v>303</v>
      </c>
      <c r="H365" s="210" t="s">
        <v>300</v>
      </c>
      <c r="I365" s="193">
        <v>0.77083333333333304</v>
      </c>
      <c r="J365" s="193">
        <v>0.84166666666666701</v>
      </c>
      <c r="K365" s="194">
        <f t="shared" ref="K365" si="75">(J365-I365)+K364</f>
        <v>0.15416666666666734</v>
      </c>
    </row>
    <row r="366" spans="1:11" x14ac:dyDescent="0.25">
      <c r="A366" s="111"/>
      <c r="B366" s="206" t="s">
        <v>307</v>
      </c>
      <c r="C366" s="207">
        <v>4</v>
      </c>
      <c r="D366" s="192">
        <v>44810</v>
      </c>
      <c r="E366" s="191" t="s">
        <v>315</v>
      </c>
      <c r="F366" s="209">
        <v>1.3470190409133229</v>
      </c>
      <c r="G366" s="191" t="s">
        <v>303</v>
      </c>
      <c r="H366" s="210" t="s">
        <v>300</v>
      </c>
      <c r="I366" s="193">
        <v>0.70833333333333304</v>
      </c>
      <c r="J366" s="193">
        <v>0.875</v>
      </c>
      <c r="K366" s="194">
        <f t="shared" ref="K366:K367" si="76">(J366-I366)+K365</f>
        <v>0.3208333333333343</v>
      </c>
    </row>
    <row r="367" spans="1:11" x14ac:dyDescent="0.25">
      <c r="A367" s="111"/>
      <c r="B367" s="206" t="s">
        <v>307</v>
      </c>
      <c r="C367" s="207">
        <v>5</v>
      </c>
      <c r="D367" s="192">
        <v>44811</v>
      </c>
      <c r="E367" s="191" t="s">
        <v>218</v>
      </c>
      <c r="F367" s="209">
        <v>1.1228704610803519</v>
      </c>
      <c r="G367" s="191" t="s">
        <v>303</v>
      </c>
      <c r="H367" s="210" t="s">
        <v>300</v>
      </c>
      <c r="I367" s="193">
        <v>0.75</v>
      </c>
      <c r="J367" s="193">
        <v>0.83333333333333304</v>
      </c>
      <c r="K367" s="194">
        <f t="shared" si="76"/>
        <v>0.40416666666666734</v>
      </c>
    </row>
    <row r="368" spans="1:11" x14ac:dyDescent="0.25">
      <c r="A368" s="111"/>
      <c r="B368" s="206" t="s">
        <v>307</v>
      </c>
      <c r="C368" s="207">
        <v>6</v>
      </c>
      <c r="D368" s="192">
        <v>44811</v>
      </c>
      <c r="E368" s="191" t="s">
        <v>315</v>
      </c>
      <c r="F368" s="209">
        <v>0.68400175296783827</v>
      </c>
      <c r="G368" s="191" t="s">
        <v>303</v>
      </c>
      <c r="H368" s="210" t="s">
        <v>300</v>
      </c>
      <c r="I368" s="193">
        <v>0.83333333333333304</v>
      </c>
      <c r="J368" s="193">
        <v>0.84166666666666701</v>
      </c>
      <c r="K368" s="194">
        <f t="shared" ref="K368:K369" si="77">(J368-I368)+K367</f>
        <v>0.41250000000000131</v>
      </c>
    </row>
    <row r="369" spans="1:11" x14ac:dyDescent="0.25">
      <c r="A369" s="111"/>
      <c r="B369" s="206" t="s">
        <v>307</v>
      </c>
      <c r="C369" s="207">
        <v>7</v>
      </c>
      <c r="D369" s="192">
        <v>44812</v>
      </c>
      <c r="E369" s="191" t="s">
        <v>218</v>
      </c>
      <c r="F369" s="209">
        <v>1.0504178579087147</v>
      </c>
      <c r="G369" s="191" t="s">
        <v>303</v>
      </c>
      <c r="H369" s="210" t="s">
        <v>300</v>
      </c>
      <c r="I369" s="193">
        <v>0.75</v>
      </c>
      <c r="J369" s="193">
        <v>0.79166666666666696</v>
      </c>
      <c r="K369" s="194">
        <f t="shared" si="77"/>
        <v>0.45416666666666827</v>
      </c>
    </row>
    <row r="370" spans="1:11" x14ac:dyDescent="0.25">
      <c r="A370" s="111"/>
      <c r="B370" s="190"/>
      <c r="C370" s="191"/>
      <c r="D370" s="192"/>
      <c r="E370" s="191"/>
      <c r="F370" s="118"/>
      <c r="G370" s="191"/>
      <c r="H370" s="191"/>
      <c r="I370" s="193"/>
      <c r="J370" s="193"/>
      <c r="K370" s="194"/>
    </row>
    <row r="371" spans="1:11" x14ac:dyDescent="0.25">
      <c r="A371" s="111"/>
      <c r="B371" s="206" t="s">
        <v>307</v>
      </c>
      <c r="C371" s="207">
        <v>1</v>
      </c>
      <c r="D371" s="208">
        <v>44740</v>
      </c>
      <c r="E371" s="191" t="s">
        <v>305</v>
      </c>
      <c r="F371" s="209">
        <v>8.0842435941330688E-3</v>
      </c>
      <c r="G371" s="209" t="s">
        <v>303</v>
      </c>
      <c r="H371" s="210" t="s">
        <v>306</v>
      </c>
      <c r="I371" s="193">
        <v>0.66666666666666663</v>
      </c>
      <c r="J371" s="193">
        <v>0.70833333333333337</v>
      </c>
      <c r="K371" s="211">
        <f>(J371-I371)+K370</f>
        <v>4.1666666666666741E-2</v>
      </c>
    </row>
    <row r="372" spans="1:11" x14ac:dyDescent="0.25">
      <c r="A372" s="111"/>
      <c r="B372" s="206" t="s">
        <v>307</v>
      </c>
      <c r="C372" s="207">
        <v>2</v>
      </c>
      <c r="D372" s="192">
        <v>44789</v>
      </c>
      <c r="E372" s="191" t="s">
        <v>305</v>
      </c>
      <c r="F372" s="209">
        <v>4.6354671960191444E-3</v>
      </c>
      <c r="G372" s="209" t="s">
        <v>303</v>
      </c>
      <c r="H372" s="210" t="s">
        <v>306</v>
      </c>
      <c r="I372" s="193">
        <v>0.75</v>
      </c>
      <c r="J372" s="193">
        <v>0.79166666666666663</v>
      </c>
      <c r="K372" s="194">
        <f t="shared" ref="K372" si="78">(J372-I372)+K371</f>
        <v>8.333333333333337E-2</v>
      </c>
    </row>
    <row r="373" spans="1:11" x14ac:dyDescent="0.25">
      <c r="A373" s="111"/>
      <c r="B373" s="206" t="s">
        <v>307</v>
      </c>
      <c r="C373" s="207">
        <v>3</v>
      </c>
      <c r="D373" s="192">
        <v>44810</v>
      </c>
      <c r="E373" s="191" t="s">
        <v>315</v>
      </c>
      <c r="F373" s="209">
        <v>5.996379487658781E-3</v>
      </c>
      <c r="G373" s="191" t="s">
        <v>303</v>
      </c>
      <c r="H373" s="210" t="s">
        <v>306</v>
      </c>
      <c r="I373" s="193">
        <v>0.70833333333333304</v>
      </c>
      <c r="J373" s="193">
        <v>0.875</v>
      </c>
      <c r="K373" s="194">
        <f t="shared" ref="K373" si="79">(J373-I373)+K372</f>
        <v>0.25000000000000033</v>
      </c>
    </row>
    <row r="374" spans="1:11" x14ac:dyDescent="0.25">
      <c r="A374" s="111"/>
      <c r="B374" s="206" t="s">
        <v>307</v>
      </c>
      <c r="C374" s="207">
        <v>4</v>
      </c>
      <c r="D374" s="192">
        <v>44811</v>
      </c>
      <c r="E374" s="191" t="s">
        <v>218</v>
      </c>
      <c r="F374" s="209">
        <v>4.8818271424253224E-3</v>
      </c>
      <c r="G374" s="191" t="s">
        <v>303</v>
      </c>
      <c r="H374" s="210" t="s">
        <v>306</v>
      </c>
      <c r="I374" s="193">
        <v>0.75</v>
      </c>
      <c r="J374" s="193">
        <v>0.83333333333333304</v>
      </c>
      <c r="K374" s="194">
        <f t="shared" ref="K374" si="80">(J374-I374)+K373</f>
        <v>0.33333333333333337</v>
      </c>
    </row>
    <row r="375" spans="1:11" x14ac:dyDescent="0.25">
      <c r="A375" s="111"/>
      <c r="B375" s="206" t="s">
        <v>307</v>
      </c>
      <c r="C375" s="207">
        <v>5</v>
      </c>
      <c r="D375" s="192">
        <v>44811</v>
      </c>
      <c r="E375" s="191" t="s">
        <v>315</v>
      </c>
      <c r="F375" s="209">
        <v>2.9737876619286576E-3</v>
      </c>
      <c r="G375" s="191" t="s">
        <v>303</v>
      </c>
      <c r="H375" s="210" t="s">
        <v>306</v>
      </c>
      <c r="I375" s="193">
        <v>0.83333333333333304</v>
      </c>
      <c r="J375" s="193">
        <v>0.84166666666666701</v>
      </c>
      <c r="K375" s="194">
        <f t="shared" ref="K375:K376" si="81">(J375-I375)+K374</f>
        <v>0.34166666666666734</v>
      </c>
    </row>
    <row r="376" spans="1:11" x14ac:dyDescent="0.25">
      <c r="A376" s="111"/>
      <c r="B376" s="206" t="s">
        <v>307</v>
      </c>
      <c r="C376" s="207">
        <v>6</v>
      </c>
      <c r="D376" s="192">
        <v>44812</v>
      </c>
      <c r="E376" s="191" t="s">
        <v>218</v>
      </c>
      <c r="F376" s="209">
        <v>0</v>
      </c>
      <c r="G376" s="191" t="s">
        <v>303</v>
      </c>
      <c r="H376" s="210" t="s">
        <v>306</v>
      </c>
      <c r="I376" s="193">
        <v>0.75</v>
      </c>
      <c r="J376" s="193">
        <v>0.79166666666666696</v>
      </c>
      <c r="K376" s="194">
        <f t="shared" si="81"/>
        <v>0.3833333333333343</v>
      </c>
    </row>
    <row r="377" spans="1:11" x14ac:dyDescent="0.25">
      <c r="A377" s="111"/>
      <c r="B377" s="190"/>
      <c r="C377" s="191"/>
      <c r="D377" s="192"/>
      <c r="E377" s="191"/>
      <c r="F377" s="118"/>
      <c r="G377" s="191"/>
      <c r="H377" s="191"/>
      <c r="I377" s="193"/>
      <c r="J377" s="193"/>
      <c r="K377" s="194"/>
    </row>
    <row r="378" spans="1:11" x14ac:dyDescent="0.25">
      <c r="A378" s="111"/>
      <c r="B378" s="206" t="s">
        <v>307</v>
      </c>
      <c r="C378" s="207">
        <v>1</v>
      </c>
      <c r="D378" s="208">
        <v>44740</v>
      </c>
      <c r="E378" s="191" t="s">
        <v>305</v>
      </c>
      <c r="F378" s="209">
        <v>4.0580143317492982E-2</v>
      </c>
      <c r="G378" s="209" t="s">
        <v>303</v>
      </c>
      <c r="H378" s="210" t="s">
        <v>271</v>
      </c>
      <c r="I378" s="193">
        <v>0.66666666666666663</v>
      </c>
      <c r="J378" s="193">
        <v>0.70833333333333337</v>
      </c>
      <c r="K378" s="211">
        <f>J378-I378</f>
        <v>4.1666666666666741E-2</v>
      </c>
    </row>
    <row r="379" spans="1:11" x14ac:dyDescent="0.25">
      <c r="A379" s="111"/>
      <c r="B379" s="206" t="s">
        <v>307</v>
      </c>
      <c r="C379" s="207">
        <v>2</v>
      </c>
      <c r="D379" s="192">
        <v>44789</v>
      </c>
      <c r="E379" s="191" t="s">
        <v>305</v>
      </c>
      <c r="F379" s="209">
        <v>2.3845293988733786E-2</v>
      </c>
      <c r="G379" s="209" t="s">
        <v>303</v>
      </c>
      <c r="H379" s="210" t="s">
        <v>271</v>
      </c>
      <c r="I379" s="193">
        <v>0.75</v>
      </c>
      <c r="J379" s="193">
        <v>0.79166666666666663</v>
      </c>
      <c r="K379" s="194">
        <f t="shared" ref="K379" si="82">(J379-I379)+K378</f>
        <v>8.333333333333337E-2</v>
      </c>
    </row>
    <row r="380" spans="1:11" x14ac:dyDescent="0.25">
      <c r="A380" s="111"/>
      <c r="B380" s="206" t="s">
        <v>307</v>
      </c>
      <c r="C380" s="207">
        <v>3</v>
      </c>
      <c r="D380" s="192">
        <v>44809</v>
      </c>
      <c r="E380" s="191" t="s">
        <v>315</v>
      </c>
      <c r="F380" s="209">
        <v>2.8217800883187261E-2</v>
      </c>
      <c r="G380" s="191" t="s">
        <v>303</v>
      </c>
      <c r="H380" s="210" t="s">
        <v>271</v>
      </c>
      <c r="I380" s="193">
        <v>0.77916666666666701</v>
      </c>
      <c r="J380" s="193">
        <v>0.84166666666666701</v>
      </c>
      <c r="K380" s="194">
        <f t="shared" ref="K380" si="83">(J380-I380)+K379</f>
        <v>0.14583333333333337</v>
      </c>
    </row>
    <row r="381" spans="1:11" x14ac:dyDescent="0.25">
      <c r="A381" s="111"/>
      <c r="B381" s="206" t="s">
        <v>307</v>
      </c>
      <c r="C381" s="207">
        <v>4</v>
      </c>
      <c r="D381" s="192">
        <v>44810</v>
      </c>
      <c r="E381" s="191" t="s">
        <v>315</v>
      </c>
      <c r="F381" s="209">
        <v>3.3896334409370711E-2</v>
      </c>
      <c r="G381" s="191" t="s">
        <v>303</v>
      </c>
      <c r="H381" s="210" t="s">
        <v>271</v>
      </c>
      <c r="I381" s="193">
        <v>0.70833333333333304</v>
      </c>
      <c r="J381" s="193">
        <v>0.875</v>
      </c>
      <c r="K381" s="194">
        <f t="shared" ref="K381:K382" si="84">(J381-I381)+K380</f>
        <v>0.31250000000000033</v>
      </c>
    </row>
    <row r="382" spans="1:11" x14ac:dyDescent="0.25">
      <c r="A382" s="111"/>
      <c r="B382" s="206" t="s">
        <v>307</v>
      </c>
      <c r="C382" s="207">
        <v>5</v>
      </c>
      <c r="D382" s="192">
        <v>44811</v>
      </c>
      <c r="E382" s="191" t="s">
        <v>218</v>
      </c>
      <c r="F382" s="209">
        <v>2.8217800883187261E-2</v>
      </c>
      <c r="G382" s="191" t="s">
        <v>303</v>
      </c>
      <c r="H382" s="210" t="s">
        <v>271</v>
      </c>
      <c r="I382" s="193">
        <v>0.75</v>
      </c>
      <c r="J382" s="193">
        <v>0.83333333333333304</v>
      </c>
      <c r="K382" s="194">
        <f t="shared" si="84"/>
        <v>0.39583333333333337</v>
      </c>
    </row>
    <row r="383" spans="1:11" x14ac:dyDescent="0.25">
      <c r="A383" s="111"/>
      <c r="B383" s="206" t="s">
        <v>307</v>
      </c>
      <c r="C383" s="207">
        <v>6</v>
      </c>
      <c r="D383" s="192">
        <v>44811</v>
      </c>
      <c r="E383" s="191" t="s">
        <v>315</v>
      </c>
      <c r="F383" s="209">
        <v>1.7189004375827401E-2</v>
      </c>
      <c r="G383" s="191" t="s">
        <v>303</v>
      </c>
      <c r="H383" s="210" t="s">
        <v>271</v>
      </c>
      <c r="I383" s="193">
        <v>0.83333333333333304</v>
      </c>
      <c r="J383" s="193">
        <v>0.84166666666666701</v>
      </c>
      <c r="K383" s="194">
        <f t="shared" ref="K383:K384" si="85">(J383-I383)+K382</f>
        <v>0.40416666666666734</v>
      </c>
    </row>
    <row r="384" spans="1:11" x14ac:dyDescent="0.25">
      <c r="A384" s="111"/>
      <c r="B384" s="206" t="s">
        <v>307</v>
      </c>
      <c r="C384" s="207">
        <v>7</v>
      </c>
      <c r="D384" s="192">
        <v>44812</v>
      </c>
      <c r="E384" s="191" t="s">
        <v>218</v>
      </c>
      <c r="F384" s="209">
        <v>2.64390237785775E-2</v>
      </c>
      <c r="G384" s="191" t="s">
        <v>303</v>
      </c>
      <c r="H384" s="210" t="s">
        <v>271</v>
      </c>
      <c r="I384" s="193">
        <v>0.75</v>
      </c>
      <c r="J384" s="193">
        <v>0.83333333333333304</v>
      </c>
      <c r="K384" s="194">
        <f t="shared" si="85"/>
        <v>0.48750000000000038</v>
      </c>
    </row>
    <row r="385" spans="1:11" x14ac:dyDescent="0.25">
      <c r="A385" s="111"/>
      <c r="B385" s="190"/>
      <c r="C385" s="191"/>
      <c r="D385" s="192"/>
      <c r="E385" s="191"/>
      <c r="F385" s="118"/>
      <c r="G385" s="191"/>
      <c r="H385" s="191"/>
      <c r="I385" s="193"/>
      <c r="J385" s="193"/>
      <c r="K385" s="194"/>
    </row>
    <row r="386" spans="1:11" x14ac:dyDescent="0.25">
      <c r="A386" s="111"/>
      <c r="B386" s="206" t="s">
        <v>314</v>
      </c>
      <c r="C386" s="207">
        <v>1</v>
      </c>
      <c r="D386" s="208">
        <v>44740</v>
      </c>
      <c r="E386" s="191" t="s">
        <v>305</v>
      </c>
      <c r="F386" s="209">
        <v>30.142005916869735</v>
      </c>
      <c r="G386" s="209" t="s">
        <v>303</v>
      </c>
      <c r="H386" s="210" t="s">
        <v>308</v>
      </c>
      <c r="I386" s="193">
        <v>0.66666666666666663</v>
      </c>
      <c r="J386" s="193">
        <v>0.70833333333333337</v>
      </c>
      <c r="K386" s="211">
        <f>J386-I386</f>
        <v>4.1666666666666741E-2</v>
      </c>
    </row>
    <row r="387" spans="1:11" x14ac:dyDescent="0.25">
      <c r="A387" s="111"/>
      <c r="B387" s="206" t="s">
        <v>314</v>
      </c>
      <c r="C387" s="207">
        <v>2</v>
      </c>
      <c r="D387" s="192">
        <v>44789</v>
      </c>
      <c r="E387" s="191" t="s">
        <v>305</v>
      </c>
      <c r="F387" s="209">
        <v>32.236690693175504</v>
      </c>
      <c r="G387" s="209" t="s">
        <v>303</v>
      </c>
      <c r="H387" s="210" t="s">
        <v>308</v>
      </c>
      <c r="I387" s="193">
        <v>0.75</v>
      </c>
      <c r="J387" s="193">
        <v>0.79166666666666663</v>
      </c>
      <c r="K387" s="194">
        <f t="shared" ref="K387" si="86">(J387-I387)+K386</f>
        <v>8.333333333333337E-2</v>
      </c>
    </row>
    <row r="388" spans="1:11" x14ac:dyDescent="0.25">
      <c r="A388" s="111"/>
      <c r="B388" s="206" t="s">
        <v>314</v>
      </c>
      <c r="C388" s="207">
        <v>3</v>
      </c>
      <c r="D388" s="192">
        <v>44809</v>
      </c>
      <c r="E388" s="191" t="s">
        <v>315</v>
      </c>
      <c r="F388" s="209">
        <v>37.803032535586858</v>
      </c>
      <c r="G388" s="191" t="s">
        <v>303</v>
      </c>
      <c r="H388" s="210" t="s">
        <v>308</v>
      </c>
      <c r="I388" s="193">
        <v>0.77083333333333304</v>
      </c>
      <c r="J388" s="193">
        <v>0.84166666666666701</v>
      </c>
      <c r="K388" s="194">
        <f t="shared" ref="K388" si="87">(J388-I388)+K387</f>
        <v>0.15416666666666734</v>
      </c>
    </row>
    <row r="389" spans="1:11" x14ac:dyDescent="0.25">
      <c r="A389" s="111"/>
      <c r="B389" s="206" t="s">
        <v>314</v>
      </c>
      <c r="C389" s="207">
        <v>4</v>
      </c>
      <c r="D389" s="192">
        <v>44810</v>
      </c>
      <c r="E389" s="191" t="s">
        <v>315</v>
      </c>
      <c r="F389" s="209">
        <v>36.929414429927149</v>
      </c>
      <c r="G389" s="191" t="s">
        <v>303</v>
      </c>
      <c r="H389" s="210" t="s">
        <v>308</v>
      </c>
      <c r="I389" s="193">
        <v>0.70833333333333304</v>
      </c>
      <c r="J389" s="193">
        <v>0.875</v>
      </c>
      <c r="K389" s="194">
        <f t="shared" ref="K389:K390" si="88">(J389-I389)+K388</f>
        <v>0.3208333333333343</v>
      </c>
    </row>
    <row r="390" spans="1:11" x14ac:dyDescent="0.25">
      <c r="A390" s="111"/>
      <c r="B390" s="206" t="s">
        <v>314</v>
      </c>
      <c r="C390" s="207">
        <v>5</v>
      </c>
      <c r="D390" s="192">
        <v>44811</v>
      </c>
      <c r="E390" s="191" t="s">
        <v>218</v>
      </c>
      <c r="F390" s="209">
        <v>37.75539028449176</v>
      </c>
      <c r="G390" s="191" t="s">
        <v>303</v>
      </c>
      <c r="H390" s="210" t="s">
        <v>308</v>
      </c>
      <c r="I390" s="193">
        <v>0.75</v>
      </c>
      <c r="J390" s="193">
        <v>0.83333333333333304</v>
      </c>
      <c r="K390" s="194">
        <f t="shared" si="88"/>
        <v>0.40416666666666734</v>
      </c>
    </row>
    <row r="391" spans="1:11" x14ac:dyDescent="0.25">
      <c r="A391" s="111"/>
      <c r="B391" s="206" t="s">
        <v>314</v>
      </c>
      <c r="C391" s="207">
        <v>6</v>
      </c>
      <c r="D391" s="192">
        <v>44811</v>
      </c>
      <c r="E391" s="191" t="s">
        <v>315</v>
      </c>
      <c r="F391" s="209">
        <v>31.334107030620732</v>
      </c>
      <c r="G391" s="191" t="s">
        <v>303</v>
      </c>
      <c r="H391" s="210" t="s">
        <v>308</v>
      </c>
      <c r="I391" s="193">
        <v>0.83333333333333304</v>
      </c>
      <c r="J391" s="193">
        <v>0.84166666666666701</v>
      </c>
      <c r="K391" s="194">
        <f t="shared" ref="K391:K392" si="89">(J391-I391)+K390</f>
        <v>0.41250000000000131</v>
      </c>
    </row>
    <row r="392" spans="1:11" x14ac:dyDescent="0.25">
      <c r="A392" s="111"/>
      <c r="B392" s="206" t="s">
        <v>314</v>
      </c>
      <c r="C392" s="207">
        <v>7</v>
      </c>
      <c r="D392" s="192">
        <v>44812</v>
      </c>
      <c r="E392" s="191" t="s">
        <v>218</v>
      </c>
      <c r="F392" s="209">
        <v>35.532843870892002</v>
      </c>
      <c r="G392" s="191" t="s">
        <v>303</v>
      </c>
      <c r="H392" s="210" t="s">
        <v>308</v>
      </c>
      <c r="I392" s="193">
        <v>0.75</v>
      </c>
      <c r="J392" s="193">
        <v>0.83333333333333304</v>
      </c>
      <c r="K392" s="194">
        <f t="shared" si="89"/>
        <v>0.49583333333333435</v>
      </c>
    </row>
    <row r="393" spans="1:11" x14ac:dyDescent="0.25">
      <c r="A393" s="111"/>
      <c r="B393" s="190"/>
      <c r="C393" s="191"/>
      <c r="D393" s="192"/>
      <c r="E393" s="191"/>
      <c r="F393" s="118"/>
      <c r="G393" s="191"/>
      <c r="H393" s="191"/>
      <c r="I393" s="193"/>
      <c r="J393" s="193"/>
      <c r="K393" s="194"/>
    </row>
    <row r="394" spans="1:11" x14ac:dyDescent="0.25">
      <c r="A394" s="111"/>
      <c r="B394" s="206" t="s">
        <v>314</v>
      </c>
      <c r="C394" s="207">
        <v>1</v>
      </c>
      <c r="D394" s="208">
        <v>44740</v>
      </c>
      <c r="E394" s="191" t="s">
        <v>305</v>
      </c>
      <c r="F394" s="209">
        <v>17.65592623899061</v>
      </c>
      <c r="G394" s="209" t="s">
        <v>303</v>
      </c>
      <c r="H394" s="210" t="s">
        <v>309</v>
      </c>
      <c r="I394" s="193">
        <v>0.66666666666666663</v>
      </c>
      <c r="J394" s="193">
        <v>0.70833333333333337</v>
      </c>
      <c r="K394" s="211">
        <f>J394-I394</f>
        <v>4.1666666666666741E-2</v>
      </c>
    </row>
    <row r="395" spans="1:11" x14ac:dyDescent="0.25">
      <c r="A395" s="111"/>
      <c r="B395" s="206" t="s">
        <v>314</v>
      </c>
      <c r="C395" s="207">
        <v>2</v>
      </c>
      <c r="D395" s="192">
        <v>44789</v>
      </c>
      <c r="E395" s="191" t="s">
        <v>305</v>
      </c>
      <c r="F395" s="209">
        <v>18.955221042370599</v>
      </c>
      <c r="G395" s="209" t="s">
        <v>303</v>
      </c>
      <c r="H395" s="210" t="s">
        <v>309</v>
      </c>
      <c r="I395" s="193">
        <v>0.75</v>
      </c>
      <c r="J395" s="193">
        <v>0.79166666666666663</v>
      </c>
      <c r="K395" s="194">
        <f t="shared" ref="K395" si="90">(J395-I395)+K394</f>
        <v>8.333333333333337E-2</v>
      </c>
    </row>
    <row r="396" spans="1:11" x14ac:dyDescent="0.25">
      <c r="A396" s="111"/>
      <c r="B396" s="206" t="s">
        <v>314</v>
      </c>
      <c r="C396" s="207">
        <v>3</v>
      </c>
      <c r="D396" s="192">
        <v>44809</v>
      </c>
      <c r="E396" s="191" t="s">
        <v>315</v>
      </c>
      <c r="F396" s="209">
        <v>22.150517458268961</v>
      </c>
      <c r="G396" s="191" t="s">
        <v>303</v>
      </c>
      <c r="H396" s="210" t="s">
        <v>309</v>
      </c>
      <c r="I396" s="193">
        <v>0.77083333333333304</v>
      </c>
      <c r="J396" s="193">
        <v>0.84166666666666701</v>
      </c>
      <c r="K396" s="194">
        <f t="shared" ref="K396" si="91">(J396-I396)+K395</f>
        <v>0.15416666666666734</v>
      </c>
    </row>
    <row r="397" spans="1:11" x14ac:dyDescent="0.25">
      <c r="A397" s="111"/>
      <c r="B397" s="206" t="s">
        <v>314</v>
      </c>
      <c r="C397" s="207">
        <v>4</v>
      </c>
      <c r="D397" s="192">
        <v>44810</v>
      </c>
      <c r="E397" s="191" t="s">
        <v>315</v>
      </c>
      <c r="F397" s="209">
        <v>21.658647890309581</v>
      </c>
      <c r="G397" s="191" t="s">
        <v>303</v>
      </c>
      <c r="H397" s="210" t="s">
        <v>309</v>
      </c>
      <c r="I397" s="193">
        <v>0.70833333333333304</v>
      </c>
      <c r="J397" s="193">
        <v>0.875</v>
      </c>
      <c r="K397" s="194">
        <f t="shared" ref="K397:K398" si="92">(J397-I397)+K396</f>
        <v>0.3208333333333343</v>
      </c>
    </row>
    <row r="398" spans="1:11" x14ac:dyDescent="0.25">
      <c r="A398" s="111"/>
      <c r="B398" s="206" t="s">
        <v>314</v>
      </c>
      <c r="C398" s="207">
        <v>5</v>
      </c>
      <c r="D398" s="192">
        <v>44811</v>
      </c>
      <c r="E398" s="191" t="s">
        <v>218</v>
      </c>
      <c r="F398" s="209">
        <v>22.135771882066191</v>
      </c>
      <c r="G398" s="191" t="s">
        <v>303</v>
      </c>
      <c r="H398" s="210" t="s">
        <v>309</v>
      </c>
      <c r="I398" s="193">
        <v>0.75</v>
      </c>
      <c r="J398" s="193">
        <v>0.83333333333333304</v>
      </c>
      <c r="K398" s="194">
        <f t="shared" si="92"/>
        <v>0.40416666666666734</v>
      </c>
    </row>
    <row r="399" spans="1:11" x14ac:dyDescent="0.25">
      <c r="A399" s="111"/>
      <c r="B399" s="206" t="s">
        <v>314</v>
      </c>
      <c r="C399" s="207">
        <v>6</v>
      </c>
      <c r="D399" s="192">
        <v>44811</v>
      </c>
      <c r="E399" s="191" t="s">
        <v>315</v>
      </c>
      <c r="F399" s="209">
        <v>18.371009811623352</v>
      </c>
      <c r="G399" s="191" t="s">
        <v>303</v>
      </c>
      <c r="H399" s="210" t="s">
        <v>309</v>
      </c>
      <c r="I399" s="193">
        <v>0.83333333333333304</v>
      </c>
      <c r="J399" s="193">
        <v>0.84166666666666701</v>
      </c>
      <c r="K399" s="194">
        <f t="shared" ref="K399:K400" si="93">(J399-I399)+K398</f>
        <v>0.41250000000000131</v>
      </c>
    </row>
    <row r="400" spans="1:11" x14ac:dyDescent="0.25">
      <c r="A400" s="111"/>
      <c r="B400" s="206" t="s">
        <v>314</v>
      </c>
      <c r="C400" s="207">
        <v>7</v>
      </c>
      <c r="D400" s="192">
        <v>44812</v>
      </c>
      <c r="E400" s="191" t="s">
        <v>218</v>
      </c>
      <c r="F400" s="209">
        <v>20.854493715262095</v>
      </c>
      <c r="G400" s="191" t="s">
        <v>303</v>
      </c>
      <c r="H400" s="210" t="s">
        <v>309</v>
      </c>
      <c r="I400" s="193">
        <v>0.75</v>
      </c>
      <c r="J400" s="193">
        <v>0.83333333333333304</v>
      </c>
      <c r="K400" s="194">
        <f t="shared" si="93"/>
        <v>0.49583333333333435</v>
      </c>
    </row>
    <row r="401" spans="1:11" x14ac:dyDescent="0.25">
      <c r="A401" s="111"/>
      <c r="B401" s="190"/>
      <c r="C401" s="191"/>
      <c r="D401" s="192"/>
      <c r="E401" s="191"/>
      <c r="F401" s="118"/>
      <c r="G401" s="191"/>
      <c r="H401" s="191"/>
      <c r="I401" s="193"/>
      <c r="J401" s="193"/>
      <c r="K401" s="194"/>
    </row>
    <row r="402" spans="1:11" x14ac:dyDescent="0.25">
      <c r="A402" s="111"/>
      <c r="B402" s="206" t="s">
        <v>314</v>
      </c>
      <c r="C402" s="207">
        <v>1</v>
      </c>
      <c r="D402" s="208">
        <v>44740</v>
      </c>
      <c r="E402" s="191" t="s">
        <v>305</v>
      </c>
      <c r="F402" s="209">
        <v>9.2338802152987167</v>
      </c>
      <c r="G402" s="209" t="s">
        <v>303</v>
      </c>
      <c r="H402" s="210" t="s">
        <v>310</v>
      </c>
      <c r="I402" s="193">
        <v>0.66666666666666663</v>
      </c>
      <c r="J402" s="193">
        <v>0.70833333333333337</v>
      </c>
      <c r="K402" s="211">
        <f>J402-I402</f>
        <v>4.1666666666666741E-2</v>
      </c>
    </row>
    <row r="403" spans="1:11" x14ac:dyDescent="0.25">
      <c r="A403" s="111"/>
      <c r="B403" s="206" t="s">
        <v>314</v>
      </c>
      <c r="C403" s="207">
        <v>2</v>
      </c>
      <c r="D403" s="192">
        <v>44789</v>
      </c>
      <c r="E403" s="191" t="s">
        <v>305</v>
      </c>
      <c r="F403" s="209">
        <v>9.8376854371317837</v>
      </c>
      <c r="G403" s="209" t="s">
        <v>303</v>
      </c>
      <c r="H403" s="210" t="s">
        <v>310</v>
      </c>
      <c r="I403" s="193">
        <v>0.75</v>
      </c>
      <c r="J403" s="193">
        <v>0.79166666666666663</v>
      </c>
      <c r="K403" s="194">
        <f t="shared" ref="K403" si="94">(J403-I403)+K402</f>
        <v>8.333333333333337E-2</v>
      </c>
    </row>
    <row r="404" spans="1:11" x14ac:dyDescent="0.25">
      <c r="A404" s="111"/>
      <c r="B404" s="206" t="s">
        <v>314</v>
      </c>
      <c r="C404" s="207">
        <v>3</v>
      </c>
      <c r="D404" s="192">
        <v>44809</v>
      </c>
      <c r="E404" s="191" t="s">
        <v>315</v>
      </c>
      <c r="F404" s="209">
        <v>10.869652988439221</v>
      </c>
      <c r="G404" s="191" t="s">
        <v>303</v>
      </c>
      <c r="H404" s="210" t="s">
        <v>310</v>
      </c>
      <c r="I404" s="193">
        <v>0.77083333333333304</v>
      </c>
      <c r="J404" s="193">
        <v>0.84166666666666701</v>
      </c>
      <c r="K404" s="194">
        <f t="shared" ref="K404" si="95">(J404-I404)+K403</f>
        <v>0.15416666666666734</v>
      </c>
    </row>
    <row r="405" spans="1:11" x14ac:dyDescent="0.25">
      <c r="A405" s="111"/>
      <c r="B405" s="206" t="s">
        <v>314</v>
      </c>
      <c r="C405" s="207">
        <v>4</v>
      </c>
      <c r="D405" s="192">
        <v>44810</v>
      </c>
      <c r="E405" s="191" t="s">
        <v>315</v>
      </c>
      <c r="F405" s="209">
        <v>10.750551317203717</v>
      </c>
      <c r="G405" s="191" t="s">
        <v>303</v>
      </c>
      <c r="H405" s="210" t="s">
        <v>310</v>
      </c>
      <c r="I405" s="193">
        <v>0.70833333333333304</v>
      </c>
      <c r="J405" s="193">
        <v>0.875</v>
      </c>
      <c r="K405" s="194">
        <f t="shared" ref="K405:K406" si="96">(J405-I405)+K404</f>
        <v>0.3208333333333343</v>
      </c>
    </row>
    <row r="406" spans="1:11" x14ac:dyDescent="0.25">
      <c r="A406" s="111"/>
      <c r="B406" s="206" t="s">
        <v>314</v>
      </c>
      <c r="C406" s="207">
        <v>5</v>
      </c>
      <c r="D406" s="192">
        <v>44811</v>
      </c>
      <c r="E406" s="191" t="s">
        <v>218</v>
      </c>
      <c r="F406" s="209">
        <v>10.861984311972414</v>
      </c>
      <c r="G406" s="191" t="s">
        <v>303</v>
      </c>
      <c r="H406" s="210" t="s">
        <v>310</v>
      </c>
      <c r="I406" s="193">
        <v>0.75</v>
      </c>
      <c r="J406" s="193">
        <v>0.83333333333333304</v>
      </c>
      <c r="K406" s="194">
        <f t="shared" si="96"/>
        <v>0.40416666666666734</v>
      </c>
    </row>
    <row r="407" spans="1:11" x14ac:dyDescent="0.25">
      <c r="A407" s="111"/>
      <c r="B407" s="206" t="s">
        <v>314</v>
      </c>
      <c r="C407" s="207">
        <v>6</v>
      </c>
      <c r="D407" s="192">
        <v>44811</v>
      </c>
      <c r="E407" s="191" t="s">
        <v>315</v>
      </c>
      <c r="F407" s="209">
        <v>9.0146221885585405</v>
      </c>
      <c r="G407" s="191" t="s">
        <v>303</v>
      </c>
      <c r="H407" s="210" t="s">
        <v>310</v>
      </c>
      <c r="I407" s="193">
        <v>0.83333333333333304</v>
      </c>
      <c r="J407" s="193">
        <v>0.84166666666666701</v>
      </c>
      <c r="K407" s="194">
        <f t="shared" ref="K407:K408" si="97">(J407-I407)+K406</f>
        <v>0.41250000000000131</v>
      </c>
    </row>
    <row r="408" spans="1:11" x14ac:dyDescent="0.25">
      <c r="A408" s="111"/>
      <c r="B408" s="206" t="s">
        <v>314</v>
      </c>
      <c r="C408" s="207">
        <v>7</v>
      </c>
      <c r="D408" s="192">
        <v>44812</v>
      </c>
      <c r="E408" s="191" t="s">
        <v>218</v>
      </c>
      <c r="F408" s="209">
        <v>10.478430523658831</v>
      </c>
      <c r="G408" s="191" t="s">
        <v>303</v>
      </c>
      <c r="H408" s="210" t="s">
        <v>310</v>
      </c>
      <c r="I408" s="193">
        <v>0.75</v>
      </c>
      <c r="J408" s="193">
        <v>0.83333333333333304</v>
      </c>
      <c r="K408" s="194">
        <f t="shared" si="97"/>
        <v>0.49583333333333435</v>
      </c>
    </row>
    <row r="409" spans="1:11" x14ac:dyDescent="0.25">
      <c r="A409" s="111"/>
      <c r="B409" s="190"/>
      <c r="C409" s="191"/>
      <c r="D409" s="192"/>
      <c r="E409" s="191"/>
      <c r="F409" s="118"/>
      <c r="G409" s="191"/>
      <c r="H409" s="191"/>
      <c r="I409" s="193"/>
      <c r="J409" s="193"/>
      <c r="K409" s="194"/>
    </row>
    <row r="410" spans="1:11" x14ac:dyDescent="0.25">
      <c r="A410" s="111"/>
      <c r="B410" s="206" t="s">
        <v>314</v>
      </c>
      <c r="C410" s="207">
        <v>1</v>
      </c>
      <c r="D410" s="208">
        <v>44740</v>
      </c>
      <c r="E410" s="191" t="s">
        <v>305</v>
      </c>
      <c r="F410" s="209">
        <v>37.464897264898298</v>
      </c>
      <c r="G410" s="209" t="s">
        <v>303</v>
      </c>
      <c r="H410" s="210" t="s">
        <v>311</v>
      </c>
      <c r="I410" s="193">
        <v>0.66666666666666663</v>
      </c>
      <c r="J410" s="193">
        <v>0.70833333333333337</v>
      </c>
      <c r="K410" s="211">
        <f>J410-I410</f>
        <v>4.1666666666666741E-2</v>
      </c>
    </row>
    <row r="411" spans="1:11" x14ac:dyDescent="0.25">
      <c r="A411" s="111"/>
      <c r="B411" s="206" t="s">
        <v>314</v>
      </c>
      <c r="C411" s="207">
        <v>2</v>
      </c>
      <c r="D411" s="192">
        <v>44789</v>
      </c>
      <c r="E411" s="191" t="s">
        <v>305</v>
      </c>
      <c r="F411" s="209">
        <v>40.197250482775097</v>
      </c>
      <c r="G411" s="209" t="s">
        <v>303</v>
      </c>
      <c r="H411" s="210" t="s">
        <v>311</v>
      </c>
      <c r="I411" s="193">
        <v>0.75</v>
      </c>
      <c r="J411" s="193">
        <v>0.79166666666666663</v>
      </c>
      <c r="K411" s="194">
        <f t="shared" ref="K411" si="98">(J411-I411)+K410</f>
        <v>8.333333333333337E-2</v>
      </c>
    </row>
    <row r="412" spans="1:11" x14ac:dyDescent="0.25">
      <c r="A412" s="111"/>
      <c r="B412" s="206" t="s">
        <v>314</v>
      </c>
      <c r="C412" s="207">
        <v>3</v>
      </c>
      <c r="D412" s="192">
        <v>44809</v>
      </c>
      <c r="E412" s="191" t="s">
        <v>315</v>
      </c>
      <c r="F412" s="209">
        <v>47.053163470582795</v>
      </c>
      <c r="G412" s="191" t="s">
        <v>303</v>
      </c>
      <c r="H412" s="210" t="s">
        <v>311</v>
      </c>
      <c r="I412" s="193">
        <v>0.77083333333333304</v>
      </c>
      <c r="J412" s="193">
        <v>0.84166666666666701</v>
      </c>
      <c r="K412" s="194">
        <f t="shared" ref="K412" si="99">(J412-I412)+K411</f>
        <v>0.15416666666666734</v>
      </c>
    </row>
    <row r="413" spans="1:11" x14ac:dyDescent="0.25">
      <c r="A413" s="111"/>
      <c r="B413" s="206" t="s">
        <v>314</v>
      </c>
      <c r="C413" s="207">
        <v>4</v>
      </c>
      <c r="D413" s="192">
        <v>44810</v>
      </c>
      <c r="E413" s="191" t="s">
        <v>315</v>
      </c>
      <c r="F413" s="209">
        <v>45.993830171756194</v>
      </c>
      <c r="G413" s="191" t="s">
        <v>303</v>
      </c>
      <c r="H413" s="210" t="s">
        <v>311</v>
      </c>
      <c r="I413" s="193">
        <v>0.70833333333333304</v>
      </c>
      <c r="J413" s="193">
        <v>0.875</v>
      </c>
      <c r="K413" s="194">
        <f t="shared" ref="K413:K414" si="100">(J413-I413)+K412</f>
        <v>0.3208333333333343</v>
      </c>
    </row>
    <row r="414" spans="1:11" x14ac:dyDescent="0.25">
      <c r="A414" s="111"/>
      <c r="B414" s="206" t="s">
        <v>314</v>
      </c>
      <c r="C414" s="207">
        <v>5</v>
      </c>
      <c r="D414" s="192">
        <v>44811</v>
      </c>
      <c r="E414" s="191" t="s">
        <v>218</v>
      </c>
      <c r="F414" s="209">
        <v>47.011141552338081</v>
      </c>
      <c r="G414" s="191" t="s">
        <v>303</v>
      </c>
      <c r="H414" s="210" t="s">
        <v>311</v>
      </c>
      <c r="I414" s="193">
        <v>0.75</v>
      </c>
      <c r="J414" s="193">
        <v>0.83333333333333304</v>
      </c>
      <c r="K414" s="194">
        <f t="shared" si="100"/>
        <v>0.40416666666666734</v>
      </c>
    </row>
    <row r="415" spans="1:11" x14ac:dyDescent="0.25">
      <c r="A415" s="111"/>
      <c r="B415" s="206" t="s">
        <v>314</v>
      </c>
      <c r="C415" s="207">
        <v>6</v>
      </c>
      <c r="D415" s="192">
        <v>44811</v>
      </c>
      <c r="E415" s="191" t="s">
        <v>315</v>
      </c>
      <c r="F415" s="209">
        <v>39.015677759731375</v>
      </c>
      <c r="G415" s="191" t="s">
        <v>303</v>
      </c>
      <c r="H415" s="210" t="s">
        <v>311</v>
      </c>
      <c r="I415" s="193">
        <v>0.83333333333333304</v>
      </c>
      <c r="J415" s="193">
        <v>0.84166666666666701</v>
      </c>
      <c r="K415" s="194">
        <f t="shared" ref="K415:K416" si="101">(J415-I415)+K414</f>
        <v>0.41250000000000131</v>
      </c>
    </row>
    <row r="416" spans="1:11" x14ac:dyDescent="0.25">
      <c r="A416" s="111"/>
      <c r="B416" s="206" t="s">
        <v>314</v>
      </c>
      <c r="C416" s="207">
        <v>7</v>
      </c>
      <c r="D416" s="192">
        <v>44812</v>
      </c>
      <c r="E416" s="191" t="s">
        <v>218</v>
      </c>
      <c r="F416" s="209">
        <v>44.246338230013478</v>
      </c>
      <c r="G416" s="191" t="s">
        <v>303</v>
      </c>
      <c r="H416" s="210" t="s">
        <v>311</v>
      </c>
      <c r="I416" s="193">
        <v>0.75</v>
      </c>
      <c r="J416" s="193">
        <v>0.83333333333333304</v>
      </c>
      <c r="K416" s="194">
        <f t="shared" si="101"/>
        <v>0.49583333333333435</v>
      </c>
    </row>
    <row r="417" spans="1:11" x14ac:dyDescent="0.25">
      <c r="A417" s="111"/>
      <c r="B417" s="190"/>
      <c r="C417" s="191"/>
      <c r="D417" s="192"/>
      <c r="E417" s="191"/>
      <c r="F417" s="118"/>
      <c r="G417" s="191"/>
      <c r="H417" s="191"/>
      <c r="I417" s="193"/>
      <c r="J417" s="193"/>
      <c r="K417" s="194"/>
    </row>
    <row r="418" spans="1:11" x14ac:dyDescent="0.25">
      <c r="A418" s="111"/>
      <c r="B418" s="206" t="s">
        <v>314</v>
      </c>
      <c r="C418" s="207">
        <v>1</v>
      </c>
      <c r="D418" s="208">
        <v>44740</v>
      </c>
      <c r="E418" s="191" t="s">
        <v>305</v>
      </c>
      <c r="F418" s="209">
        <v>19.51293022226524</v>
      </c>
      <c r="G418" s="209" t="s">
        <v>303</v>
      </c>
      <c r="H418" s="210" t="s">
        <v>299</v>
      </c>
      <c r="I418" s="193">
        <v>0.66666666666666663</v>
      </c>
      <c r="J418" s="193">
        <v>0.70833333333333337</v>
      </c>
      <c r="K418" s="211">
        <f>J418-I418</f>
        <v>4.1666666666666741E-2</v>
      </c>
    </row>
    <row r="419" spans="1:11" x14ac:dyDescent="0.25">
      <c r="A419" s="111"/>
      <c r="B419" s="206" t="s">
        <v>314</v>
      </c>
      <c r="C419" s="207">
        <v>2</v>
      </c>
      <c r="D419" s="192">
        <v>44789</v>
      </c>
      <c r="E419" s="191" t="s">
        <v>305</v>
      </c>
      <c r="F419" s="209">
        <v>22.290672580803886</v>
      </c>
      <c r="G419" s="209" t="s">
        <v>303</v>
      </c>
      <c r="H419" s="210" t="s">
        <v>299</v>
      </c>
      <c r="I419" s="193">
        <v>0.75</v>
      </c>
      <c r="J419" s="193">
        <v>0.79166666666666663</v>
      </c>
      <c r="K419" s="194">
        <f t="shared" ref="K419" si="102">(J419-I419)+K418</f>
        <v>8.333333333333337E-2</v>
      </c>
    </row>
    <row r="420" spans="1:11" x14ac:dyDescent="0.25">
      <c r="A420" s="111"/>
      <c r="B420" s="206" t="s">
        <v>314</v>
      </c>
      <c r="C420" s="207">
        <v>3</v>
      </c>
      <c r="D420" s="192">
        <v>44809</v>
      </c>
      <c r="E420" s="191" t="s">
        <v>315</v>
      </c>
      <c r="F420" s="209">
        <v>27.306632102534515</v>
      </c>
      <c r="G420" s="191" t="s">
        <v>303</v>
      </c>
      <c r="H420" s="210" t="s">
        <v>299</v>
      </c>
      <c r="I420" s="193">
        <v>0.77083333333333304</v>
      </c>
      <c r="J420" s="193">
        <v>0.84166666666666701</v>
      </c>
      <c r="K420" s="194">
        <f t="shared" ref="K420" si="103">(J420-I420)+K419</f>
        <v>0.15416666666666734</v>
      </c>
    </row>
    <row r="421" spans="1:11" x14ac:dyDescent="0.25">
      <c r="A421" s="111"/>
      <c r="B421" s="206" t="s">
        <v>314</v>
      </c>
      <c r="C421" s="207">
        <v>4</v>
      </c>
      <c r="D421" s="192">
        <v>44810</v>
      </c>
      <c r="E421" s="191" t="s">
        <v>315</v>
      </c>
      <c r="F421" s="209">
        <v>26.304478564859522</v>
      </c>
      <c r="G421" s="191" t="s">
        <v>303</v>
      </c>
      <c r="H421" s="210" t="s">
        <v>299</v>
      </c>
      <c r="I421" s="193">
        <v>0.70833333333333304</v>
      </c>
      <c r="J421" s="193">
        <v>0.875</v>
      </c>
      <c r="K421" s="194">
        <f t="shared" ref="K421:K422" si="104">(J421-I421)+K420</f>
        <v>0.3208333333333343</v>
      </c>
    </row>
    <row r="422" spans="1:11" x14ac:dyDescent="0.25">
      <c r="A422" s="111"/>
      <c r="B422" s="206" t="s">
        <v>314</v>
      </c>
      <c r="C422" s="207">
        <v>5</v>
      </c>
      <c r="D422" s="192">
        <v>44811</v>
      </c>
      <c r="E422" s="191" t="s">
        <v>218</v>
      </c>
      <c r="F422" s="209">
        <v>27.299978723878745</v>
      </c>
      <c r="G422" s="191" t="s">
        <v>303</v>
      </c>
      <c r="H422" s="210" t="s">
        <v>299</v>
      </c>
      <c r="I422" s="193">
        <v>0.75</v>
      </c>
      <c r="J422" s="193">
        <v>0.83333333333333304</v>
      </c>
      <c r="K422" s="194">
        <f t="shared" si="104"/>
        <v>0.40416666666666734</v>
      </c>
    </row>
    <row r="423" spans="1:11" x14ac:dyDescent="0.25">
      <c r="A423" s="111"/>
      <c r="B423" s="206" t="s">
        <v>314</v>
      </c>
      <c r="C423" s="207">
        <v>6</v>
      </c>
      <c r="D423" s="192">
        <v>44811</v>
      </c>
      <c r="E423" s="191" t="s">
        <v>315</v>
      </c>
      <c r="F423" s="209">
        <v>24.959023346267422</v>
      </c>
      <c r="G423" s="191" t="s">
        <v>303</v>
      </c>
      <c r="H423" s="210" t="s">
        <v>299</v>
      </c>
      <c r="I423" s="193">
        <v>0.83333333333333304</v>
      </c>
      <c r="J423" s="193">
        <v>0.84166666666666701</v>
      </c>
      <c r="K423" s="194">
        <f t="shared" ref="K423:K424" si="105">(J423-I423)+K422</f>
        <v>0.41250000000000131</v>
      </c>
    </row>
    <row r="424" spans="1:11" x14ac:dyDescent="0.25">
      <c r="A424" s="111"/>
      <c r="B424" s="206" t="s">
        <v>314</v>
      </c>
      <c r="C424" s="207">
        <v>7</v>
      </c>
      <c r="D424" s="192">
        <v>44812</v>
      </c>
      <c r="E424" s="191" t="s">
        <v>218</v>
      </c>
      <c r="F424" s="209">
        <v>25.287879532102199</v>
      </c>
      <c r="G424" s="191" t="s">
        <v>303</v>
      </c>
      <c r="H424" s="210" t="s">
        <v>299</v>
      </c>
      <c r="I424" s="193">
        <v>0.75</v>
      </c>
      <c r="J424" s="193">
        <v>0.79166666666666696</v>
      </c>
      <c r="K424" s="194">
        <f t="shared" si="105"/>
        <v>0.45416666666666827</v>
      </c>
    </row>
    <row r="425" spans="1:11" x14ac:dyDescent="0.25">
      <c r="A425" s="111"/>
      <c r="B425" s="190"/>
      <c r="C425" s="191"/>
      <c r="D425" s="192"/>
      <c r="E425" s="191"/>
      <c r="F425" s="118"/>
      <c r="G425" s="191"/>
      <c r="H425" s="191"/>
      <c r="I425" s="193"/>
      <c r="J425" s="193"/>
      <c r="K425" s="194"/>
    </row>
    <row r="426" spans="1:11" x14ac:dyDescent="0.25">
      <c r="A426" s="111"/>
      <c r="B426" s="206" t="s">
        <v>314</v>
      </c>
      <c r="C426" s="207">
        <v>1</v>
      </c>
      <c r="D426" s="208">
        <v>44740</v>
      </c>
      <c r="E426" s="191" t="s">
        <v>305</v>
      </c>
      <c r="F426" s="209">
        <v>14.968840831010045</v>
      </c>
      <c r="G426" s="209" t="s">
        <v>303</v>
      </c>
      <c r="H426" s="210" t="s">
        <v>312</v>
      </c>
      <c r="I426" s="193">
        <v>0.66666666666666663</v>
      </c>
      <c r="J426" s="193">
        <v>0.70833333333333337</v>
      </c>
      <c r="K426" s="211">
        <f>J426-I426</f>
        <v>4.1666666666666741E-2</v>
      </c>
    </row>
    <row r="427" spans="1:11" x14ac:dyDescent="0.25">
      <c r="A427" s="111"/>
      <c r="B427" s="206" t="s">
        <v>314</v>
      </c>
      <c r="C427" s="207">
        <v>2</v>
      </c>
      <c r="D427" s="192">
        <v>44789</v>
      </c>
      <c r="E427" s="191" t="s">
        <v>305</v>
      </c>
      <c r="F427" s="209">
        <v>15.328218113238041</v>
      </c>
      <c r="G427" s="209" t="s">
        <v>303</v>
      </c>
      <c r="H427" s="210" t="s">
        <v>312</v>
      </c>
      <c r="I427" s="193">
        <v>0.75</v>
      </c>
      <c r="J427" s="193">
        <v>0.79166666666666663</v>
      </c>
      <c r="K427" s="194">
        <f t="shared" ref="K427" si="106">(J427-I427)+K426</f>
        <v>8.333333333333337E-2</v>
      </c>
    </row>
    <row r="428" spans="1:11" x14ac:dyDescent="0.25">
      <c r="A428" s="111"/>
      <c r="B428" s="206" t="s">
        <v>314</v>
      </c>
      <c r="C428" s="207">
        <v>3</v>
      </c>
      <c r="D428" s="192">
        <v>44809</v>
      </c>
      <c r="E428" s="191" t="s">
        <v>315</v>
      </c>
      <c r="F428" s="209">
        <v>16.855930507521023</v>
      </c>
      <c r="G428" s="191" t="s">
        <v>303</v>
      </c>
      <c r="H428" s="210" t="s">
        <v>312</v>
      </c>
      <c r="I428" s="193">
        <v>0.77916666666666701</v>
      </c>
      <c r="J428" s="193">
        <v>0.84166666666666701</v>
      </c>
      <c r="K428" s="194">
        <f t="shared" ref="K428" si="107">(J428-I428)+K427</f>
        <v>0.14583333333333337</v>
      </c>
    </row>
    <row r="429" spans="1:11" x14ac:dyDescent="0.25">
      <c r="A429" s="111"/>
      <c r="B429" s="206" t="s">
        <v>314</v>
      </c>
      <c r="C429" s="207">
        <v>4</v>
      </c>
      <c r="D429" s="192">
        <v>44810</v>
      </c>
      <c r="E429" s="191" t="s">
        <v>315</v>
      </c>
      <c r="F429" s="209">
        <v>17.029590148099956</v>
      </c>
      <c r="G429" s="191" t="s">
        <v>303</v>
      </c>
      <c r="H429" s="210" t="s">
        <v>312</v>
      </c>
      <c r="I429" s="193">
        <v>0.70833333333333304</v>
      </c>
      <c r="J429" s="193">
        <v>0.875</v>
      </c>
      <c r="K429" s="194">
        <f t="shared" ref="K429:K430" si="108">(J429-I429)+K428</f>
        <v>0.31250000000000033</v>
      </c>
    </row>
    <row r="430" spans="1:11" x14ac:dyDescent="0.25">
      <c r="A430" s="111"/>
      <c r="B430" s="206" t="s">
        <v>314</v>
      </c>
      <c r="C430" s="207">
        <v>5</v>
      </c>
      <c r="D430" s="192">
        <v>44811</v>
      </c>
      <c r="E430" s="191" t="s">
        <v>218</v>
      </c>
      <c r="F430" s="209">
        <v>16.853084688902506</v>
      </c>
      <c r="G430" s="191" t="s">
        <v>303</v>
      </c>
      <c r="H430" s="210" t="s">
        <v>312</v>
      </c>
      <c r="I430" s="193">
        <v>0.75</v>
      </c>
      <c r="J430" s="193">
        <v>0.83333333333333304</v>
      </c>
      <c r="K430" s="194">
        <f t="shared" si="108"/>
        <v>0.39583333333333337</v>
      </c>
    </row>
    <row r="431" spans="1:11" x14ac:dyDescent="0.25">
      <c r="A431" s="111"/>
      <c r="B431" s="206" t="s">
        <v>314</v>
      </c>
      <c r="C431" s="207">
        <v>6</v>
      </c>
      <c r="D431" s="192">
        <v>44811</v>
      </c>
      <c r="E431" s="191" t="s">
        <v>315</v>
      </c>
      <c r="F431" s="209">
        <v>13.076543599588918</v>
      </c>
      <c r="G431" s="191" t="s">
        <v>303</v>
      </c>
      <c r="H431" s="210" t="s">
        <v>312</v>
      </c>
      <c r="I431" s="193">
        <v>0.83333333333333304</v>
      </c>
      <c r="J431" s="193">
        <v>0.84166666666666701</v>
      </c>
      <c r="K431" s="194">
        <f t="shared" ref="K431:K432" si="109">(J431-I431)+K430</f>
        <v>0.40416666666666734</v>
      </c>
    </row>
    <row r="432" spans="1:11" x14ac:dyDescent="0.25">
      <c r="A432" s="111"/>
      <c r="B432" s="206" t="s">
        <v>314</v>
      </c>
      <c r="C432" s="207">
        <v>7</v>
      </c>
      <c r="D432" s="192">
        <v>44812</v>
      </c>
      <c r="E432" s="191" t="s">
        <v>218</v>
      </c>
      <c r="F432" s="209">
        <v>16.720275706129421</v>
      </c>
      <c r="G432" s="191" t="s">
        <v>303</v>
      </c>
      <c r="H432" s="210" t="s">
        <v>312</v>
      </c>
      <c r="I432" s="193">
        <v>0.70833333333333304</v>
      </c>
      <c r="J432" s="193">
        <v>0.83333333333333304</v>
      </c>
      <c r="K432" s="194">
        <f t="shared" si="109"/>
        <v>0.52916666666666734</v>
      </c>
    </row>
    <row r="433" spans="1:11" x14ac:dyDescent="0.25">
      <c r="A433" s="111"/>
      <c r="B433" s="190"/>
      <c r="C433" s="191"/>
      <c r="D433" s="192"/>
      <c r="E433" s="191"/>
      <c r="F433" s="118"/>
      <c r="G433" s="191"/>
      <c r="H433" s="191"/>
      <c r="I433" s="193"/>
      <c r="J433" s="193"/>
      <c r="K433" s="194"/>
    </row>
    <row r="434" spans="1:11" x14ac:dyDescent="0.25">
      <c r="A434" s="111"/>
      <c r="B434" s="206" t="s">
        <v>314</v>
      </c>
      <c r="C434" s="207">
        <v>1</v>
      </c>
      <c r="D434" s="208">
        <v>44740</v>
      </c>
      <c r="E434" s="191" t="s">
        <v>305</v>
      </c>
      <c r="F434" s="209">
        <v>15.123898117752939</v>
      </c>
      <c r="G434" s="209" t="s">
        <v>303</v>
      </c>
      <c r="H434" s="210" t="s">
        <v>313</v>
      </c>
      <c r="I434" s="193">
        <v>0.66666666666666663</v>
      </c>
      <c r="J434" s="193">
        <v>0.70833333333333337</v>
      </c>
      <c r="K434" s="211">
        <f>J434-I434</f>
        <v>4.1666666666666741E-2</v>
      </c>
    </row>
    <row r="435" spans="1:11" x14ac:dyDescent="0.25">
      <c r="A435" s="111"/>
      <c r="B435" s="206" t="s">
        <v>314</v>
      </c>
      <c r="C435" s="207">
        <v>2</v>
      </c>
      <c r="D435" s="192">
        <v>44789</v>
      </c>
      <c r="E435" s="191" t="s">
        <v>305</v>
      </c>
      <c r="F435" s="209">
        <v>15.36659466465094</v>
      </c>
      <c r="G435" s="209" t="s">
        <v>303</v>
      </c>
      <c r="H435" s="210" t="s">
        <v>313</v>
      </c>
      <c r="I435" s="193">
        <v>0.75</v>
      </c>
      <c r="J435" s="193">
        <v>0.79166666666666663</v>
      </c>
      <c r="K435" s="194">
        <f t="shared" ref="K435" si="110">(J435-I435)+K434</f>
        <v>8.333333333333337E-2</v>
      </c>
    </row>
    <row r="436" spans="1:11" x14ac:dyDescent="0.25">
      <c r="A436" s="111"/>
      <c r="B436" s="206" t="s">
        <v>314</v>
      </c>
      <c r="C436" s="207">
        <v>3</v>
      </c>
      <c r="D436" s="192">
        <v>44809</v>
      </c>
      <c r="E436" s="191" t="s">
        <v>315</v>
      </c>
      <c r="F436" s="209">
        <v>16.091551433933869</v>
      </c>
      <c r="G436" s="191" t="s">
        <v>303</v>
      </c>
      <c r="H436" s="210" t="s">
        <v>313</v>
      </c>
      <c r="I436" s="193">
        <v>0.77083333333333304</v>
      </c>
      <c r="J436" s="193">
        <v>0.84166666666666701</v>
      </c>
      <c r="K436" s="194">
        <f t="shared" ref="K436" si="111">(J436-I436)+K435</f>
        <v>0.15416666666666734</v>
      </c>
    </row>
    <row r="437" spans="1:11" x14ac:dyDescent="0.25">
      <c r="A437" s="111"/>
      <c r="B437" s="206" t="s">
        <v>314</v>
      </c>
      <c r="C437" s="207">
        <v>4</v>
      </c>
      <c r="D437" s="192">
        <v>44810</v>
      </c>
      <c r="E437" s="191" t="s">
        <v>315</v>
      </c>
      <c r="F437" s="209">
        <v>16.430521495861178</v>
      </c>
      <c r="G437" s="191" t="s">
        <v>303</v>
      </c>
      <c r="H437" s="210" t="s">
        <v>313</v>
      </c>
      <c r="I437" s="193">
        <v>0.70833333333333304</v>
      </c>
      <c r="J437" s="193">
        <v>0.875</v>
      </c>
      <c r="K437" s="194">
        <f t="shared" ref="K437:K438" si="112">(J437-I437)+K436</f>
        <v>0.3208333333333343</v>
      </c>
    </row>
    <row r="438" spans="1:11" x14ac:dyDescent="0.25">
      <c r="A438" s="111"/>
      <c r="B438" s="206" t="s">
        <v>314</v>
      </c>
      <c r="C438" s="207">
        <v>5</v>
      </c>
      <c r="D438" s="192">
        <v>44811</v>
      </c>
      <c r="E438" s="191" t="s">
        <v>218</v>
      </c>
      <c r="F438" s="209">
        <v>16.082700314932637</v>
      </c>
      <c r="G438" s="191" t="s">
        <v>303</v>
      </c>
      <c r="H438" s="210" t="s">
        <v>313</v>
      </c>
      <c r="I438" s="193">
        <v>0.75</v>
      </c>
      <c r="J438" s="193">
        <v>0.83333333333333304</v>
      </c>
      <c r="K438" s="194">
        <f t="shared" si="112"/>
        <v>0.40416666666666734</v>
      </c>
    </row>
    <row r="439" spans="1:11" x14ac:dyDescent="0.25">
      <c r="A439" s="111"/>
      <c r="B439" s="206" t="s">
        <v>314</v>
      </c>
      <c r="C439" s="207">
        <v>6</v>
      </c>
      <c r="D439" s="192">
        <v>44811</v>
      </c>
      <c r="E439" s="191" t="s">
        <v>315</v>
      </c>
      <c r="F439" s="209">
        <v>12.478791612898165</v>
      </c>
      <c r="G439" s="191" t="s">
        <v>303</v>
      </c>
      <c r="H439" s="210" t="s">
        <v>313</v>
      </c>
      <c r="I439" s="193">
        <v>0.83333333333333304</v>
      </c>
      <c r="J439" s="193">
        <v>0.84166666666666701</v>
      </c>
      <c r="K439" s="194">
        <f t="shared" ref="K439:K440" si="113">(J439-I439)+K438</f>
        <v>0.41250000000000131</v>
      </c>
    </row>
    <row r="440" spans="1:11" x14ac:dyDescent="0.25">
      <c r="A440" s="111"/>
      <c r="B440" s="206" t="s">
        <v>314</v>
      </c>
      <c r="C440" s="207">
        <v>7</v>
      </c>
      <c r="D440" s="192">
        <v>44812</v>
      </c>
      <c r="E440" s="191" t="s">
        <v>218</v>
      </c>
      <c r="F440" s="209">
        <v>16.294781547098349</v>
      </c>
      <c r="G440" s="191" t="s">
        <v>303</v>
      </c>
      <c r="H440" s="210" t="s">
        <v>313</v>
      </c>
      <c r="I440" s="193">
        <v>0.70833333333333304</v>
      </c>
      <c r="J440" s="193">
        <v>0.83333333333333304</v>
      </c>
      <c r="K440" s="194">
        <f t="shared" si="113"/>
        <v>0.53750000000000131</v>
      </c>
    </row>
    <row r="441" spans="1:11" x14ac:dyDescent="0.25">
      <c r="A441" s="111"/>
      <c r="B441" s="190"/>
      <c r="C441" s="191"/>
      <c r="D441" s="192"/>
      <c r="E441" s="191"/>
      <c r="F441" s="118"/>
      <c r="G441" s="191"/>
      <c r="H441" s="191"/>
      <c r="I441" s="193"/>
      <c r="J441" s="193"/>
      <c r="K441" s="194"/>
    </row>
    <row r="442" spans="1:11" x14ac:dyDescent="0.25">
      <c r="A442" s="111"/>
      <c r="B442" s="206" t="s">
        <v>314</v>
      </c>
      <c r="C442" s="207">
        <v>1</v>
      </c>
      <c r="D442" s="208">
        <v>44740</v>
      </c>
      <c r="E442" s="191" t="s">
        <v>305</v>
      </c>
      <c r="F442" s="209">
        <v>9.4845114531281176</v>
      </c>
      <c r="G442" s="209" t="s">
        <v>303</v>
      </c>
      <c r="H442" s="210" t="s">
        <v>300</v>
      </c>
      <c r="I442" s="193">
        <v>0.66666666666666663</v>
      </c>
      <c r="J442" s="193">
        <v>0.70833333333333337</v>
      </c>
      <c r="K442" s="211">
        <f>J442-I442</f>
        <v>4.1666666666666741E-2</v>
      </c>
    </row>
    <row r="443" spans="1:11" x14ac:dyDescent="0.25">
      <c r="A443" s="111"/>
      <c r="B443" s="206" t="s">
        <v>314</v>
      </c>
      <c r="C443" s="207">
        <v>2</v>
      </c>
      <c r="D443" s="192">
        <v>44789</v>
      </c>
      <c r="E443" s="191" t="s">
        <v>305</v>
      </c>
      <c r="F443" s="209">
        <v>10.494718843648599</v>
      </c>
      <c r="G443" s="209" t="s">
        <v>303</v>
      </c>
      <c r="H443" s="210" t="s">
        <v>300</v>
      </c>
      <c r="I443" s="193">
        <v>0.75</v>
      </c>
      <c r="J443" s="193">
        <v>0.79166666666666663</v>
      </c>
      <c r="K443" s="194">
        <f t="shared" ref="K443" si="114">(J443-I443)+K442</f>
        <v>8.333333333333337E-2</v>
      </c>
    </row>
    <row r="444" spans="1:11" x14ac:dyDescent="0.25">
      <c r="A444" s="111"/>
      <c r="B444" s="206" t="s">
        <v>314</v>
      </c>
      <c r="C444" s="207">
        <v>3</v>
      </c>
      <c r="D444" s="192">
        <v>44809</v>
      </c>
      <c r="E444" s="191" t="s">
        <v>315</v>
      </c>
      <c r="F444" s="209">
        <v>11.602309996553711</v>
      </c>
      <c r="G444" s="191" t="s">
        <v>303</v>
      </c>
      <c r="H444" s="210" t="s">
        <v>300</v>
      </c>
      <c r="I444" s="193">
        <v>0.77083333333333304</v>
      </c>
      <c r="J444" s="193">
        <v>0.84166666666666701</v>
      </c>
      <c r="K444" s="194">
        <f t="shared" ref="K444" si="115">(J444-I444)+K443</f>
        <v>0.15416666666666734</v>
      </c>
    </row>
    <row r="445" spans="1:11" x14ac:dyDescent="0.25">
      <c r="A445" s="111"/>
      <c r="B445" s="206" t="s">
        <v>314</v>
      </c>
      <c r="C445" s="207">
        <v>4</v>
      </c>
      <c r="D445" s="192">
        <v>44810</v>
      </c>
      <c r="E445" s="191" t="s">
        <v>315</v>
      </c>
      <c r="F445" s="209">
        <v>11.401656370770199</v>
      </c>
      <c r="G445" s="191" t="s">
        <v>303</v>
      </c>
      <c r="H445" s="210" t="s">
        <v>300</v>
      </c>
      <c r="I445" s="193">
        <v>0.70833333333333304</v>
      </c>
      <c r="J445" s="193">
        <v>0.875</v>
      </c>
      <c r="K445" s="194">
        <f t="shared" ref="K445:K446" si="116">(J445-I445)+K444</f>
        <v>0.3208333333333343</v>
      </c>
    </row>
    <row r="446" spans="1:11" x14ac:dyDescent="0.25">
      <c r="A446" s="111"/>
      <c r="B446" s="206" t="s">
        <v>314</v>
      </c>
      <c r="C446" s="207">
        <v>5</v>
      </c>
      <c r="D446" s="192">
        <v>44811</v>
      </c>
      <c r="E446" s="191" t="s">
        <v>218</v>
      </c>
      <c r="F446" s="209">
        <v>11.581288545814564</v>
      </c>
      <c r="G446" s="191" t="s">
        <v>303</v>
      </c>
      <c r="H446" s="210" t="s">
        <v>300</v>
      </c>
      <c r="I446" s="193">
        <v>0.75</v>
      </c>
      <c r="J446" s="193">
        <v>0.83333333333333304</v>
      </c>
      <c r="K446" s="194">
        <f t="shared" si="116"/>
        <v>0.40416666666666734</v>
      </c>
    </row>
    <row r="447" spans="1:11" x14ac:dyDescent="0.25">
      <c r="A447" s="111"/>
      <c r="B447" s="206" t="s">
        <v>314</v>
      </c>
      <c r="C447" s="207">
        <v>6</v>
      </c>
      <c r="D447" s="192">
        <v>44811</v>
      </c>
      <c r="E447" s="191" t="s">
        <v>315</v>
      </c>
      <c r="F447" s="209">
        <v>10.850041838798534</v>
      </c>
      <c r="G447" s="191" t="s">
        <v>303</v>
      </c>
      <c r="H447" s="210" t="s">
        <v>300</v>
      </c>
      <c r="I447" s="193">
        <v>0.83333333333333304</v>
      </c>
      <c r="J447" s="193">
        <v>0.84166666666666701</v>
      </c>
      <c r="K447" s="194">
        <f t="shared" ref="K447:K448" si="117">(J447-I447)+K446</f>
        <v>0.41250000000000131</v>
      </c>
    </row>
    <row r="448" spans="1:11" x14ac:dyDescent="0.25">
      <c r="A448" s="111"/>
      <c r="B448" s="206" t="s">
        <v>314</v>
      </c>
      <c r="C448" s="207">
        <v>7</v>
      </c>
      <c r="D448" s="192">
        <v>44812</v>
      </c>
      <c r="E448" s="191" t="s">
        <v>218</v>
      </c>
      <c r="F448" s="209">
        <v>11.173017030505182</v>
      </c>
      <c r="G448" s="191" t="s">
        <v>303</v>
      </c>
      <c r="H448" s="210" t="s">
        <v>300</v>
      </c>
      <c r="I448" s="193">
        <v>0.75</v>
      </c>
      <c r="J448" s="193">
        <v>0.79166666666666696</v>
      </c>
      <c r="K448" s="194">
        <f t="shared" si="117"/>
        <v>0.45416666666666827</v>
      </c>
    </row>
    <row r="449" spans="1:11" x14ac:dyDescent="0.25">
      <c r="A449" s="111"/>
      <c r="B449" s="190"/>
      <c r="C449" s="191"/>
      <c r="D449" s="192"/>
      <c r="E449" s="191"/>
      <c r="F449" s="118"/>
      <c r="G449" s="191"/>
      <c r="H449" s="191"/>
      <c r="I449" s="193"/>
      <c r="J449" s="193"/>
      <c r="K449" s="194"/>
    </row>
    <row r="450" spans="1:11" x14ac:dyDescent="0.25">
      <c r="A450" s="111"/>
      <c r="B450" s="206" t="s">
        <v>314</v>
      </c>
      <c r="C450" s="207">
        <v>1</v>
      </c>
      <c r="D450" s="208">
        <v>44740</v>
      </c>
      <c r="E450" s="191" t="s">
        <v>305</v>
      </c>
      <c r="F450" s="209">
        <v>0.12573740357194454</v>
      </c>
      <c r="G450" s="209" t="s">
        <v>303</v>
      </c>
      <c r="H450" s="210" t="s">
        <v>306</v>
      </c>
      <c r="I450" s="193">
        <v>0.66666666666666663</v>
      </c>
      <c r="J450" s="193">
        <v>0.70833333333333337</v>
      </c>
      <c r="K450" s="211">
        <f>(J450-I450)+K449</f>
        <v>4.1666666666666741E-2</v>
      </c>
    </row>
    <row r="451" spans="1:11" x14ac:dyDescent="0.25">
      <c r="A451" s="111"/>
      <c r="B451" s="206" t="s">
        <v>314</v>
      </c>
      <c r="C451" s="207">
        <v>2</v>
      </c>
      <c r="D451" s="192">
        <v>44789</v>
      </c>
      <c r="E451" s="191" t="s">
        <v>305</v>
      </c>
      <c r="F451" s="209">
        <v>0.13505607564664707</v>
      </c>
      <c r="G451" s="209" t="s">
        <v>303</v>
      </c>
      <c r="H451" s="210" t="s">
        <v>306</v>
      </c>
      <c r="I451" s="193">
        <v>0.75</v>
      </c>
      <c r="J451" s="193">
        <v>0.79166666666666663</v>
      </c>
      <c r="K451" s="194">
        <f t="shared" ref="K451" si="118">(J451-I451)+K450</f>
        <v>8.333333333333337E-2</v>
      </c>
    </row>
    <row r="452" spans="1:11" x14ac:dyDescent="0.25">
      <c r="A452" s="111"/>
      <c r="B452" s="206" t="s">
        <v>314</v>
      </c>
      <c r="C452" s="207">
        <v>3</v>
      </c>
      <c r="D452" s="192">
        <v>44810</v>
      </c>
      <c r="E452" s="191" t="s">
        <v>315</v>
      </c>
      <c r="F452" s="209">
        <v>0.14529227102006587</v>
      </c>
      <c r="G452" s="191" t="s">
        <v>303</v>
      </c>
      <c r="H452" s="210" t="s">
        <v>306</v>
      </c>
      <c r="I452" s="193">
        <v>0.70833333333333304</v>
      </c>
      <c r="J452" s="193">
        <v>0.875</v>
      </c>
      <c r="K452" s="194">
        <f t="shared" ref="K452" si="119">(J452-I452)+K451</f>
        <v>0.25000000000000033</v>
      </c>
    </row>
    <row r="453" spans="1:11" x14ac:dyDescent="0.25">
      <c r="A453" s="111"/>
      <c r="B453" s="206" t="s">
        <v>314</v>
      </c>
      <c r="C453" s="207">
        <v>4</v>
      </c>
      <c r="D453" s="192">
        <v>44811</v>
      </c>
      <c r="E453" s="191" t="s">
        <v>218</v>
      </c>
      <c r="F453" s="209">
        <v>0.14793869856710953</v>
      </c>
      <c r="G453" s="191" t="s">
        <v>303</v>
      </c>
      <c r="H453" s="210" t="s">
        <v>306</v>
      </c>
      <c r="I453" s="193">
        <v>0.75</v>
      </c>
      <c r="J453" s="193">
        <v>0.83333333333333304</v>
      </c>
      <c r="K453" s="194">
        <f t="shared" ref="K453" si="120">(J453-I453)+K452</f>
        <v>0.33333333333333337</v>
      </c>
    </row>
    <row r="454" spans="1:11" x14ac:dyDescent="0.25">
      <c r="A454" s="111"/>
      <c r="B454" s="206" t="s">
        <v>314</v>
      </c>
      <c r="C454" s="207">
        <v>5</v>
      </c>
      <c r="D454" s="192">
        <v>44811</v>
      </c>
      <c r="E454" s="191" t="s">
        <v>315</v>
      </c>
      <c r="F454" s="209">
        <v>0.13552445228632201</v>
      </c>
      <c r="G454" s="191" t="s">
        <v>303</v>
      </c>
      <c r="H454" s="210" t="s">
        <v>306</v>
      </c>
      <c r="I454" s="193">
        <v>0.83333333333333304</v>
      </c>
      <c r="J454" s="193">
        <v>0.84166666666666701</v>
      </c>
      <c r="K454" s="194">
        <f t="shared" ref="K454:K455" si="121">(J454-I454)+K453</f>
        <v>0.34166666666666734</v>
      </c>
    </row>
    <row r="455" spans="1:11" x14ac:dyDescent="0.25">
      <c r="A455" s="111"/>
      <c r="B455" s="206" t="s">
        <v>314</v>
      </c>
      <c r="C455" s="207">
        <v>6</v>
      </c>
      <c r="D455" s="192">
        <v>44812</v>
      </c>
      <c r="E455" s="191" t="s">
        <v>218</v>
      </c>
      <c r="F455" s="209">
        <v>0.14162986303500213</v>
      </c>
      <c r="G455" s="191" t="s">
        <v>303</v>
      </c>
      <c r="H455" s="210" t="s">
        <v>306</v>
      </c>
      <c r="I455" s="193">
        <v>0.75</v>
      </c>
      <c r="J455" s="193">
        <v>0.79166666666666696</v>
      </c>
      <c r="K455" s="194">
        <f t="shared" si="121"/>
        <v>0.3833333333333343</v>
      </c>
    </row>
    <row r="456" spans="1:11" x14ac:dyDescent="0.25">
      <c r="A456" s="111"/>
      <c r="B456" s="190"/>
      <c r="C456" s="191"/>
      <c r="D456" s="192"/>
      <c r="E456" s="191"/>
      <c r="F456" s="118"/>
      <c r="G456" s="191"/>
      <c r="H456" s="191"/>
      <c r="I456" s="193"/>
      <c r="J456" s="193"/>
      <c r="K456" s="194"/>
    </row>
    <row r="457" spans="1:11" x14ac:dyDescent="0.25">
      <c r="A457" s="111"/>
      <c r="B457" s="206" t="s">
        <v>314</v>
      </c>
      <c r="C457" s="207">
        <v>1</v>
      </c>
      <c r="D457" s="208">
        <v>44740</v>
      </c>
      <c r="E457" s="191" t="s">
        <v>305</v>
      </c>
      <c r="F457" s="209">
        <v>10.551639328304203</v>
      </c>
      <c r="G457" s="209" t="s">
        <v>303</v>
      </c>
      <c r="H457" s="210" t="s">
        <v>271</v>
      </c>
      <c r="I457" s="193">
        <v>0.66666666666666663</v>
      </c>
      <c r="J457" s="193">
        <v>0.70833333333333337</v>
      </c>
      <c r="K457" s="211">
        <f>J457-I457</f>
        <v>4.1666666666666741E-2</v>
      </c>
    </row>
    <row r="458" spans="1:11" x14ac:dyDescent="0.25">
      <c r="A458" s="111"/>
      <c r="B458" s="206" t="s">
        <v>314</v>
      </c>
      <c r="C458" s="207">
        <v>2</v>
      </c>
      <c r="D458" s="192">
        <v>44789</v>
      </c>
      <c r="E458" s="191" t="s">
        <v>305</v>
      </c>
      <c r="F458" s="209">
        <v>8.9302977377034747</v>
      </c>
      <c r="G458" s="209" t="s">
        <v>303</v>
      </c>
      <c r="H458" s="210" t="s">
        <v>271</v>
      </c>
      <c r="I458" s="193">
        <v>0.75</v>
      </c>
      <c r="J458" s="193">
        <v>0.79166666666666663</v>
      </c>
      <c r="K458" s="194">
        <f t="shared" ref="K458" si="122">(J458-I458)+K457</f>
        <v>8.333333333333337E-2</v>
      </c>
    </row>
    <row r="459" spans="1:11" x14ac:dyDescent="0.25">
      <c r="A459" s="111"/>
      <c r="B459" s="206" t="s">
        <v>314</v>
      </c>
      <c r="C459" s="207">
        <v>3</v>
      </c>
      <c r="D459" s="192">
        <v>44809</v>
      </c>
      <c r="E459" s="191" t="s">
        <v>315</v>
      </c>
      <c r="F459" s="209">
        <v>10.313749317079457</v>
      </c>
      <c r="G459" s="191" t="s">
        <v>303</v>
      </c>
      <c r="H459" s="210" t="s">
        <v>271</v>
      </c>
      <c r="I459" s="193">
        <v>0.77916666666666701</v>
      </c>
      <c r="J459" s="193">
        <v>0.84166666666666701</v>
      </c>
      <c r="K459" s="194">
        <f t="shared" ref="K459" si="123">(J459-I459)+K458</f>
        <v>0.14583333333333337</v>
      </c>
    </row>
    <row r="460" spans="1:11" x14ac:dyDescent="0.25">
      <c r="A460" s="111"/>
      <c r="B460" s="206" t="s">
        <v>314</v>
      </c>
      <c r="C460" s="207">
        <v>4</v>
      </c>
      <c r="D460" s="192">
        <v>44810</v>
      </c>
      <c r="E460" s="191" t="s">
        <v>315</v>
      </c>
      <c r="F460" s="209">
        <v>11.552702825959686</v>
      </c>
      <c r="G460" s="191" t="s">
        <v>303</v>
      </c>
      <c r="H460" s="210" t="s">
        <v>271</v>
      </c>
      <c r="I460" s="193">
        <v>0.70833333333333304</v>
      </c>
      <c r="J460" s="193">
        <v>0.875</v>
      </c>
      <c r="K460" s="194">
        <f t="shared" ref="K460:K461" si="124">(J460-I460)+K459</f>
        <v>0.31250000000000033</v>
      </c>
    </row>
    <row r="461" spans="1:11" x14ac:dyDescent="0.25">
      <c r="A461" s="111"/>
      <c r="B461" s="206" t="s">
        <v>314</v>
      </c>
      <c r="C461" s="207">
        <v>5</v>
      </c>
      <c r="D461" s="192">
        <v>44811</v>
      </c>
      <c r="E461" s="191" t="s">
        <v>218</v>
      </c>
      <c r="F461" s="209">
        <v>10.304944480303558</v>
      </c>
      <c r="G461" s="191" t="s">
        <v>303</v>
      </c>
      <c r="H461" s="210" t="s">
        <v>271</v>
      </c>
      <c r="I461" s="193">
        <v>0.75</v>
      </c>
      <c r="J461" s="193">
        <v>0.83333333333333304</v>
      </c>
      <c r="K461" s="194">
        <f t="shared" si="124"/>
        <v>0.39583333333333337</v>
      </c>
    </row>
    <row r="462" spans="1:11" x14ac:dyDescent="0.25">
      <c r="A462" s="111"/>
      <c r="B462" s="206" t="s">
        <v>314</v>
      </c>
      <c r="C462" s="207">
        <v>6</v>
      </c>
      <c r="D462" s="192">
        <v>44811</v>
      </c>
      <c r="E462" s="191" t="s">
        <v>315</v>
      </c>
      <c r="F462" s="209">
        <v>5.1725990848398729</v>
      </c>
      <c r="G462" s="191" t="s">
        <v>303</v>
      </c>
      <c r="H462" s="210" t="s">
        <v>271</v>
      </c>
      <c r="I462" s="193">
        <v>0.83333333333333304</v>
      </c>
      <c r="J462" s="193">
        <v>0.84166666666666701</v>
      </c>
      <c r="K462" s="194">
        <f t="shared" ref="K462:K463" si="125">(J462-I462)+K461</f>
        <v>0.40416666666666734</v>
      </c>
    </row>
    <row r="463" spans="1:11" x14ac:dyDescent="0.25">
      <c r="A463" s="111"/>
      <c r="B463" s="206" t="s">
        <v>314</v>
      </c>
      <c r="C463" s="207">
        <v>7</v>
      </c>
      <c r="D463" s="192">
        <v>44812</v>
      </c>
      <c r="E463" s="191" t="s">
        <v>218</v>
      </c>
      <c r="F463" s="209">
        <v>9.7432007491986941</v>
      </c>
      <c r="G463" s="191" t="s">
        <v>303</v>
      </c>
      <c r="H463" s="210" t="s">
        <v>271</v>
      </c>
      <c r="I463" s="193">
        <v>0.75</v>
      </c>
      <c r="J463" s="193">
        <v>0.83333333333333304</v>
      </c>
      <c r="K463" s="194">
        <f t="shared" si="125"/>
        <v>0.48750000000000038</v>
      </c>
    </row>
    <row r="464" spans="1:11" x14ac:dyDescent="0.25">
      <c r="A464" s="111"/>
      <c r="B464" s="190"/>
      <c r="C464" s="191"/>
      <c r="D464" s="192"/>
      <c r="E464" s="191"/>
      <c r="F464" s="118"/>
      <c r="G464" s="191"/>
      <c r="H464" s="191"/>
      <c r="I464" s="193"/>
      <c r="J464" s="193"/>
      <c r="K464" s="194"/>
    </row>
    <row r="465" spans="1:11" x14ac:dyDescent="0.25">
      <c r="A465" s="111"/>
      <c r="B465" s="206" t="s">
        <v>197</v>
      </c>
      <c r="C465" s="207">
        <v>1</v>
      </c>
      <c r="D465" s="208">
        <v>44740</v>
      </c>
      <c r="E465" s="191" t="s">
        <v>305</v>
      </c>
      <c r="F465" s="209">
        <v>29.348061333644996</v>
      </c>
      <c r="G465" s="209" t="s">
        <v>303</v>
      </c>
      <c r="H465" s="210" t="s">
        <v>220</v>
      </c>
      <c r="I465" s="193">
        <v>0.70833333333333337</v>
      </c>
      <c r="J465" s="193">
        <v>0.79166666666666663</v>
      </c>
      <c r="K465" s="211">
        <f>J465-I465</f>
        <v>8.3333333333333259E-2</v>
      </c>
    </row>
    <row r="466" spans="1:11" x14ac:dyDescent="0.25">
      <c r="A466" s="111"/>
      <c r="B466" s="206" t="s">
        <v>197</v>
      </c>
      <c r="C466" s="207">
        <v>2</v>
      </c>
      <c r="D466" s="192">
        <v>44757</v>
      </c>
      <c r="E466" s="191" t="s">
        <v>305</v>
      </c>
      <c r="F466" s="209">
        <v>27.476255224004849</v>
      </c>
      <c r="G466" s="209" t="s">
        <v>303</v>
      </c>
      <c r="H466" s="210" t="s">
        <v>220</v>
      </c>
      <c r="I466" s="193">
        <v>0.75</v>
      </c>
      <c r="J466" s="193">
        <v>0.83333333333333337</v>
      </c>
      <c r="K466" s="194">
        <f t="shared" ref="K466:K472" si="126">(J466-I466)+K465</f>
        <v>0.16666666666666663</v>
      </c>
    </row>
    <row r="467" spans="1:11" x14ac:dyDescent="0.25">
      <c r="A467" s="111"/>
      <c r="B467" s="206" t="s">
        <v>197</v>
      </c>
      <c r="C467" s="207">
        <v>3</v>
      </c>
      <c r="D467" s="192">
        <v>44760</v>
      </c>
      <c r="E467" s="191" t="s">
        <v>305</v>
      </c>
      <c r="F467" s="209">
        <v>25.605574942722065</v>
      </c>
      <c r="G467" s="209" t="s">
        <v>303</v>
      </c>
      <c r="H467" s="210" t="s">
        <v>220</v>
      </c>
      <c r="I467" s="193">
        <v>0.79166666666666663</v>
      </c>
      <c r="J467" s="193">
        <v>0.875</v>
      </c>
      <c r="K467" s="194">
        <f t="shared" si="126"/>
        <v>0.25</v>
      </c>
    </row>
    <row r="468" spans="1:11" x14ac:dyDescent="0.25">
      <c r="A468" s="111"/>
      <c r="B468" s="206" t="s">
        <v>197</v>
      </c>
      <c r="C468" s="207">
        <v>4</v>
      </c>
      <c r="D468" s="192">
        <v>44770</v>
      </c>
      <c r="E468" s="191" t="s">
        <v>305</v>
      </c>
      <c r="F468" s="209">
        <v>23.709139100892294</v>
      </c>
      <c r="G468" s="209" t="s">
        <v>303</v>
      </c>
      <c r="H468" s="210" t="s">
        <v>220</v>
      </c>
      <c r="I468" s="193">
        <v>0.66666666666666663</v>
      </c>
      <c r="J468" s="193">
        <v>0.70833333333333337</v>
      </c>
      <c r="K468" s="194">
        <f t="shared" si="126"/>
        <v>0.29166666666666674</v>
      </c>
    </row>
    <row r="469" spans="1:11" x14ac:dyDescent="0.25">
      <c r="A469" s="111"/>
      <c r="B469" s="206" t="s">
        <v>197</v>
      </c>
      <c r="C469" s="207">
        <v>5</v>
      </c>
      <c r="D469" s="208">
        <v>44783</v>
      </c>
      <c r="E469" s="191" t="s">
        <v>305</v>
      </c>
      <c r="F469" s="209">
        <v>28.99165621486253</v>
      </c>
      <c r="G469" s="209" t="s">
        <v>303</v>
      </c>
      <c r="H469" s="210" t="s">
        <v>220</v>
      </c>
      <c r="I469" s="193">
        <v>0.70833333333333337</v>
      </c>
      <c r="J469" s="193">
        <v>0.79166666666666663</v>
      </c>
      <c r="K469" s="194">
        <f t="shared" si="126"/>
        <v>0.375</v>
      </c>
    </row>
    <row r="470" spans="1:11" x14ac:dyDescent="0.25">
      <c r="A470" s="111"/>
      <c r="B470" s="206" t="s">
        <v>197</v>
      </c>
      <c r="C470" s="207">
        <v>6</v>
      </c>
      <c r="D470" s="208">
        <v>44789</v>
      </c>
      <c r="E470" s="191" t="s">
        <v>305</v>
      </c>
      <c r="F470" s="209">
        <v>29.857528316237158</v>
      </c>
      <c r="G470" s="209" t="s">
        <v>303</v>
      </c>
      <c r="H470" s="210" t="s">
        <v>220</v>
      </c>
      <c r="I470" s="193">
        <v>0.75</v>
      </c>
      <c r="J470" s="193">
        <v>0.83333333333333337</v>
      </c>
      <c r="K470" s="194">
        <f t="shared" si="126"/>
        <v>0.45833333333333337</v>
      </c>
    </row>
    <row r="471" spans="1:11" x14ac:dyDescent="0.25">
      <c r="A471" s="111"/>
      <c r="B471" s="206" t="s">
        <v>197</v>
      </c>
      <c r="C471" s="207">
        <v>7</v>
      </c>
      <c r="D471" s="208">
        <v>44790</v>
      </c>
      <c r="E471" s="191" t="s">
        <v>305</v>
      </c>
      <c r="F471" s="209">
        <v>28.783869609971767</v>
      </c>
      <c r="G471" s="209" t="s">
        <v>303</v>
      </c>
      <c r="H471" s="210" t="s">
        <v>220</v>
      </c>
      <c r="I471" s="193">
        <v>0.75</v>
      </c>
      <c r="J471" s="193">
        <v>0.79166666666666663</v>
      </c>
      <c r="K471" s="194">
        <f t="shared" si="126"/>
        <v>0.5</v>
      </c>
    </row>
    <row r="472" spans="1:11" x14ac:dyDescent="0.25">
      <c r="A472" s="111"/>
      <c r="B472" s="206" t="s">
        <v>197</v>
      </c>
      <c r="C472" s="207">
        <v>8</v>
      </c>
      <c r="D472" s="208">
        <v>44804</v>
      </c>
      <c r="E472" s="191" t="s">
        <v>305</v>
      </c>
      <c r="F472" s="209">
        <v>33.84994079420067</v>
      </c>
      <c r="G472" s="209" t="s">
        <v>303</v>
      </c>
      <c r="H472" s="210" t="s">
        <v>220</v>
      </c>
      <c r="I472" s="193">
        <v>0.75</v>
      </c>
      <c r="J472" s="193">
        <v>0.83333333333333337</v>
      </c>
      <c r="K472" s="194">
        <f t="shared" si="126"/>
        <v>0.58333333333333337</v>
      </c>
    </row>
    <row r="473" spans="1:11" x14ac:dyDescent="0.25">
      <c r="A473" s="111"/>
      <c r="B473" s="206" t="s">
        <v>197</v>
      </c>
      <c r="C473" s="207">
        <v>9</v>
      </c>
      <c r="D473" s="208">
        <v>44806</v>
      </c>
      <c r="E473" s="191" t="s">
        <v>218</v>
      </c>
      <c r="F473" s="209">
        <v>32.363323832450732</v>
      </c>
      <c r="G473" s="191" t="s">
        <v>303</v>
      </c>
      <c r="H473" s="210" t="s">
        <v>220</v>
      </c>
      <c r="I473" s="193">
        <v>0.75</v>
      </c>
      <c r="J473" s="193">
        <v>0.83333333333333304</v>
      </c>
      <c r="K473" s="194">
        <f t="shared" ref="K473" si="127">(J473-I473)+K472</f>
        <v>0.66666666666666641</v>
      </c>
    </row>
    <row r="474" spans="1:11" x14ac:dyDescent="0.25">
      <c r="A474" s="111"/>
      <c r="B474" s="206" t="s">
        <v>197</v>
      </c>
      <c r="C474" s="207">
        <v>10</v>
      </c>
      <c r="D474" s="208">
        <v>44809</v>
      </c>
      <c r="E474" s="191" t="s">
        <v>315</v>
      </c>
      <c r="F474" s="209">
        <v>33.521138392169725</v>
      </c>
      <c r="G474" s="191" t="s">
        <v>303</v>
      </c>
      <c r="H474" s="210" t="s">
        <v>220</v>
      </c>
      <c r="I474" s="193">
        <v>0.781944444444444</v>
      </c>
      <c r="J474" s="193">
        <v>0.86666666666666703</v>
      </c>
      <c r="K474" s="194">
        <f t="shared" ref="K474:K475" si="128">(J474-I474)+K473</f>
        <v>0.75138888888888944</v>
      </c>
    </row>
    <row r="475" spans="1:11" x14ac:dyDescent="0.25">
      <c r="A475" s="111"/>
      <c r="B475" s="206" t="s">
        <v>197</v>
      </c>
      <c r="C475" s="207">
        <v>11</v>
      </c>
      <c r="D475" s="208">
        <v>44810</v>
      </c>
      <c r="E475" s="191" t="s">
        <v>315</v>
      </c>
      <c r="F475" s="209">
        <v>33.243740120534099</v>
      </c>
      <c r="G475" s="191" t="s">
        <v>303</v>
      </c>
      <c r="H475" s="210" t="s">
        <v>220</v>
      </c>
      <c r="I475" s="193">
        <v>0.72013888888888899</v>
      </c>
      <c r="J475" s="193">
        <v>0.875</v>
      </c>
      <c r="K475" s="194">
        <f t="shared" si="128"/>
        <v>0.90625000000000044</v>
      </c>
    </row>
    <row r="476" spans="1:11" x14ac:dyDescent="0.25">
      <c r="A476" s="111"/>
      <c r="B476" s="206" t="s">
        <v>197</v>
      </c>
      <c r="C476" s="207">
        <v>12</v>
      </c>
      <c r="D476" s="208">
        <v>44811</v>
      </c>
      <c r="E476" s="191" t="s">
        <v>218</v>
      </c>
      <c r="F476" s="209">
        <v>33.497630312772557</v>
      </c>
      <c r="G476" s="191" t="s">
        <v>303</v>
      </c>
      <c r="H476" s="210" t="s">
        <v>220</v>
      </c>
      <c r="I476" s="193">
        <v>0.75</v>
      </c>
      <c r="J476" s="193">
        <v>0.83333333333333337</v>
      </c>
      <c r="K476" s="194">
        <f t="shared" ref="K476" si="129">(J476-I476)+K475</f>
        <v>0.98958333333333381</v>
      </c>
    </row>
    <row r="477" spans="1:11" x14ac:dyDescent="0.25">
      <c r="A477" s="111"/>
      <c r="B477" s="206" t="s">
        <v>197</v>
      </c>
      <c r="C477" s="207">
        <v>13</v>
      </c>
      <c r="D477" s="208">
        <v>44811</v>
      </c>
      <c r="E477" s="191" t="s">
        <v>315</v>
      </c>
      <c r="F477" s="209">
        <v>9.7261073495855594</v>
      </c>
      <c r="G477" s="191" t="s">
        <v>303</v>
      </c>
      <c r="H477" s="210" t="s">
        <v>220</v>
      </c>
      <c r="I477" s="193">
        <v>0.83333333333333337</v>
      </c>
      <c r="J477" s="193">
        <v>0.84861111111111098</v>
      </c>
      <c r="K477" s="194">
        <f t="shared" ref="K477" si="130">(J477-I477)+K476</f>
        <v>1.0048611111111114</v>
      </c>
    </row>
    <row r="478" spans="1:11" x14ac:dyDescent="0.25">
      <c r="A478" s="111"/>
      <c r="B478" s="190"/>
      <c r="C478" s="191"/>
      <c r="D478" s="192"/>
      <c r="E478" s="191"/>
      <c r="F478" s="118"/>
      <c r="G478" s="191"/>
      <c r="H478" s="191"/>
      <c r="I478" s="193"/>
      <c r="J478" s="193"/>
      <c r="K478" s="194"/>
    </row>
    <row r="479" spans="1:11" x14ac:dyDescent="0.25">
      <c r="A479" s="111"/>
      <c r="B479" s="206" t="s">
        <v>197</v>
      </c>
      <c r="C479" s="207">
        <v>1</v>
      </c>
      <c r="D479" s="208">
        <v>44740</v>
      </c>
      <c r="E479" s="191" t="s">
        <v>305</v>
      </c>
      <c r="F479" s="209">
        <v>9.1997988727111899</v>
      </c>
      <c r="G479" s="209" t="s">
        <v>303</v>
      </c>
      <c r="H479" s="210" t="s">
        <v>299</v>
      </c>
      <c r="I479" s="193">
        <v>0.70833333333333337</v>
      </c>
      <c r="J479" s="193">
        <v>0.79166666666666663</v>
      </c>
      <c r="K479" s="211">
        <f>J479-I479</f>
        <v>8.3333333333333259E-2</v>
      </c>
    </row>
    <row r="480" spans="1:11" x14ac:dyDescent="0.25">
      <c r="A480" s="111"/>
      <c r="B480" s="206" t="s">
        <v>197</v>
      </c>
      <c r="C480" s="207">
        <v>2</v>
      </c>
      <c r="D480" s="192">
        <v>44757</v>
      </c>
      <c r="E480" s="191" t="s">
        <v>305</v>
      </c>
      <c r="F480" s="209">
        <v>8.7524154376056931</v>
      </c>
      <c r="G480" s="209" t="s">
        <v>303</v>
      </c>
      <c r="H480" s="210" t="s">
        <v>299</v>
      </c>
      <c r="I480" s="193">
        <v>0.75</v>
      </c>
      <c r="J480" s="193">
        <v>0.83333333333333337</v>
      </c>
      <c r="K480" s="194">
        <f t="shared" ref="K480:K486" si="131">(J480-I480)+K479</f>
        <v>0.16666666666666663</v>
      </c>
    </row>
    <row r="481" spans="1:11" x14ac:dyDescent="0.25">
      <c r="A481" s="111"/>
      <c r="B481" s="206" t="s">
        <v>197</v>
      </c>
      <c r="C481" s="207">
        <v>3</v>
      </c>
      <c r="D481" s="192">
        <v>44760</v>
      </c>
      <c r="E481" s="191" t="s">
        <v>305</v>
      </c>
      <c r="F481" s="209">
        <v>8.1261721362982389</v>
      </c>
      <c r="G481" s="209" t="s">
        <v>303</v>
      </c>
      <c r="H481" s="210" t="s">
        <v>299</v>
      </c>
      <c r="I481" s="193">
        <v>0.79166666666666663</v>
      </c>
      <c r="J481" s="193">
        <v>0.875</v>
      </c>
      <c r="K481" s="194">
        <f t="shared" si="131"/>
        <v>0.25</v>
      </c>
    </row>
    <row r="482" spans="1:11" x14ac:dyDescent="0.25">
      <c r="A482" s="111"/>
      <c r="B482" s="206" t="s">
        <v>197</v>
      </c>
      <c r="C482" s="207">
        <v>4</v>
      </c>
      <c r="D482" s="192">
        <v>44770</v>
      </c>
      <c r="E482" s="191" t="s">
        <v>305</v>
      </c>
      <c r="F482" s="209">
        <v>7.5579240452268044</v>
      </c>
      <c r="G482" s="209" t="s">
        <v>303</v>
      </c>
      <c r="H482" s="210" t="s">
        <v>299</v>
      </c>
      <c r="I482" s="193">
        <v>0.66666666666666663</v>
      </c>
      <c r="J482" s="193">
        <v>0.70833333333333337</v>
      </c>
      <c r="K482" s="194">
        <f t="shared" si="131"/>
        <v>0.29166666666666674</v>
      </c>
    </row>
    <row r="483" spans="1:11" x14ac:dyDescent="0.25">
      <c r="A483" s="111"/>
      <c r="B483" s="206" t="s">
        <v>197</v>
      </c>
      <c r="C483" s="207">
        <v>5</v>
      </c>
      <c r="D483" s="208">
        <v>44783</v>
      </c>
      <c r="E483" s="191" t="s">
        <v>305</v>
      </c>
      <c r="F483" s="209">
        <v>9.0457078233476658</v>
      </c>
      <c r="G483" s="209" t="s">
        <v>303</v>
      </c>
      <c r="H483" s="210" t="s">
        <v>299</v>
      </c>
      <c r="I483" s="193">
        <v>0.70833333333333337</v>
      </c>
      <c r="J483" s="193">
        <v>0.79166666666666663</v>
      </c>
      <c r="K483" s="194">
        <f t="shared" si="131"/>
        <v>0.375</v>
      </c>
    </row>
    <row r="484" spans="1:11" x14ac:dyDescent="0.25">
      <c r="A484" s="111"/>
      <c r="B484" s="206" t="s">
        <v>197</v>
      </c>
      <c r="C484" s="207">
        <v>6</v>
      </c>
      <c r="D484" s="208">
        <v>44789</v>
      </c>
      <c r="E484" s="191" t="s">
        <v>305</v>
      </c>
      <c r="F484" s="209">
        <v>9.1387708984939433</v>
      </c>
      <c r="G484" s="209" t="s">
        <v>303</v>
      </c>
      <c r="H484" s="210" t="s">
        <v>299</v>
      </c>
      <c r="I484" s="193">
        <v>0.75</v>
      </c>
      <c r="J484" s="193">
        <v>0.83333333333333337</v>
      </c>
      <c r="K484" s="194">
        <f t="shared" si="131"/>
        <v>0.45833333333333337</v>
      </c>
    </row>
    <row r="485" spans="1:11" x14ac:dyDescent="0.25">
      <c r="A485" s="111"/>
      <c r="B485" s="206" t="s">
        <v>197</v>
      </c>
      <c r="C485" s="207">
        <v>7</v>
      </c>
      <c r="D485" s="208">
        <v>44790</v>
      </c>
      <c r="E485" s="191" t="s">
        <v>305</v>
      </c>
      <c r="F485" s="209">
        <v>8.9347329343291904</v>
      </c>
      <c r="G485" s="209" t="s">
        <v>303</v>
      </c>
      <c r="H485" s="210" t="s">
        <v>299</v>
      </c>
      <c r="I485" s="193">
        <v>0.75</v>
      </c>
      <c r="J485" s="193">
        <v>0.79166666666666663</v>
      </c>
      <c r="K485" s="194">
        <f t="shared" si="131"/>
        <v>0.5</v>
      </c>
    </row>
    <row r="486" spans="1:11" x14ac:dyDescent="0.25">
      <c r="A486" s="111"/>
      <c r="B486" s="206" t="s">
        <v>197</v>
      </c>
      <c r="C486" s="207">
        <v>8</v>
      </c>
      <c r="D486" s="208">
        <v>44804</v>
      </c>
      <c r="E486" s="191" t="s">
        <v>305</v>
      </c>
      <c r="F486" s="209">
        <v>9.6132571172957544</v>
      </c>
      <c r="G486" s="209" t="s">
        <v>303</v>
      </c>
      <c r="H486" s="210" t="s">
        <v>299</v>
      </c>
      <c r="I486" s="193">
        <v>0.75</v>
      </c>
      <c r="J486" s="193">
        <v>0.83333333333333337</v>
      </c>
      <c r="K486" s="194">
        <f t="shared" si="131"/>
        <v>0.58333333333333337</v>
      </c>
    </row>
    <row r="487" spans="1:11" x14ac:dyDescent="0.25">
      <c r="A487" s="111"/>
      <c r="B487" s="206" t="s">
        <v>197</v>
      </c>
      <c r="C487" s="207">
        <v>9</v>
      </c>
      <c r="D487" s="208">
        <v>44806</v>
      </c>
      <c r="E487" s="191" t="s">
        <v>218</v>
      </c>
      <c r="F487" s="209">
        <v>9.5440730646140679</v>
      </c>
      <c r="G487" s="191" t="s">
        <v>303</v>
      </c>
      <c r="H487" s="210" t="s">
        <v>299</v>
      </c>
      <c r="I487" s="193">
        <v>0.75</v>
      </c>
      <c r="J487" s="193">
        <v>0.83333333333333304</v>
      </c>
      <c r="K487" s="194">
        <f t="shared" ref="K487:K491" si="132">(J487-I487)+K486</f>
        <v>0.66666666666666641</v>
      </c>
    </row>
    <row r="488" spans="1:11" x14ac:dyDescent="0.25">
      <c r="A488" s="111"/>
      <c r="B488" s="206" t="s">
        <v>197</v>
      </c>
      <c r="C488" s="207">
        <v>10</v>
      </c>
      <c r="D488" s="208">
        <v>44809</v>
      </c>
      <c r="E488" s="191" t="s">
        <v>315</v>
      </c>
      <c r="F488" s="209">
        <v>9.6225940112526533</v>
      </c>
      <c r="G488" s="191" t="s">
        <v>303</v>
      </c>
      <c r="H488" s="210" t="s">
        <v>299</v>
      </c>
      <c r="I488" s="193">
        <v>0.781944444444444</v>
      </c>
      <c r="J488" s="193">
        <v>0.86666666666666703</v>
      </c>
      <c r="K488" s="194">
        <f t="shared" si="132"/>
        <v>0.75138888888888944</v>
      </c>
    </row>
    <row r="489" spans="1:11" x14ac:dyDescent="0.25">
      <c r="A489" s="111"/>
      <c r="B489" s="206" t="s">
        <v>197</v>
      </c>
      <c r="C489" s="207">
        <v>11</v>
      </c>
      <c r="D489" s="208">
        <v>44810</v>
      </c>
      <c r="E489" s="191" t="s">
        <v>315</v>
      </c>
      <c r="F489" s="209">
        <v>9.6688366241778336</v>
      </c>
      <c r="G489" s="191" t="s">
        <v>303</v>
      </c>
      <c r="H489" s="210" t="s">
        <v>299</v>
      </c>
      <c r="I489" s="193">
        <v>0.72013888888888899</v>
      </c>
      <c r="J489" s="193">
        <v>0.875</v>
      </c>
      <c r="K489" s="194">
        <f t="shared" si="132"/>
        <v>0.90625000000000044</v>
      </c>
    </row>
    <row r="490" spans="1:11" x14ac:dyDescent="0.25">
      <c r="A490" s="111"/>
      <c r="B490" s="206" t="s">
        <v>197</v>
      </c>
      <c r="C490" s="207">
        <v>12</v>
      </c>
      <c r="D490" s="208">
        <v>44811</v>
      </c>
      <c r="E490" s="191" t="s">
        <v>218</v>
      </c>
      <c r="F490" s="209">
        <v>9.6142771624961689</v>
      </c>
      <c r="G490" s="191" t="s">
        <v>303</v>
      </c>
      <c r="H490" s="210" t="s">
        <v>299</v>
      </c>
      <c r="I490" s="193">
        <v>0.75</v>
      </c>
      <c r="J490" s="193">
        <v>0.83333333333333337</v>
      </c>
      <c r="K490" s="194">
        <f t="shared" si="132"/>
        <v>0.98958333333333381</v>
      </c>
    </row>
    <row r="491" spans="1:11" x14ac:dyDescent="0.25">
      <c r="A491" s="111"/>
      <c r="B491" s="206" t="s">
        <v>197</v>
      </c>
      <c r="C491" s="207">
        <v>13</v>
      </c>
      <c r="D491" s="208">
        <v>44811</v>
      </c>
      <c r="E491" s="191" t="s">
        <v>315</v>
      </c>
      <c r="F491" s="209">
        <v>2.7915255765256823</v>
      </c>
      <c r="G491" s="191" t="s">
        <v>303</v>
      </c>
      <c r="H491" s="210" t="s">
        <v>299</v>
      </c>
      <c r="I491" s="193">
        <v>0.83333333333333337</v>
      </c>
      <c r="J491" s="193">
        <v>0.84861111111111098</v>
      </c>
      <c r="K491" s="194">
        <f t="shared" si="132"/>
        <v>1.0048611111111114</v>
      </c>
    </row>
    <row r="492" spans="1:11" x14ac:dyDescent="0.25">
      <c r="A492" s="111"/>
      <c r="B492" s="190"/>
      <c r="C492" s="191"/>
      <c r="D492" s="192"/>
      <c r="E492" s="191"/>
      <c r="F492" s="118"/>
      <c r="G492" s="191"/>
      <c r="H492" s="191"/>
      <c r="I492" s="193"/>
      <c r="J492" s="193"/>
      <c r="K492" s="194"/>
    </row>
    <row r="493" spans="1:11" x14ac:dyDescent="0.25">
      <c r="A493" s="111"/>
      <c r="B493" s="206" t="s">
        <v>197</v>
      </c>
      <c r="C493" s="207">
        <v>1</v>
      </c>
      <c r="D493" s="208">
        <v>44740</v>
      </c>
      <c r="E493" s="191" t="s">
        <v>305</v>
      </c>
      <c r="F493" s="209">
        <v>19.309945788455909</v>
      </c>
      <c r="G493" s="209" t="s">
        <v>303</v>
      </c>
      <c r="H493" s="210" t="s">
        <v>221</v>
      </c>
      <c r="I493" s="193">
        <v>0.70833333333333337</v>
      </c>
      <c r="J493" s="193">
        <v>0.79166666666666663</v>
      </c>
      <c r="K493" s="211">
        <f>J493-I493</f>
        <v>8.3333333333333259E-2</v>
      </c>
    </row>
    <row r="494" spans="1:11" x14ac:dyDescent="0.25">
      <c r="A494" s="111"/>
      <c r="B494" s="206" t="s">
        <v>197</v>
      </c>
      <c r="C494" s="207">
        <v>2</v>
      </c>
      <c r="D494" s="192">
        <v>44757</v>
      </c>
      <c r="E494" s="191" t="s">
        <v>305</v>
      </c>
      <c r="F494" s="209">
        <v>17.154799091240811</v>
      </c>
      <c r="G494" s="209" t="s">
        <v>303</v>
      </c>
      <c r="H494" s="210" t="s">
        <v>221</v>
      </c>
      <c r="I494" s="193">
        <v>0.75</v>
      </c>
      <c r="J494" s="193">
        <v>0.83333333333333337</v>
      </c>
      <c r="K494" s="194">
        <f t="shared" ref="K494:K500" si="133">(J494-I494)+K493</f>
        <v>0.16666666666666663</v>
      </c>
    </row>
    <row r="495" spans="1:11" x14ac:dyDescent="0.25">
      <c r="A495" s="111"/>
      <c r="B495" s="206" t="s">
        <v>197</v>
      </c>
      <c r="C495" s="207">
        <v>3</v>
      </c>
      <c r="D495" s="192">
        <v>44760</v>
      </c>
      <c r="E495" s="191" t="s">
        <v>305</v>
      </c>
      <c r="F495" s="209">
        <v>15.999726373985458</v>
      </c>
      <c r="G495" s="209" t="s">
        <v>303</v>
      </c>
      <c r="H495" s="210" t="s">
        <v>221</v>
      </c>
      <c r="I495" s="193">
        <v>0.79166666666666663</v>
      </c>
      <c r="J495" s="193">
        <v>0.875</v>
      </c>
      <c r="K495" s="194">
        <f t="shared" si="133"/>
        <v>0.25</v>
      </c>
    </row>
    <row r="496" spans="1:11" x14ac:dyDescent="0.25">
      <c r="A496" s="111"/>
      <c r="B496" s="206" t="s">
        <v>197</v>
      </c>
      <c r="C496" s="207">
        <v>4</v>
      </c>
      <c r="D496" s="192">
        <v>44770</v>
      </c>
      <c r="E496" s="191" t="s">
        <v>305</v>
      </c>
      <c r="F496" s="209">
        <v>12.690016729071028</v>
      </c>
      <c r="G496" s="209" t="s">
        <v>303</v>
      </c>
      <c r="H496" s="210" t="s">
        <v>221</v>
      </c>
      <c r="I496" s="193">
        <v>0.66666666666666663</v>
      </c>
      <c r="J496" s="193">
        <v>0.70833333333333337</v>
      </c>
      <c r="K496" s="194">
        <f t="shared" si="133"/>
        <v>0.29166666666666674</v>
      </c>
    </row>
    <row r="497" spans="1:11" x14ac:dyDescent="0.25">
      <c r="A497" s="111"/>
      <c r="B497" s="206" t="s">
        <v>197</v>
      </c>
      <c r="C497" s="207">
        <v>5</v>
      </c>
      <c r="D497" s="208">
        <v>44783</v>
      </c>
      <c r="E497" s="191" t="s">
        <v>305</v>
      </c>
      <c r="F497" s="209">
        <v>18.719008097966611</v>
      </c>
      <c r="G497" s="209" t="s">
        <v>303</v>
      </c>
      <c r="H497" s="210" t="s">
        <v>221</v>
      </c>
      <c r="I497" s="193">
        <v>0.70833333333333337</v>
      </c>
      <c r="J497" s="193">
        <v>0.79166666666666663</v>
      </c>
      <c r="K497" s="194">
        <f t="shared" si="133"/>
        <v>0.375</v>
      </c>
    </row>
    <row r="498" spans="1:11" x14ac:dyDescent="0.25">
      <c r="A498" s="111"/>
      <c r="B498" s="206" t="s">
        <v>197</v>
      </c>
      <c r="C498" s="207">
        <v>6</v>
      </c>
      <c r="D498" s="208">
        <v>44789</v>
      </c>
      <c r="E498" s="191" t="s">
        <v>305</v>
      </c>
      <c r="F498" s="209">
        <v>19.807232700045116</v>
      </c>
      <c r="G498" s="209" t="s">
        <v>303</v>
      </c>
      <c r="H498" s="210" t="s">
        <v>221</v>
      </c>
      <c r="I498" s="193">
        <v>0.75</v>
      </c>
      <c r="J498" s="193">
        <v>0.83333333333333337</v>
      </c>
      <c r="K498" s="194">
        <f t="shared" si="133"/>
        <v>0.45833333333333337</v>
      </c>
    </row>
    <row r="499" spans="1:11" x14ac:dyDescent="0.25">
      <c r="A499" s="111"/>
      <c r="B499" s="206" t="s">
        <v>197</v>
      </c>
      <c r="C499" s="207">
        <v>7</v>
      </c>
      <c r="D499" s="208">
        <v>44790</v>
      </c>
      <c r="E499" s="191" t="s">
        <v>305</v>
      </c>
      <c r="F499" s="209">
        <v>18.611110202440091</v>
      </c>
      <c r="G499" s="209" t="s">
        <v>303</v>
      </c>
      <c r="H499" s="210" t="s">
        <v>221</v>
      </c>
      <c r="I499" s="193">
        <v>0.75</v>
      </c>
      <c r="J499" s="193">
        <v>0.79166666666666663</v>
      </c>
      <c r="K499" s="194">
        <f t="shared" si="133"/>
        <v>0.5</v>
      </c>
    </row>
    <row r="500" spans="1:11" x14ac:dyDescent="0.25">
      <c r="A500" s="111"/>
      <c r="B500" s="206" t="s">
        <v>197</v>
      </c>
      <c r="C500" s="207">
        <v>8</v>
      </c>
      <c r="D500" s="208">
        <v>44804</v>
      </c>
      <c r="E500" s="191" t="s">
        <v>305</v>
      </c>
      <c r="F500" s="209">
        <v>22.862517108674467</v>
      </c>
      <c r="G500" s="209" t="s">
        <v>303</v>
      </c>
      <c r="H500" s="210" t="s">
        <v>221</v>
      </c>
      <c r="I500" s="193">
        <v>0.75</v>
      </c>
      <c r="J500" s="193">
        <v>0.83333333333333337</v>
      </c>
      <c r="K500" s="194">
        <f t="shared" si="133"/>
        <v>0.58333333333333337</v>
      </c>
    </row>
    <row r="501" spans="1:11" x14ac:dyDescent="0.25">
      <c r="A501" s="111"/>
      <c r="B501" s="206" t="s">
        <v>197</v>
      </c>
      <c r="C501" s="207">
        <v>9</v>
      </c>
      <c r="D501" s="208">
        <v>44806</v>
      </c>
      <c r="E501" s="191" t="s">
        <v>218</v>
      </c>
      <c r="F501" s="209">
        <v>21.655969910433129</v>
      </c>
      <c r="G501" s="191" t="s">
        <v>303</v>
      </c>
      <c r="H501" s="210" t="s">
        <v>221</v>
      </c>
      <c r="I501" s="193">
        <v>0.75</v>
      </c>
      <c r="J501" s="193">
        <v>0.83333333333333304</v>
      </c>
      <c r="K501" s="194">
        <f t="shared" ref="K501:K505" si="134">(J501-I501)+K500</f>
        <v>0.66666666666666641</v>
      </c>
    </row>
    <row r="502" spans="1:11" x14ac:dyDescent="0.25">
      <c r="A502" s="111"/>
      <c r="B502" s="206" t="s">
        <v>197</v>
      </c>
      <c r="C502" s="207">
        <v>10</v>
      </c>
      <c r="D502" s="208">
        <v>44809</v>
      </c>
      <c r="E502" s="191" t="s">
        <v>315</v>
      </c>
      <c r="F502" s="209">
        <v>22.500809243858644</v>
      </c>
      <c r="G502" s="191" t="s">
        <v>303</v>
      </c>
      <c r="H502" s="210" t="s">
        <v>221</v>
      </c>
      <c r="I502" s="193">
        <v>0.781944444444444</v>
      </c>
      <c r="J502" s="193">
        <v>0.86666666666666703</v>
      </c>
      <c r="K502" s="194">
        <f t="shared" si="134"/>
        <v>0.75138888888888944</v>
      </c>
    </row>
    <row r="503" spans="1:11" x14ac:dyDescent="0.25">
      <c r="A503" s="111"/>
      <c r="B503" s="206" t="s">
        <v>197</v>
      </c>
      <c r="C503" s="207">
        <v>11</v>
      </c>
      <c r="D503" s="208">
        <v>44810</v>
      </c>
      <c r="E503" s="191" t="s">
        <v>315</v>
      </c>
      <c r="F503" s="209">
        <v>22.269132833560803</v>
      </c>
      <c r="G503" s="191" t="s">
        <v>303</v>
      </c>
      <c r="H503" s="210" t="s">
        <v>221</v>
      </c>
      <c r="I503" s="193">
        <v>0.72013888888888899</v>
      </c>
      <c r="J503" s="193">
        <v>0.875</v>
      </c>
      <c r="K503" s="194">
        <f t="shared" si="134"/>
        <v>0.90625000000000044</v>
      </c>
    </row>
    <row r="504" spans="1:11" x14ac:dyDescent="0.25">
      <c r="A504" s="111"/>
      <c r="B504" s="206" t="s">
        <v>197</v>
      </c>
      <c r="C504" s="207">
        <v>12</v>
      </c>
      <c r="D504" s="208">
        <v>44811</v>
      </c>
      <c r="E504" s="191" t="s">
        <v>218</v>
      </c>
      <c r="F504" s="209">
        <v>22.479333660299481</v>
      </c>
      <c r="G504" s="191" t="s">
        <v>303</v>
      </c>
      <c r="H504" s="210" t="s">
        <v>221</v>
      </c>
      <c r="I504" s="193">
        <v>0.75</v>
      </c>
      <c r="J504" s="193">
        <v>0.83333333333333337</v>
      </c>
      <c r="K504" s="194">
        <f t="shared" si="134"/>
        <v>0.98958333333333381</v>
      </c>
    </row>
    <row r="505" spans="1:11" x14ac:dyDescent="0.25">
      <c r="A505" s="111"/>
      <c r="B505" s="206" t="s">
        <v>197</v>
      </c>
      <c r="C505" s="207">
        <v>13</v>
      </c>
      <c r="D505" s="208">
        <v>44811</v>
      </c>
      <c r="E505" s="191" t="s">
        <v>315</v>
      </c>
      <c r="F505" s="209">
        <v>6.5269217638914405</v>
      </c>
      <c r="G505" s="191" t="s">
        <v>303</v>
      </c>
      <c r="H505" s="210" t="s">
        <v>221</v>
      </c>
      <c r="I505" s="193">
        <v>0.83333333333333337</v>
      </c>
      <c r="J505" s="193">
        <v>0.84861111111111098</v>
      </c>
      <c r="K505" s="194">
        <f t="shared" si="134"/>
        <v>1.0048611111111114</v>
      </c>
    </row>
    <row r="506" spans="1:11" x14ac:dyDescent="0.25">
      <c r="A506" s="111"/>
      <c r="B506" s="190"/>
      <c r="C506" s="191"/>
      <c r="D506" s="192"/>
      <c r="E506" s="191"/>
      <c r="F506" s="118"/>
      <c r="G506" s="191"/>
      <c r="H506" s="191"/>
      <c r="I506" s="193"/>
      <c r="J506" s="193"/>
      <c r="K506" s="194"/>
    </row>
    <row r="507" spans="1:11" x14ac:dyDescent="0.25">
      <c r="A507" s="111"/>
      <c r="B507" s="206" t="s">
        <v>197</v>
      </c>
      <c r="C507" s="207">
        <v>1</v>
      </c>
      <c r="D507" s="208">
        <v>44740</v>
      </c>
      <c r="E507" s="191" t="s">
        <v>305</v>
      </c>
      <c r="F507" s="209">
        <v>1.8569738563453395</v>
      </c>
      <c r="G507" s="209" t="s">
        <v>303</v>
      </c>
      <c r="H507" s="210" t="s">
        <v>300</v>
      </c>
      <c r="I507" s="193">
        <v>0.70833333333333337</v>
      </c>
      <c r="J507" s="193">
        <v>0.79166666666666663</v>
      </c>
      <c r="K507" s="211">
        <f>J507-I507</f>
        <v>8.3333333333333259E-2</v>
      </c>
    </row>
    <row r="508" spans="1:11" x14ac:dyDescent="0.25">
      <c r="A508" s="111"/>
      <c r="B508" s="206" t="s">
        <v>197</v>
      </c>
      <c r="C508" s="207">
        <v>2</v>
      </c>
      <c r="D508" s="192">
        <v>44757</v>
      </c>
      <c r="E508" s="191" t="s">
        <v>305</v>
      </c>
      <c r="F508" s="209">
        <v>1.7539153362499365</v>
      </c>
      <c r="G508" s="209" t="s">
        <v>303</v>
      </c>
      <c r="H508" s="210" t="s">
        <v>300</v>
      </c>
      <c r="I508" s="193">
        <v>0.75</v>
      </c>
      <c r="J508" s="193">
        <v>0.83333333333333337</v>
      </c>
      <c r="K508" s="194">
        <f t="shared" ref="K508:K514" si="135">(J508-I508)+K507</f>
        <v>0.16666666666666663</v>
      </c>
    </row>
    <row r="509" spans="1:11" x14ac:dyDescent="0.25">
      <c r="A509" s="111"/>
      <c r="B509" s="206" t="s">
        <v>197</v>
      </c>
      <c r="C509" s="207">
        <v>3</v>
      </c>
      <c r="D509" s="192">
        <v>44760</v>
      </c>
      <c r="E509" s="191" t="s">
        <v>305</v>
      </c>
      <c r="F509" s="209">
        <v>1.6412536410720366</v>
      </c>
      <c r="G509" s="209" t="s">
        <v>303</v>
      </c>
      <c r="H509" s="210" t="s">
        <v>300</v>
      </c>
      <c r="I509" s="193">
        <v>0.79166666666666663</v>
      </c>
      <c r="J509" s="193">
        <v>0.875</v>
      </c>
      <c r="K509" s="194">
        <f t="shared" si="135"/>
        <v>0.25</v>
      </c>
    </row>
    <row r="510" spans="1:11" x14ac:dyDescent="0.25">
      <c r="A510" s="111"/>
      <c r="B510" s="206" t="s">
        <v>197</v>
      </c>
      <c r="C510" s="207">
        <v>4</v>
      </c>
      <c r="D510" s="192">
        <v>44770</v>
      </c>
      <c r="E510" s="191" t="s">
        <v>305</v>
      </c>
      <c r="F510" s="209">
        <v>1.5137761983510667</v>
      </c>
      <c r="G510" s="209" t="s">
        <v>303</v>
      </c>
      <c r="H510" s="210" t="s">
        <v>300</v>
      </c>
      <c r="I510" s="193">
        <v>0.66666666666666663</v>
      </c>
      <c r="J510" s="193">
        <v>0.70833333333333337</v>
      </c>
      <c r="K510" s="194">
        <f t="shared" si="135"/>
        <v>0.29166666666666674</v>
      </c>
    </row>
    <row r="511" spans="1:11" x14ac:dyDescent="0.25">
      <c r="A511" s="111"/>
      <c r="B511" s="206" t="s">
        <v>197</v>
      </c>
      <c r="C511" s="207">
        <v>5</v>
      </c>
      <c r="D511" s="208">
        <v>44783</v>
      </c>
      <c r="E511" s="191" t="s">
        <v>305</v>
      </c>
      <c r="F511" s="209">
        <v>1.8599092527353889</v>
      </c>
      <c r="G511" s="209" t="s">
        <v>303</v>
      </c>
      <c r="H511" s="210" t="s">
        <v>300</v>
      </c>
      <c r="I511" s="193">
        <v>0.70833333333333337</v>
      </c>
      <c r="J511" s="193">
        <v>0.79166666666666663</v>
      </c>
      <c r="K511" s="194">
        <f t="shared" si="135"/>
        <v>0.375</v>
      </c>
    </row>
    <row r="512" spans="1:11" x14ac:dyDescent="0.25">
      <c r="A512" s="111"/>
      <c r="B512" s="206" t="s">
        <v>197</v>
      </c>
      <c r="C512" s="207">
        <v>6</v>
      </c>
      <c r="D512" s="208">
        <v>44789</v>
      </c>
      <c r="E512" s="191" t="s">
        <v>305</v>
      </c>
      <c r="F512" s="209">
        <v>1.8948798422331188</v>
      </c>
      <c r="G512" s="209" t="s">
        <v>303</v>
      </c>
      <c r="H512" s="210" t="s">
        <v>300</v>
      </c>
      <c r="I512" s="193">
        <v>0.75</v>
      </c>
      <c r="J512" s="193">
        <v>0.83333333333333337</v>
      </c>
      <c r="K512" s="194">
        <f t="shared" si="135"/>
        <v>0.45833333333333337</v>
      </c>
    </row>
    <row r="513" spans="1:11" x14ac:dyDescent="0.25">
      <c r="A513" s="111"/>
      <c r="B513" s="206" t="s">
        <v>197</v>
      </c>
      <c r="C513" s="207">
        <v>7</v>
      </c>
      <c r="D513" s="208">
        <v>44790</v>
      </c>
      <c r="E513" s="191" t="s">
        <v>305</v>
      </c>
      <c r="F513" s="209">
        <v>1.8444227927675723</v>
      </c>
      <c r="G513" s="209" t="s">
        <v>303</v>
      </c>
      <c r="H513" s="210" t="s">
        <v>300</v>
      </c>
      <c r="I513" s="193">
        <v>0.75</v>
      </c>
      <c r="J513" s="193">
        <v>0.79166666666666663</v>
      </c>
      <c r="K513" s="194">
        <f t="shared" si="135"/>
        <v>0.5</v>
      </c>
    </row>
    <row r="514" spans="1:11" x14ac:dyDescent="0.25">
      <c r="A514" s="111"/>
      <c r="B514" s="206" t="s">
        <v>197</v>
      </c>
      <c r="C514" s="207">
        <v>8</v>
      </c>
      <c r="D514" s="208">
        <v>44804</v>
      </c>
      <c r="E514" s="191" t="s">
        <v>305</v>
      </c>
      <c r="F514" s="209">
        <v>2.0329141437117748</v>
      </c>
      <c r="G514" s="209" t="s">
        <v>303</v>
      </c>
      <c r="H514" s="210" t="s">
        <v>300</v>
      </c>
      <c r="I514" s="193">
        <v>0.75</v>
      </c>
      <c r="J514" s="193">
        <v>0.83333333333333337</v>
      </c>
      <c r="K514" s="194">
        <f t="shared" si="135"/>
        <v>0.58333333333333337</v>
      </c>
    </row>
    <row r="515" spans="1:11" x14ac:dyDescent="0.25">
      <c r="A515" s="111"/>
      <c r="B515" s="206" t="s">
        <v>197</v>
      </c>
      <c r="C515" s="207">
        <v>9</v>
      </c>
      <c r="D515" s="208">
        <v>44806</v>
      </c>
      <c r="E515" s="191" t="s">
        <v>218</v>
      </c>
      <c r="F515" s="209">
        <v>2.0004157986495188</v>
      </c>
      <c r="G515" s="191" t="s">
        <v>303</v>
      </c>
      <c r="H515" s="210" t="s">
        <v>300</v>
      </c>
      <c r="I515" s="193">
        <v>0.75</v>
      </c>
      <c r="J515" s="193">
        <v>0.83333333333333304</v>
      </c>
      <c r="K515" s="194">
        <f t="shared" ref="K515:K519" si="136">(J515-I515)+K514</f>
        <v>0.66666666666666641</v>
      </c>
    </row>
    <row r="516" spans="1:11" x14ac:dyDescent="0.25">
      <c r="A516" s="111"/>
      <c r="B516" s="206" t="s">
        <v>197</v>
      </c>
      <c r="C516" s="207">
        <v>10</v>
      </c>
      <c r="D516" s="208">
        <v>44809</v>
      </c>
      <c r="E516" s="191" t="s">
        <v>315</v>
      </c>
      <c r="F516" s="209">
        <v>2.0269282215000044</v>
      </c>
      <c r="G516" s="191" t="s">
        <v>303</v>
      </c>
      <c r="H516" s="210" t="s">
        <v>300</v>
      </c>
      <c r="I516" s="193">
        <v>0.781944444444444</v>
      </c>
      <c r="J516" s="193">
        <v>0.86666666666666703</v>
      </c>
      <c r="K516" s="194">
        <f t="shared" si="136"/>
        <v>0.75138888888888944</v>
      </c>
    </row>
    <row r="517" spans="1:11" x14ac:dyDescent="0.25">
      <c r="A517" s="111"/>
      <c r="B517" s="206" t="s">
        <v>197</v>
      </c>
      <c r="C517" s="207">
        <v>11</v>
      </c>
      <c r="D517" s="208">
        <v>44810</v>
      </c>
      <c r="E517" s="191" t="s">
        <v>315</v>
      </c>
      <c r="F517" s="209">
        <v>2.0318168251994706</v>
      </c>
      <c r="G517" s="191" t="s">
        <v>303</v>
      </c>
      <c r="H517" s="210" t="s">
        <v>300</v>
      </c>
      <c r="I517" s="193">
        <v>0.72013888888888899</v>
      </c>
      <c r="J517" s="193">
        <v>0.875</v>
      </c>
      <c r="K517" s="194">
        <f t="shared" si="136"/>
        <v>0.90625000000000044</v>
      </c>
    </row>
    <row r="518" spans="1:11" x14ac:dyDescent="0.25">
      <c r="A518" s="111"/>
      <c r="B518" s="206" t="s">
        <v>197</v>
      </c>
      <c r="C518" s="207">
        <v>12</v>
      </c>
      <c r="D518" s="208">
        <v>44811</v>
      </c>
      <c r="E518" s="191" t="s">
        <v>218</v>
      </c>
      <c r="F518" s="209">
        <v>2.0257101155976609</v>
      </c>
      <c r="G518" s="191" t="s">
        <v>303</v>
      </c>
      <c r="H518" s="210" t="s">
        <v>300</v>
      </c>
      <c r="I518" s="193">
        <v>0.75</v>
      </c>
      <c r="J518" s="193">
        <v>0.83333333333333337</v>
      </c>
      <c r="K518" s="194">
        <f t="shared" si="136"/>
        <v>0.98958333333333381</v>
      </c>
    </row>
    <row r="519" spans="1:11" x14ac:dyDescent="0.25">
      <c r="A519" s="111"/>
      <c r="B519" s="206" t="s">
        <v>197</v>
      </c>
      <c r="C519" s="207">
        <v>13</v>
      </c>
      <c r="D519" s="208">
        <v>44811</v>
      </c>
      <c r="E519" s="191" t="s">
        <v>315</v>
      </c>
      <c r="F519" s="209">
        <v>0.58816918867039369</v>
      </c>
      <c r="G519" s="191" t="s">
        <v>303</v>
      </c>
      <c r="H519" s="210" t="s">
        <v>300</v>
      </c>
      <c r="I519" s="193">
        <v>0.83333333333333337</v>
      </c>
      <c r="J519" s="193">
        <v>0.84861111111111098</v>
      </c>
      <c r="K519" s="194">
        <f t="shared" si="136"/>
        <v>1.0048611111111114</v>
      </c>
    </row>
    <row r="520" spans="1:11" x14ac:dyDescent="0.25">
      <c r="A520" s="111"/>
      <c r="B520" s="190"/>
      <c r="C520" s="191"/>
      <c r="D520" s="192"/>
      <c r="E520" s="191"/>
      <c r="F520" s="118"/>
      <c r="G520" s="191"/>
      <c r="H520" s="191"/>
      <c r="I520" s="193"/>
      <c r="J520" s="193"/>
      <c r="K520" s="194"/>
    </row>
    <row r="521" spans="1:11" x14ac:dyDescent="0.25">
      <c r="A521" s="111"/>
      <c r="B521" s="206" t="s">
        <v>197</v>
      </c>
      <c r="C521" s="207">
        <v>1</v>
      </c>
      <c r="D521" s="208">
        <v>44740</v>
      </c>
      <c r="E521" s="191" t="s">
        <v>305</v>
      </c>
      <c r="F521" s="209">
        <v>7.2736910101061231E-2</v>
      </c>
      <c r="G521" s="209" t="s">
        <v>303</v>
      </c>
      <c r="H521" s="210" t="s">
        <v>306</v>
      </c>
      <c r="I521" s="193">
        <v>0.70833333333333337</v>
      </c>
      <c r="J521" s="193">
        <v>0.79166666666666663</v>
      </c>
      <c r="K521" s="211">
        <f>J521-I521</f>
        <v>8.3333333333333259E-2</v>
      </c>
    </row>
    <row r="522" spans="1:11" x14ac:dyDescent="0.25">
      <c r="A522" s="111"/>
      <c r="B522" s="206" t="s">
        <v>197</v>
      </c>
      <c r="C522" s="207">
        <v>2</v>
      </c>
      <c r="D522" s="192">
        <v>44757</v>
      </c>
      <c r="E522" s="191" t="s">
        <v>305</v>
      </c>
      <c r="F522" s="209">
        <v>6.9304888290415312E-2</v>
      </c>
      <c r="G522" s="209" t="s">
        <v>303</v>
      </c>
      <c r="H522" s="210" t="s">
        <v>306</v>
      </c>
      <c r="I522" s="193">
        <v>0.75</v>
      </c>
      <c r="J522" s="193">
        <v>0.83333333333333337</v>
      </c>
      <c r="K522" s="194">
        <f t="shared" ref="K522:K528" si="137">(J522-I522)+K521</f>
        <v>0.16666666666666663</v>
      </c>
    </row>
    <row r="523" spans="1:11" x14ac:dyDescent="0.25">
      <c r="A523" s="111"/>
      <c r="B523" s="206" t="s">
        <v>197</v>
      </c>
      <c r="C523" s="207">
        <v>3</v>
      </c>
      <c r="D523" s="192">
        <v>44760</v>
      </c>
      <c r="E523" s="191" t="s">
        <v>305</v>
      </c>
      <c r="F523" s="209">
        <v>6.5056177281473129E-2</v>
      </c>
      <c r="G523" s="209" t="s">
        <v>303</v>
      </c>
      <c r="H523" s="210" t="s">
        <v>306</v>
      </c>
      <c r="I523" s="193">
        <v>0.79166666666666663</v>
      </c>
      <c r="J523" s="193">
        <v>0.875</v>
      </c>
      <c r="K523" s="194">
        <f t="shared" si="137"/>
        <v>0.25</v>
      </c>
    </row>
    <row r="524" spans="1:11" x14ac:dyDescent="0.25">
      <c r="A524" s="111"/>
      <c r="B524" s="206" t="s">
        <v>197</v>
      </c>
      <c r="C524" s="207">
        <v>4</v>
      </c>
      <c r="D524" s="192">
        <v>44770</v>
      </c>
      <c r="E524" s="191" t="s">
        <v>305</v>
      </c>
      <c r="F524" s="209">
        <v>6.3741248804859846E-2</v>
      </c>
      <c r="G524" s="209" t="s">
        <v>303</v>
      </c>
      <c r="H524" s="210" t="s">
        <v>306</v>
      </c>
      <c r="I524" s="193">
        <v>0.66666666666666663</v>
      </c>
      <c r="J524" s="193">
        <v>0.70833333333333337</v>
      </c>
      <c r="K524" s="194">
        <f t="shared" si="137"/>
        <v>0.29166666666666674</v>
      </c>
    </row>
    <row r="525" spans="1:11" x14ac:dyDescent="0.25">
      <c r="A525" s="111"/>
      <c r="B525" s="206" t="s">
        <v>197</v>
      </c>
      <c r="C525" s="207">
        <v>5</v>
      </c>
      <c r="D525" s="208">
        <v>44783</v>
      </c>
      <c r="E525" s="191" t="s">
        <v>305</v>
      </c>
      <c r="F525" s="209">
        <v>7.320904836596033E-2</v>
      </c>
      <c r="G525" s="209" t="s">
        <v>303</v>
      </c>
      <c r="H525" s="210" t="s">
        <v>306</v>
      </c>
      <c r="I525" s="193">
        <v>0.70833333333333337</v>
      </c>
      <c r="J525" s="193">
        <v>0.79166666666666663</v>
      </c>
      <c r="K525" s="194">
        <f t="shared" si="137"/>
        <v>0.375</v>
      </c>
    </row>
    <row r="526" spans="1:11" x14ac:dyDescent="0.25">
      <c r="A526" s="111"/>
      <c r="B526" s="206" t="s">
        <v>197</v>
      </c>
      <c r="C526" s="207">
        <v>6</v>
      </c>
      <c r="D526" s="208">
        <v>44789</v>
      </c>
      <c r="E526" s="191" t="s">
        <v>305</v>
      </c>
      <c r="F526" s="209">
        <v>7.4446010809214647E-2</v>
      </c>
      <c r="G526" s="209" t="s">
        <v>303</v>
      </c>
      <c r="H526" s="210" t="s">
        <v>306</v>
      </c>
      <c r="I526" s="193">
        <v>0.75</v>
      </c>
      <c r="J526" s="193">
        <v>0.83333333333333337</v>
      </c>
      <c r="K526" s="194">
        <f t="shared" si="137"/>
        <v>0.45833333333333337</v>
      </c>
    </row>
    <row r="527" spans="1:11" x14ac:dyDescent="0.25">
      <c r="A527" s="111"/>
      <c r="B527" s="206" t="s">
        <v>197</v>
      </c>
      <c r="C527" s="207">
        <v>7</v>
      </c>
      <c r="D527" s="208">
        <v>44790</v>
      </c>
      <c r="E527" s="191" t="s">
        <v>305</v>
      </c>
      <c r="F527" s="209">
        <v>7.2554909256655545E-2</v>
      </c>
      <c r="G527" s="209" t="s">
        <v>303</v>
      </c>
      <c r="H527" s="210" t="s">
        <v>306</v>
      </c>
      <c r="I527" s="193">
        <v>0.75</v>
      </c>
      <c r="J527" s="193">
        <v>0.79166666666666663</v>
      </c>
      <c r="K527" s="194">
        <f t="shared" si="137"/>
        <v>0.5</v>
      </c>
    </row>
    <row r="528" spans="1:11" x14ac:dyDescent="0.25">
      <c r="A528" s="111"/>
      <c r="B528" s="206" t="s">
        <v>197</v>
      </c>
      <c r="C528" s="207">
        <v>8</v>
      </c>
      <c r="D528" s="208">
        <v>44804</v>
      </c>
      <c r="E528" s="191" t="s">
        <v>305</v>
      </c>
      <c r="F528" s="209">
        <v>8.0119315254266119E-2</v>
      </c>
      <c r="G528" s="209" t="s">
        <v>303</v>
      </c>
      <c r="H528" s="210" t="s">
        <v>306</v>
      </c>
      <c r="I528" s="193">
        <v>0.75</v>
      </c>
      <c r="J528" s="193">
        <v>0.83333333333333337</v>
      </c>
      <c r="K528" s="194">
        <f t="shared" si="137"/>
        <v>0.58333333333333337</v>
      </c>
    </row>
    <row r="529" spans="1:11" x14ac:dyDescent="0.25">
      <c r="A529" s="111"/>
      <c r="B529" s="206" t="s">
        <v>197</v>
      </c>
      <c r="C529" s="207">
        <v>9</v>
      </c>
      <c r="D529" s="208">
        <v>44806</v>
      </c>
      <c r="E529" s="191" t="s">
        <v>218</v>
      </c>
      <c r="F529" s="209">
        <v>7.8768868130677128E-2</v>
      </c>
      <c r="G529" s="191" t="s">
        <v>303</v>
      </c>
      <c r="H529" s="210" t="s">
        <v>306</v>
      </c>
      <c r="I529" s="193">
        <v>0.75</v>
      </c>
      <c r="J529" s="193">
        <v>0.83333333333333304</v>
      </c>
      <c r="K529" s="194">
        <f t="shared" ref="K529:K532" si="138">(J529-I529)+K528</f>
        <v>0.66666666666666641</v>
      </c>
    </row>
    <row r="530" spans="1:11" x14ac:dyDescent="0.25">
      <c r="A530" s="111"/>
      <c r="B530" s="206" t="s">
        <v>197</v>
      </c>
      <c r="C530" s="207">
        <v>10</v>
      </c>
      <c r="D530" s="208">
        <v>44810</v>
      </c>
      <c r="E530" s="191" t="s">
        <v>315</v>
      </c>
      <c r="F530" s="209">
        <v>8.045145414885041E-2</v>
      </c>
      <c r="G530" s="191" t="s">
        <v>303</v>
      </c>
      <c r="H530" s="210" t="s">
        <v>306</v>
      </c>
      <c r="I530" s="193">
        <v>0.72013888888888899</v>
      </c>
      <c r="J530" s="193">
        <v>0.875</v>
      </c>
      <c r="K530" s="194">
        <f t="shared" si="138"/>
        <v>0.82152777777777741</v>
      </c>
    </row>
    <row r="531" spans="1:11" x14ac:dyDescent="0.25">
      <c r="A531" s="111"/>
      <c r="B531" s="206" t="s">
        <v>197</v>
      </c>
      <c r="C531" s="207">
        <v>11</v>
      </c>
      <c r="D531" s="208">
        <v>44811</v>
      </c>
      <c r="E531" s="191" t="s">
        <v>218</v>
      </c>
      <c r="F531" s="209">
        <v>7.9173764535572733E-2</v>
      </c>
      <c r="G531" s="191" t="s">
        <v>303</v>
      </c>
      <c r="H531" s="210" t="s">
        <v>306</v>
      </c>
      <c r="I531" s="193">
        <v>0.75</v>
      </c>
      <c r="J531" s="193">
        <v>0.83333333333333337</v>
      </c>
      <c r="K531" s="194">
        <f t="shared" si="138"/>
        <v>0.90486111111111078</v>
      </c>
    </row>
    <row r="532" spans="1:11" x14ac:dyDescent="0.25">
      <c r="A532" s="111"/>
      <c r="B532" s="206" t="s">
        <v>197</v>
      </c>
      <c r="C532" s="207">
        <v>12</v>
      </c>
      <c r="D532" s="208">
        <v>44811</v>
      </c>
      <c r="E532" s="191" t="s">
        <v>315</v>
      </c>
      <c r="F532" s="209">
        <v>2.298826890002937E-2</v>
      </c>
      <c r="G532" s="191" t="s">
        <v>303</v>
      </c>
      <c r="H532" s="210" t="s">
        <v>306</v>
      </c>
      <c r="I532" s="193">
        <v>0.83333333333333337</v>
      </c>
      <c r="J532" s="193">
        <v>0.84861111111111098</v>
      </c>
      <c r="K532" s="194">
        <f t="shared" si="138"/>
        <v>0.9201388888888884</v>
      </c>
    </row>
    <row r="533" spans="1:11" x14ac:dyDescent="0.25">
      <c r="A533" s="111"/>
      <c r="B533" s="190"/>
      <c r="C533" s="207"/>
      <c r="D533" s="192"/>
      <c r="E533" s="191"/>
      <c r="F533" s="118"/>
      <c r="G533" s="191"/>
      <c r="H533" s="191"/>
      <c r="I533" s="193"/>
      <c r="J533" s="193"/>
      <c r="K533" s="194"/>
    </row>
    <row r="534" spans="1:11" x14ac:dyDescent="0.25">
      <c r="A534" s="111"/>
      <c r="B534" s="206" t="s">
        <v>197</v>
      </c>
      <c r="C534" s="207">
        <v>1</v>
      </c>
      <c r="D534" s="208">
        <v>44740</v>
      </c>
      <c r="E534" s="191" t="s">
        <v>305</v>
      </c>
      <c r="F534" s="209">
        <v>0.36889600344921863</v>
      </c>
      <c r="G534" s="209" t="s">
        <v>303</v>
      </c>
      <c r="H534" s="210" t="s">
        <v>271</v>
      </c>
      <c r="I534" s="193">
        <v>0.70833333333333337</v>
      </c>
      <c r="J534" s="193">
        <v>0.79166666666666663</v>
      </c>
      <c r="K534" s="211">
        <f>J534-I534</f>
        <v>8.3333333333333259E-2</v>
      </c>
    </row>
    <row r="535" spans="1:11" x14ac:dyDescent="0.25">
      <c r="A535" s="111"/>
      <c r="B535" s="206" t="s">
        <v>197</v>
      </c>
      <c r="C535" s="207">
        <v>2</v>
      </c>
      <c r="D535" s="192">
        <v>44757</v>
      </c>
      <c r="E535" s="191" t="s">
        <v>305</v>
      </c>
      <c r="F535" s="209">
        <v>0.36529715957944064</v>
      </c>
      <c r="G535" s="209" t="s">
        <v>303</v>
      </c>
      <c r="H535" s="210" t="s">
        <v>271</v>
      </c>
      <c r="I535" s="193">
        <v>0.75</v>
      </c>
      <c r="J535" s="193">
        <v>0.83333333333333337</v>
      </c>
      <c r="K535" s="194">
        <f t="shared" ref="K535:K541" si="139">(J535-I535)+K534</f>
        <v>0.16666666666666663</v>
      </c>
    </row>
    <row r="536" spans="1:11" x14ac:dyDescent="0.25">
      <c r="A536" s="111"/>
      <c r="B536" s="206" t="s">
        <v>197</v>
      </c>
      <c r="C536" s="207">
        <v>3</v>
      </c>
      <c r="D536" s="192">
        <v>44760</v>
      </c>
      <c r="E536" s="191" t="s">
        <v>305</v>
      </c>
      <c r="F536" s="209">
        <v>0.33629257637572951</v>
      </c>
      <c r="G536" s="209" t="s">
        <v>303</v>
      </c>
      <c r="H536" s="210" t="s">
        <v>271</v>
      </c>
      <c r="I536" s="193">
        <v>0.79166666666666663</v>
      </c>
      <c r="J536" s="193">
        <v>0.875</v>
      </c>
      <c r="K536" s="194">
        <f t="shared" si="139"/>
        <v>0.25</v>
      </c>
    </row>
    <row r="537" spans="1:11" x14ac:dyDescent="0.25">
      <c r="A537" s="111"/>
      <c r="B537" s="206" t="s">
        <v>197</v>
      </c>
      <c r="C537" s="207">
        <v>4</v>
      </c>
      <c r="D537" s="192">
        <v>44770</v>
      </c>
      <c r="E537" s="191" t="s">
        <v>305</v>
      </c>
      <c r="F537" s="209">
        <v>0.33579503046821063</v>
      </c>
      <c r="G537" s="209" t="s">
        <v>303</v>
      </c>
      <c r="H537" s="210" t="s">
        <v>271</v>
      </c>
      <c r="I537" s="193">
        <v>0.66666666666666663</v>
      </c>
      <c r="J537" s="193">
        <v>0.70833333333333337</v>
      </c>
      <c r="K537" s="194">
        <f t="shared" si="139"/>
        <v>0.29166666666666674</v>
      </c>
    </row>
    <row r="538" spans="1:11" x14ac:dyDescent="0.25">
      <c r="A538" s="111"/>
      <c r="B538" s="206" t="s">
        <v>197</v>
      </c>
      <c r="C538" s="207">
        <v>5</v>
      </c>
      <c r="D538" s="208">
        <v>44783</v>
      </c>
      <c r="E538" s="191" t="s">
        <v>305</v>
      </c>
      <c r="F538" s="209">
        <v>0.36189299736225611</v>
      </c>
      <c r="G538" s="209" t="s">
        <v>303</v>
      </c>
      <c r="H538" s="210" t="s">
        <v>271</v>
      </c>
      <c r="I538" s="193">
        <v>0.70833333333333337</v>
      </c>
      <c r="J538" s="193">
        <v>0.79166666666666663</v>
      </c>
      <c r="K538" s="194">
        <f t="shared" si="139"/>
        <v>0.375</v>
      </c>
    </row>
    <row r="539" spans="1:11" x14ac:dyDescent="0.25">
      <c r="A539" s="111"/>
      <c r="B539" s="206" t="s">
        <v>197</v>
      </c>
      <c r="C539" s="207">
        <v>6</v>
      </c>
      <c r="D539" s="208">
        <v>44789</v>
      </c>
      <c r="E539" s="191" t="s">
        <v>305</v>
      </c>
      <c r="F539" s="209">
        <v>0.35157983769109674</v>
      </c>
      <c r="G539" s="209" t="s">
        <v>303</v>
      </c>
      <c r="H539" s="210" t="s">
        <v>271</v>
      </c>
      <c r="I539" s="193">
        <v>0.75</v>
      </c>
      <c r="J539" s="193">
        <v>0.83333333333333337</v>
      </c>
      <c r="K539" s="194">
        <f t="shared" si="139"/>
        <v>0.45833333333333337</v>
      </c>
    </row>
    <row r="540" spans="1:11" x14ac:dyDescent="0.25">
      <c r="A540" s="111"/>
      <c r="B540" s="206" t="s">
        <v>197</v>
      </c>
      <c r="C540" s="207">
        <v>7</v>
      </c>
      <c r="D540" s="208">
        <v>44790</v>
      </c>
      <c r="E540" s="191" t="s">
        <v>305</v>
      </c>
      <c r="F540" s="209">
        <v>0.35865940304240074</v>
      </c>
      <c r="G540" s="209" t="s">
        <v>303</v>
      </c>
      <c r="H540" s="210" t="s">
        <v>271</v>
      </c>
      <c r="I540" s="193">
        <v>0.75</v>
      </c>
      <c r="J540" s="193">
        <v>0.79166666666666663</v>
      </c>
      <c r="K540" s="194">
        <f t="shared" si="139"/>
        <v>0.5</v>
      </c>
    </row>
    <row r="541" spans="1:11" x14ac:dyDescent="0.25">
      <c r="A541" s="111"/>
      <c r="B541" s="206" t="s">
        <v>197</v>
      </c>
      <c r="C541" s="207">
        <v>8</v>
      </c>
      <c r="D541" s="208">
        <v>44804</v>
      </c>
      <c r="E541" s="191" t="s">
        <v>305</v>
      </c>
      <c r="F541" s="209">
        <v>0.33120184028096833</v>
      </c>
      <c r="G541" s="209" t="s">
        <v>303</v>
      </c>
      <c r="H541" s="210" t="s">
        <v>271</v>
      </c>
      <c r="I541" s="193">
        <v>0.75</v>
      </c>
      <c r="J541" s="193">
        <v>0.83333333333333337</v>
      </c>
      <c r="K541" s="194">
        <f t="shared" si="139"/>
        <v>0.58333333333333337</v>
      </c>
    </row>
    <row r="542" spans="1:11" x14ac:dyDescent="0.25">
      <c r="A542" s="111"/>
      <c r="B542" s="206" t="s">
        <v>197</v>
      </c>
      <c r="C542" s="207">
        <v>9</v>
      </c>
      <c r="D542" s="208">
        <v>44806</v>
      </c>
      <c r="E542" s="191" t="s">
        <v>218</v>
      </c>
      <c r="F542" s="209">
        <v>0.34055250501593598</v>
      </c>
      <c r="G542" s="191" t="s">
        <v>303</v>
      </c>
      <c r="H542" s="210" t="s">
        <v>271</v>
      </c>
      <c r="I542" s="193">
        <v>0.75</v>
      </c>
      <c r="J542" s="193">
        <v>0.83333333333333304</v>
      </c>
      <c r="K542" s="194">
        <f t="shared" ref="K542:K546" si="140">(J542-I542)+K541</f>
        <v>0.66666666666666641</v>
      </c>
    </row>
    <row r="543" spans="1:11" x14ac:dyDescent="0.25">
      <c r="A543" s="111"/>
      <c r="B543" s="206" t="s">
        <v>197</v>
      </c>
      <c r="C543" s="207">
        <v>10</v>
      </c>
      <c r="D543" s="208">
        <v>44809</v>
      </c>
      <c r="E543" s="191" t="s">
        <v>315</v>
      </c>
      <c r="F543" s="209">
        <v>0.3304037635573997</v>
      </c>
      <c r="G543" s="191" t="s">
        <v>303</v>
      </c>
      <c r="H543" s="210" t="s">
        <v>271</v>
      </c>
      <c r="I543" s="193">
        <v>0.781944444444444</v>
      </c>
      <c r="J543" s="193">
        <v>0.86666666666666703</v>
      </c>
      <c r="K543" s="194">
        <f t="shared" si="140"/>
        <v>0.75138888888888944</v>
      </c>
    </row>
    <row r="544" spans="1:11" x14ac:dyDescent="0.25">
      <c r="A544" s="111"/>
      <c r="B544" s="206" t="s">
        <v>197</v>
      </c>
      <c r="C544" s="207">
        <v>11</v>
      </c>
      <c r="D544" s="208">
        <v>44810</v>
      </c>
      <c r="E544" s="191" t="s">
        <v>315</v>
      </c>
      <c r="F544" s="209">
        <v>0.33423637760156782</v>
      </c>
      <c r="G544" s="191" t="s">
        <v>303</v>
      </c>
      <c r="H544" s="210" t="s">
        <v>271</v>
      </c>
      <c r="I544" s="193">
        <v>0.72013888888888899</v>
      </c>
      <c r="J544" s="193">
        <v>0.875</v>
      </c>
      <c r="K544" s="194">
        <f t="shared" si="140"/>
        <v>0.90625000000000044</v>
      </c>
    </row>
    <row r="545" spans="1:11" x14ac:dyDescent="0.25">
      <c r="A545" s="111"/>
      <c r="B545" s="206" t="s">
        <v>197</v>
      </c>
      <c r="C545" s="207">
        <v>12</v>
      </c>
      <c r="D545" s="208">
        <v>44811</v>
      </c>
      <c r="E545" s="191" t="s">
        <v>218</v>
      </c>
      <c r="F545" s="209">
        <v>0.3304037635573997</v>
      </c>
      <c r="G545" s="191" t="s">
        <v>303</v>
      </c>
      <c r="H545" s="210" t="s">
        <v>271</v>
      </c>
      <c r="I545" s="193">
        <v>0.75</v>
      </c>
      <c r="J545" s="193">
        <v>0.83333333333333337</v>
      </c>
      <c r="K545" s="194">
        <f t="shared" si="140"/>
        <v>0.98958333333333381</v>
      </c>
    </row>
    <row r="546" spans="1:11" x14ac:dyDescent="0.25">
      <c r="A546" s="111"/>
      <c r="B546" s="206" t="s">
        <v>197</v>
      </c>
      <c r="C546" s="207">
        <v>13</v>
      </c>
      <c r="D546" s="208">
        <v>44811</v>
      </c>
      <c r="E546" s="191" t="s">
        <v>315</v>
      </c>
      <c r="F546" s="209">
        <v>9.5933427023374845E-2</v>
      </c>
      <c r="G546" s="191" t="s">
        <v>303</v>
      </c>
      <c r="H546" s="210" t="s">
        <v>271</v>
      </c>
      <c r="I546" s="193">
        <v>0.83333333333333337</v>
      </c>
      <c r="J546" s="193">
        <v>0.84861111111111098</v>
      </c>
      <c r="K546" s="194">
        <f t="shared" si="140"/>
        <v>1.0048611111111114</v>
      </c>
    </row>
    <row r="547" spans="1:11" x14ac:dyDescent="0.25">
      <c r="A547" s="111"/>
      <c r="B547" s="190"/>
      <c r="C547" s="191"/>
      <c r="D547" s="192"/>
      <c r="E547" s="191"/>
      <c r="F547" s="118"/>
      <c r="G547" s="191"/>
      <c r="H547" s="191"/>
      <c r="I547" s="193"/>
      <c r="J547" s="193"/>
      <c r="K547" s="194"/>
    </row>
    <row r="548" spans="1:11" x14ac:dyDescent="0.25">
      <c r="A548" s="111"/>
      <c r="B548" s="206" t="s">
        <v>14</v>
      </c>
      <c r="C548" s="207">
        <v>1</v>
      </c>
      <c r="D548" s="208">
        <v>44740</v>
      </c>
      <c r="E548" s="210" t="s">
        <v>302</v>
      </c>
      <c r="F548" s="209">
        <v>17.12</v>
      </c>
      <c r="G548" s="209" t="s">
        <v>303</v>
      </c>
      <c r="H548" s="210" t="s">
        <v>304</v>
      </c>
      <c r="I548" s="212">
        <v>0.66666666666666663</v>
      </c>
      <c r="J548" s="212">
        <v>0.875</v>
      </c>
      <c r="K548" s="211">
        <f>J548-I548</f>
        <v>0.20833333333333337</v>
      </c>
    </row>
    <row r="549" spans="1:11" x14ac:dyDescent="0.25">
      <c r="A549" s="111"/>
      <c r="B549" s="206" t="s">
        <v>14</v>
      </c>
      <c r="C549" s="207">
        <v>2</v>
      </c>
      <c r="D549" s="192">
        <v>44760</v>
      </c>
      <c r="E549" s="210" t="s">
        <v>302</v>
      </c>
      <c r="F549" s="209">
        <v>18.7</v>
      </c>
      <c r="G549" s="209" t="s">
        <v>303</v>
      </c>
      <c r="H549" s="210" t="s">
        <v>304</v>
      </c>
      <c r="I549" s="212">
        <v>0.66666666666666663</v>
      </c>
      <c r="J549" s="212">
        <v>0.875</v>
      </c>
      <c r="K549" s="194">
        <f t="shared" ref="K549:K557" si="141">(J549-I549)+K548</f>
        <v>0.41666666666666674</v>
      </c>
    </row>
    <row r="550" spans="1:11" x14ac:dyDescent="0.25">
      <c r="A550" s="111"/>
      <c r="B550" s="206" t="s">
        <v>14</v>
      </c>
      <c r="C550" s="207">
        <v>3</v>
      </c>
      <c r="D550" s="192">
        <v>44761</v>
      </c>
      <c r="E550" s="210" t="s">
        <v>302</v>
      </c>
      <c r="F550" s="209">
        <v>18.7</v>
      </c>
      <c r="G550" s="209" t="s">
        <v>303</v>
      </c>
      <c r="H550" s="210" t="s">
        <v>304</v>
      </c>
      <c r="I550" s="212">
        <v>0.66666666666666663</v>
      </c>
      <c r="J550" s="212">
        <v>0.875</v>
      </c>
      <c r="K550" s="194">
        <f t="shared" si="141"/>
        <v>0.62500000000000011</v>
      </c>
    </row>
    <row r="551" spans="1:11" x14ac:dyDescent="0.25">
      <c r="A551" s="111"/>
      <c r="B551" s="206" t="s">
        <v>14</v>
      </c>
      <c r="C551" s="207">
        <v>4</v>
      </c>
      <c r="D551" s="192">
        <v>44762</v>
      </c>
      <c r="E551" s="210" t="s">
        <v>302</v>
      </c>
      <c r="F551" s="209">
        <v>18.7</v>
      </c>
      <c r="G551" s="209" t="s">
        <v>303</v>
      </c>
      <c r="H551" s="210" t="s">
        <v>304</v>
      </c>
      <c r="I551" s="212">
        <v>0.66666666666666663</v>
      </c>
      <c r="J551" s="212">
        <v>0.875</v>
      </c>
      <c r="K551" s="194">
        <f t="shared" si="141"/>
        <v>0.83333333333333348</v>
      </c>
    </row>
    <row r="552" spans="1:11" x14ac:dyDescent="0.25">
      <c r="A552" s="111"/>
      <c r="B552" s="206" t="s">
        <v>14</v>
      </c>
      <c r="C552" s="207">
        <v>5</v>
      </c>
      <c r="D552" s="192">
        <v>44777</v>
      </c>
      <c r="E552" s="210" t="s">
        <v>302</v>
      </c>
      <c r="F552" s="209">
        <v>19.25</v>
      </c>
      <c r="G552" s="209" t="s">
        <v>303</v>
      </c>
      <c r="H552" s="210" t="s">
        <v>304</v>
      </c>
      <c r="I552" s="212">
        <v>0.66666666666666663</v>
      </c>
      <c r="J552" s="212">
        <v>0.875</v>
      </c>
      <c r="K552" s="194">
        <f t="shared" si="141"/>
        <v>1.041666666666667</v>
      </c>
    </row>
    <row r="553" spans="1:11" x14ac:dyDescent="0.25">
      <c r="A553" s="111"/>
      <c r="B553" s="206" t="s">
        <v>14</v>
      </c>
      <c r="C553" s="207">
        <v>6</v>
      </c>
      <c r="D553" s="192">
        <v>44778</v>
      </c>
      <c r="E553" s="210" t="s">
        <v>302</v>
      </c>
      <c r="F553" s="209">
        <v>19.25</v>
      </c>
      <c r="G553" s="209" t="s">
        <v>303</v>
      </c>
      <c r="H553" s="210" t="s">
        <v>304</v>
      </c>
      <c r="I553" s="212">
        <v>0.66666666666666663</v>
      </c>
      <c r="J553" s="212">
        <v>0.875</v>
      </c>
      <c r="K553" s="194">
        <f t="shared" si="141"/>
        <v>1.2500000000000004</v>
      </c>
    </row>
    <row r="554" spans="1:11" x14ac:dyDescent="0.25">
      <c r="A554" s="111"/>
      <c r="B554" s="206" t="s">
        <v>14</v>
      </c>
      <c r="C554" s="207">
        <v>7</v>
      </c>
      <c r="D554" s="192">
        <v>44784</v>
      </c>
      <c r="E554" s="210" t="s">
        <v>302</v>
      </c>
      <c r="F554" s="209">
        <v>19.25</v>
      </c>
      <c r="G554" s="209" t="s">
        <v>303</v>
      </c>
      <c r="H554" s="210" t="s">
        <v>304</v>
      </c>
      <c r="I554" s="212">
        <v>0.66666666666666663</v>
      </c>
      <c r="J554" s="212">
        <v>0.875</v>
      </c>
      <c r="K554" s="194">
        <f t="shared" si="141"/>
        <v>1.4583333333333339</v>
      </c>
    </row>
    <row r="555" spans="1:11" x14ac:dyDescent="0.25">
      <c r="A555" s="111"/>
      <c r="B555" s="206" t="s">
        <v>14</v>
      </c>
      <c r="C555" s="207">
        <v>8</v>
      </c>
      <c r="D555" s="192">
        <v>44785</v>
      </c>
      <c r="E555" s="210" t="s">
        <v>302</v>
      </c>
      <c r="F555" s="209">
        <v>19.25</v>
      </c>
      <c r="G555" s="209" t="s">
        <v>303</v>
      </c>
      <c r="H555" s="210" t="s">
        <v>304</v>
      </c>
      <c r="I555" s="212">
        <v>0.66666666666666663</v>
      </c>
      <c r="J555" s="212">
        <v>0.875</v>
      </c>
      <c r="K555" s="194">
        <f t="shared" si="141"/>
        <v>1.6666666666666674</v>
      </c>
    </row>
    <row r="556" spans="1:11" x14ac:dyDescent="0.25">
      <c r="A556" s="111"/>
      <c r="B556" s="206" t="s">
        <v>14</v>
      </c>
      <c r="C556" s="207">
        <v>9</v>
      </c>
      <c r="D556" s="192">
        <v>44788</v>
      </c>
      <c r="E556" s="210" t="s">
        <v>302</v>
      </c>
      <c r="F556" s="209">
        <v>19.25</v>
      </c>
      <c r="G556" s="209" t="s">
        <v>303</v>
      </c>
      <c r="H556" s="210" t="s">
        <v>304</v>
      </c>
      <c r="I556" s="212">
        <v>0.66666666666666663</v>
      </c>
      <c r="J556" s="212">
        <v>0.875</v>
      </c>
      <c r="K556" s="194">
        <f t="shared" si="141"/>
        <v>1.8750000000000009</v>
      </c>
    </row>
    <row r="557" spans="1:11" x14ac:dyDescent="0.25">
      <c r="A557" s="111"/>
      <c r="B557" s="206" t="s">
        <v>14</v>
      </c>
      <c r="C557" s="207">
        <v>10</v>
      </c>
      <c r="D557" s="192">
        <v>44790</v>
      </c>
      <c r="E557" s="210" t="s">
        <v>302</v>
      </c>
      <c r="F557" s="209">
        <v>19.25</v>
      </c>
      <c r="G557" s="209" t="s">
        <v>303</v>
      </c>
      <c r="H557" s="210" t="s">
        <v>304</v>
      </c>
      <c r="I557" s="212">
        <v>0.66666666666666663</v>
      </c>
      <c r="J557" s="212">
        <v>0.875</v>
      </c>
      <c r="K557" s="194">
        <f t="shared" si="141"/>
        <v>2.0833333333333344</v>
      </c>
    </row>
    <row r="558" spans="1:11" x14ac:dyDescent="0.25">
      <c r="A558" s="111"/>
      <c r="B558" s="206" t="s">
        <v>14</v>
      </c>
      <c r="C558" s="207">
        <v>11</v>
      </c>
      <c r="D558" s="192">
        <v>44805</v>
      </c>
      <c r="E558" s="210" t="s">
        <v>302</v>
      </c>
      <c r="F558" s="209">
        <v>18.600000000000001</v>
      </c>
      <c r="G558" s="191" t="s">
        <v>303</v>
      </c>
      <c r="H558" s="210" t="s">
        <v>304</v>
      </c>
      <c r="I558" s="212">
        <v>0.66666666666666696</v>
      </c>
      <c r="J558" s="212">
        <v>0.875</v>
      </c>
      <c r="K558" s="194">
        <f t="shared" ref="K558:K562" si="142">(J558-I558)+K557</f>
        <v>2.2916666666666674</v>
      </c>
    </row>
    <row r="559" spans="1:11" x14ac:dyDescent="0.25">
      <c r="A559" s="111"/>
      <c r="B559" s="206" t="s">
        <v>14</v>
      </c>
      <c r="C559" s="207">
        <v>12</v>
      </c>
      <c r="D559" s="192">
        <v>44809</v>
      </c>
      <c r="E559" s="210" t="s">
        <v>302</v>
      </c>
      <c r="F559" s="209">
        <v>18.600000000000001</v>
      </c>
      <c r="G559" s="191" t="s">
        <v>303</v>
      </c>
      <c r="H559" s="210" t="s">
        <v>304</v>
      </c>
      <c r="I559" s="212">
        <v>0.66666666666666696</v>
      </c>
      <c r="J559" s="212">
        <v>0.875</v>
      </c>
      <c r="K559" s="194">
        <f t="shared" si="142"/>
        <v>2.5000000000000004</v>
      </c>
    </row>
    <row r="560" spans="1:11" x14ac:dyDescent="0.25">
      <c r="A560" s="111"/>
      <c r="B560" s="206" t="s">
        <v>14</v>
      </c>
      <c r="C560" s="207">
        <v>13</v>
      </c>
      <c r="D560" s="192">
        <v>44810</v>
      </c>
      <c r="E560" s="210" t="s">
        <v>302</v>
      </c>
      <c r="F560" s="209">
        <v>18.600000000000001</v>
      </c>
      <c r="G560" s="191" t="s">
        <v>303</v>
      </c>
      <c r="H560" s="210" t="s">
        <v>304</v>
      </c>
      <c r="I560" s="212">
        <v>0.66666666666666696</v>
      </c>
      <c r="J560" s="212">
        <v>0.875</v>
      </c>
      <c r="K560" s="194">
        <f t="shared" si="142"/>
        <v>2.7083333333333335</v>
      </c>
    </row>
    <row r="561" spans="1:12" x14ac:dyDescent="0.25">
      <c r="A561" s="111"/>
      <c r="B561" s="206" t="s">
        <v>14</v>
      </c>
      <c r="C561" s="207">
        <v>14</v>
      </c>
      <c r="D561" s="192">
        <v>44811</v>
      </c>
      <c r="E561" s="210" t="s">
        <v>302</v>
      </c>
      <c r="F561" s="209">
        <v>18.600000000000001</v>
      </c>
      <c r="G561" s="191" t="s">
        <v>303</v>
      </c>
      <c r="H561" s="210" t="s">
        <v>304</v>
      </c>
      <c r="I561" s="212">
        <v>0.66666666666666696</v>
      </c>
      <c r="J561" s="212">
        <v>0.875</v>
      </c>
      <c r="K561" s="194">
        <f t="shared" si="142"/>
        <v>2.9166666666666665</v>
      </c>
    </row>
    <row r="562" spans="1:12" x14ac:dyDescent="0.25">
      <c r="A562" s="111"/>
      <c r="B562" s="206" t="s">
        <v>14</v>
      </c>
      <c r="C562" s="207">
        <v>15</v>
      </c>
      <c r="D562" s="192">
        <v>44812</v>
      </c>
      <c r="E562" s="210" t="s">
        <v>302</v>
      </c>
      <c r="F562" s="209">
        <v>18.600000000000001</v>
      </c>
      <c r="G562" s="191" t="s">
        <v>303</v>
      </c>
      <c r="H562" s="210" t="s">
        <v>304</v>
      </c>
      <c r="I562" s="212">
        <v>0.66666666666666696</v>
      </c>
      <c r="J562" s="212">
        <v>0.875</v>
      </c>
      <c r="K562" s="194">
        <f t="shared" si="142"/>
        <v>3.1249999999999996</v>
      </c>
    </row>
    <row r="563" spans="1:12" x14ac:dyDescent="0.25">
      <c r="A563" s="111"/>
      <c r="B563" s="1"/>
      <c r="C563" s="1"/>
      <c r="D563" s="1"/>
      <c r="E563" s="1"/>
      <c r="F563" s="1"/>
      <c r="G563" s="1"/>
      <c r="H563" s="1"/>
      <c r="I563" s="1"/>
      <c r="J563" s="1"/>
      <c r="K563" s="1"/>
      <c r="L563" s="1"/>
    </row>
    <row r="564" spans="1:12" x14ac:dyDescent="0.25">
      <c r="A564" s="111"/>
      <c r="B564" s="2" t="s">
        <v>67</v>
      </c>
      <c r="C564" s="1"/>
      <c r="D564" s="1"/>
      <c r="E564" s="1"/>
      <c r="F564" s="1"/>
      <c r="G564" s="1"/>
      <c r="H564" s="1"/>
      <c r="I564" s="1"/>
      <c r="J564" s="1"/>
      <c r="K564" s="1"/>
      <c r="L564" s="1"/>
    </row>
    <row r="565" spans="1:12" ht="28.5" customHeight="1" x14ac:dyDescent="0.25">
      <c r="A565" s="111"/>
      <c r="B565" s="236" t="s">
        <v>258</v>
      </c>
      <c r="C565" s="236"/>
      <c r="D565" s="236"/>
      <c r="E565" s="236"/>
      <c r="F565" s="236"/>
      <c r="G565" s="236"/>
      <c r="H565" s="236"/>
      <c r="I565" s="236"/>
      <c r="J565" s="236"/>
      <c r="K565" s="236"/>
      <c r="L565" s="3"/>
    </row>
    <row r="566" spans="1:12" x14ac:dyDescent="0.25">
      <c r="A566" s="111"/>
      <c r="B566" s="1" t="s">
        <v>259</v>
      </c>
      <c r="C566" s="1"/>
      <c r="D566" s="1"/>
      <c r="E566" s="1"/>
      <c r="F566" s="1"/>
      <c r="G566" s="1"/>
      <c r="H566" s="1"/>
      <c r="I566" s="1"/>
      <c r="J566" s="1"/>
      <c r="K566" s="1"/>
      <c r="L566" s="1"/>
    </row>
    <row r="567" spans="1:12" x14ac:dyDescent="0.25">
      <c r="A567" s="111"/>
      <c r="B567" s="117" t="s">
        <v>260</v>
      </c>
      <c r="C567" s="1"/>
      <c r="D567" s="1"/>
      <c r="E567" s="1"/>
      <c r="F567" s="1"/>
      <c r="G567" s="1"/>
      <c r="H567" s="1"/>
      <c r="I567" s="1"/>
      <c r="J567" s="1"/>
      <c r="K567" s="1"/>
      <c r="L567" s="1"/>
    </row>
    <row r="568" spans="1:12" x14ac:dyDescent="0.25">
      <c r="A568" s="111"/>
      <c r="B568" s="1" t="s">
        <v>261</v>
      </c>
      <c r="C568" s="1"/>
      <c r="D568" s="1"/>
      <c r="E568" s="1"/>
      <c r="F568" s="1"/>
      <c r="G568" s="1"/>
      <c r="H568" s="1"/>
      <c r="I568" s="1"/>
      <c r="J568" s="1"/>
      <c r="K568" s="1"/>
      <c r="L568" s="1"/>
    </row>
    <row r="569" spans="1:12" x14ac:dyDescent="0.25">
      <c r="A569" s="111"/>
      <c r="B569" s="117" t="s">
        <v>262</v>
      </c>
      <c r="C569" s="1"/>
      <c r="D569" s="1"/>
      <c r="E569" s="1"/>
      <c r="F569" s="1"/>
      <c r="G569" s="1"/>
      <c r="H569" s="1"/>
      <c r="I569" s="1"/>
      <c r="J569" s="1"/>
      <c r="K569" s="1"/>
      <c r="L569" s="1"/>
    </row>
    <row r="570" spans="1:12" x14ac:dyDescent="0.25">
      <c r="A570" s="111"/>
      <c r="B570" s="1" t="s">
        <v>263</v>
      </c>
      <c r="C570" s="1"/>
      <c r="D570" s="1"/>
      <c r="E570" s="1"/>
      <c r="F570" s="1"/>
      <c r="G570" s="1"/>
      <c r="H570" s="1"/>
      <c r="I570" s="1"/>
      <c r="J570" s="1"/>
      <c r="K570" s="1"/>
      <c r="L570" s="1"/>
    </row>
    <row r="571" spans="1:12" x14ac:dyDescent="0.25">
      <c r="A571" s="111"/>
      <c r="B571" s="1" t="s">
        <v>264</v>
      </c>
      <c r="C571" s="1"/>
      <c r="D571" s="1"/>
      <c r="E571" s="1"/>
      <c r="F571" s="1"/>
      <c r="G571" s="1"/>
      <c r="H571" s="1"/>
      <c r="I571" s="1"/>
      <c r="J571" s="1"/>
      <c r="K571" s="1"/>
      <c r="L571" s="1"/>
    </row>
  </sheetData>
  <autoFilter ref="A5:K5" xr:uid="{3571954D-51E5-4A11-884E-137DC1F36840}"/>
  <mergeCells count="2">
    <mergeCell ref="B1:L1"/>
    <mergeCell ref="B565:K565"/>
  </mergeCells>
  <pageMargins left="0.7" right="0.7" top="0.75" bottom="0.75" header="0.3" footer="0.3"/>
  <pageSetup paperSize="5" scale="46" orientation="landscape" r:id="rId1"/>
  <headerFooter>
    <oddFooter>&amp;L&amp;F&amp;C-Public-&amp;RA-&amp;P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9AA39-7C07-4B59-97CA-9164216F5A67}">
  <sheetPr>
    <pageSetUpPr fitToPage="1"/>
  </sheetPr>
  <dimension ref="B1:V50"/>
  <sheetViews>
    <sheetView showGridLines="0" tabSelected="1" view="pageBreakPreview" zoomScale="70" zoomScaleNormal="70" zoomScaleSheetLayoutView="70" workbookViewId="0">
      <selection activeCell="D43" sqref="D43:U44"/>
    </sheetView>
  </sheetViews>
  <sheetFormatPr defaultRowHeight="15" x14ac:dyDescent="0.25"/>
  <cols>
    <col min="1" max="1" width="2" customWidth="1"/>
    <col min="2" max="2" width="49" customWidth="1"/>
    <col min="3" max="3" width="3.42578125" customWidth="1"/>
    <col min="4" max="6" width="14.28515625" customWidth="1"/>
    <col min="7" max="9" width="14.140625" customWidth="1"/>
    <col min="10" max="21" width="14.28515625" customWidth="1"/>
    <col min="22" max="22" width="18.140625" customWidth="1"/>
  </cols>
  <sheetData>
    <row r="1" spans="2:22" ht="63" customHeight="1" x14ac:dyDescent="0.25">
      <c r="B1" s="231" t="s">
        <v>189</v>
      </c>
      <c r="C1" s="231"/>
      <c r="D1" s="232"/>
      <c r="E1" s="232"/>
      <c r="F1" s="232"/>
      <c r="G1" s="232"/>
      <c r="H1" s="232"/>
      <c r="I1" s="232"/>
      <c r="J1" s="232"/>
      <c r="K1" s="232"/>
      <c r="L1" s="232"/>
      <c r="M1" s="232"/>
      <c r="N1" s="232"/>
      <c r="O1" s="232"/>
      <c r="P1" s="232"/>
      <c r="Q1" s="232"/>
      <c r="R1" s="232"/>
      <c r="S1" s="232"/>
      <c r="T1" s="232"/>
      <c r="U1" s="232"/>
      <c r="V1" s="232"/>
    </row>
    <row r="2" spans="2:22" x14ac:dyDescent="0.25">
      <c r="B2" s="2" t="s">
        <v>58</v>
      </c>
      <c r="C2" s="2"/>
    </row>
    <row r="3" spans="2:22" ht="15.75" x14ac:dyDescent="0.25">
      <c r="B3" s="2" t="s">
        <v>228</v>
      </c>
      <c r="C3" s="2"/>
    </row>
    <row r="5" spans="2:22" x14ac:dyDescent="0.25">
      <c r="D5" s="233" t="s">
        <v>44</v>
      </c>
      <c r="E5" s="234"/>
      <c r="F5" s="235"/>
      <c r="G5" s="233" t="s">
        <v>45</v>
      </c>
      <c r="H5" s="234"/>
      <c r="I5" s="235"/>
      <c r="J5" s="233" t="s">
        <v>46</v>
      </c>
      <c r="K5" s="234"/>
      <c r="L5" s="235"/>
      <c r="M5" s="233" t="s">
        <v>47</v>
      </c>
      <c r="N5" s="234"/>
      <c r="O5" s="235"/>
      <c r="P5" s="233" t="s">
        <v>48</v>
      </c>
      <c r="Q5" s="234"/>
      <c r="R5" s="235"/>
      <c r="S5" s="233" t="s">
        <v>49</v>
      </c>
      <c r="T5" s="234"/>
      <c r="U5" s="235"/>
    </row>
    <row r="6" spans="2:22" ht="56.25" customHeight="1" x14ac:dyDescent="0.25">
      <c r="D6" s="13" t="s">
        <v>43</v>
      </c>
      <c r="E6" s="14" t="s">
        <v>229</v>
      </c>
      <c r="F6" s="15" t="s">
        <v>230</v>
      </c>
      <c r="G6" s="4" t="s">
        <v>43</v>
      </c>
      <c r="H6" s="14" t="s">
        <v>229</v>
      </c>
      <c r="I6" s="15" t="s">
        <v>230</v>
      </c>
      <c r="J6" s="4" t="s">
        <v>43</v>
      </c>
      <c r="K6" s="14" t="s">
        <v>229</v>
      </c>
      <c r="L6" s="15" t="s">
        <v>230</v>
      </c>
      <c r="M6" s="4" t="s">
        <v>43</v>
      </c>
      <c r="N6" s="14" t="s">
        <v>229</v>
      </c>
      <c r="O6" s="15" t="s">
        <v>230</v>
      </c>
      <c r="P6" s="4" t="s">
        <v>43</v>
      </c>
      <c r="Q6" s="14" t="s">
        <v>229</v>
      </c>
      <c r="R6" s="15" t="s">
        <v>230</v>
      </c>
      <c r="S6" s="16" t="s">
        <v>43</v>
      </c>
      <c r="T6" s="14" t="s">
        <v>229</v>
      </c>
      <c r="U6" s="15" t="s">
        <v>230</v>
      </c>
      <c r="V6" s="20" t="s">
        <v>272</v>
      </c>
    </row>
    <row r="7" spans="2:22" x14ac:dyDescent="0.25">
      <c r="B7" s="42" t="s">
        <v>83</v>
      </c>
      <c r="C7" s="47"/>
      <c r="D7" s="6"/>
      <c r="E7" s="5"/>
      <c r="F7" s="7"/>
      <c r="G7" s="5"/>
      <c r="H7" s="5"/>
      <c r="I7" s="7"/>
      <c r="J7" s="5"/>
      <c r="K7" s="5"/>
      <c r="L7" s="7"/>
      <c r="M7" s="5"/>
      <c r="N7" s="5"/>
      <c r="O7" s="7"/>
      <c r="P7" s="5"/>
      <c r="Q7" s="5"/>
      <c r="R7" s="7"/>
      <c r="S7" s="5"/>
      <c r="T7" s="5"/>
      <c r="U7" s="7"/>
      <c r="V7" s="21"/>
    </row>
    <row r="8" spans="2:22" x14ac:dyDescent="0.25">
      <c r="B8" s="38" t="str">
        <f>API</f>
        <v>Agricultural &amp; Pumping Interruptible (API)</v>
      </c>
      <c r="C8" s="132"/>
      <c r="D8" s="128">
        <v>930</v>
      </c>
      <c r="E8" s="143">
        <f t="shared" ref="E8:E15" si="0">IF(D8="","",(IFERROR(D8*(INDEX(ExAnteData,MATCH($B8,ExAnteProg,0),MATCH(D$5,ExAnteMo,0)))/1000,0)))</f>
        <v>8.7129537687206273</v>
      </c>
      <c r="F8" s="144">
        <f t="shared" ref="F8:F15" si="1">IF(D8="","",(IFERROR(D8*(INDEX(ExPostData,MATCH($B8,ExPostProg,0),MATCH(D$5,ExPostMo,0)))/1000,0)))</f>
        <v>22.081227145671843</v>
      </c>
      <c r="G8" s="128">
        <v>925</v>
      </c>
      <c r="H8" s="143">
        <f t="shared" ref="H8:H15" si="2">IF(G8="","",(IFERROR(G8*(INDEX(ExAnteData,MATCH($B8,ExAnteProg,0),MATCH(G$5,ExAnteMo,0)))/1000,0)))</f>
        <v>8.3133211854772568</v>
      </c>
      <c r="I8" s="144">
        <f t="shared" ref="I8:I15" si="3">IF(G8="","",(IFERROR(G8*(INDEX(ExPostData,MATCH($B8,ExPostProg,0),MATCH(G$5,ExPostMo,0)))/1000,0)))</f>
        <v>21.962510870695112</v>
      </c>
      <c r="J8" s="195">
        <v>923</v>
      </c>
      <c r="K8" s="143">
        <f t="shared" ref="K8:K15" si="4">IF(J8="","",(IFERROR(J8*(INDEX(ExAnteData,MATCH($B8,ExAnteProg,0),MATCH(J$5,ExAnteMo,0)))/1000,0)))</f>
        <v>12.530158194746475</v>
      </c>
      <c r="L8" s="144">
        <f t="shared" ref="L8:L15" si="5">IF(J8="","",(IFERROR(J8*(INDEX(ExPostData,MATCH($B8,ExPostProg,0),MATCH(J$5,ExPostMo,0)))/1000,0)))</f>
        <v>21.915024360704425</v>
      </c>
      <c r="M8" s="195">
        <v>926</v>
      </c>
      <c r="N8" s="143">
        <f t="shared" ref="N8:N15" si="6">IF(M8="","",(IFERROR(M8*(INDEX(ExAnteData,MATCH($B8,ExAnteProg,0),MATCH(M$5,ExAnteMo,0)))/1000,0)))</f>
        <v>22.808037134170533</v>
      </c>
      <c r="O8" s="144">
        <f t="shared" ref="O8:O15" si="7">IF(M8="","",(IFERROR(M8*(INDEX(ExPostData,MATCH($B8,ExPostProg,0),MATCH(M$5,ExPostMo,0)))/1000,0)))</f>
        <v>27.632636544483837</v>
      </c>
      <c r="P8" s="195">
        <v>927</v>
      </c>
      <c r="Q8" s="143">
        <f t="shared" ref="Q8:Q15" si="8">IF(P8="","",(IFERROR(P8*(INDEX(ExAnteData,MATCH($B8,ExAnteProg,0),MATCH(P$5,ExAnteMo,0)))/1000,0)))</f>
        <v>28.113806936645506</v>
      </c>
      <c r="R8" s="144">
        <f t="shared" ref="R8:R15" si="9">IF(P8="","",(IFERROR(P8*(INDEX(ExPostData,MATCH($B8,ExPostProg,0),MATCH(P$5,ExPostMo,0)))/1000,0)))</f>
        <v>27.662477404683063</v>
      </c>
      <c r="S8" s="196">
        <v>938</v>
      </c>
      <c r="T8" s="143">
        <f t="shared" ref="T8:T15" si="10">IF(S8="","",(IFERROR(S8*(INDEX(ExAnteData,MATCH($B8,ExAnteProg,0),MATCH(S$5,ExAnteMo,0)))/1000,0)))</f>
        <v>33.081536817169194</v>
      </c>
      <c r="U8" s="144">
        <f t="shared" ref="U8:U15" si="11">IF(S8="","",(IFERROR(S8*(INDEX(ExPostData,MATCH($B8,ExPostProg,0),MATCH(S$5,ExPostMo,0)))/1000,0)))</f>
        <v>27.990726866874557</v>
      </c>
      <c r="V8" s="157">
        <v>12850</v>
      </c>
    </row>
    <row r="9" spans="2:22" x14ac:dyDescent="0.25">
      <c r="B9" s="38" t="str">
        <f>BIP_15</f>
        <v>Base Interruptible Program (BIP) 15 Minute Option</v>
      </c>
      <c r="C9" s="132"/>
      <c r="D9" s="128">
        <v>42</v>
      </c>
      <c r="E9" s="143">
        <f t="shared" si="0"/>
        <v>135.1850724</v>
      </c>
      <c r="F9" s="144">
        <f t="shared" si="1"/>
        <v>157.5037223529412</v>
      </c>
      <c r="G9" s="128">
        <v>42</v>
      </c>
      <c r="H9" s="143">
        <f t="shared" si="2"/>
        <v>145.36882920000005</v>
      </c>
      <c r="I9" s="144">
        <f t="shared" si="3"/>
        <v>157.5037223529412</v>
      </c>
      <c r="J9" s="195">
        <v>42</v>
      </c>
      <c r="K9" s="143">
        <f t="shared" si="4"/>
        <v>134.32217399999999</v>
      </c>
      <c r="L9" s="144">
        <f t="shared" si="5"/>
        <v>157.5037223529412</v>
      </c>
      <c r="M9" s="195">
        <v>40</v>
      </c>
      <c r="N9" s="143">
        <f t="shared" si="6"/>
        <v>154.53033600000001</v>
      </c>
      <c r="O9" s="144">
        <f t="shared" si="7"/>
        <v>125.41646666699998</v>
      </c>
      <c r="P9" s="195">
        <v>43</v>
      </c>
      <c r="Q9" s="143">
        <f t="shared" si="8"/>
        <v>170.79253420000003</v>
      </c>
      <c r="R9" s="144">
        <f t="shared" si="9"/>
        <v>134.822701667025</v>
      </c>
      <c r="S9" s="196">
        <v>42</v>
      </c>
      <c r="T9" s="143">
        <f t="shared" si="10"/>
        <v>167.85013559999999</v>
      </c>
      <c r="U9" s="144">
        <f t="shared" si="11"/>
        <v>131.68729000034998</v>
      </c>
      <c r="V9" s="157">
        <v>7490</v>
      </c>
    </row>
    <row r="10" spans="2:22" x14ac:dyDescent="0.25">
      <c r="B10" s="38" t="str">
        <f>BIP_30</f>
        <v>Base Interruptible Program (BIP) 30 Minute Option</v>
      </c>
      <c r="C10" s="132"/>
      <c r="D10" s="128">
        <v>279</v>
      </c>
      <c r="E10" s="143">
        <f t="shared" si="0"/>
        <v>286.66864980000003</v>
      </c>
      <c r="F10" s="144">
        <f t="shared" si="1"/>
        <v>195.23100060913706</v>
      </c>
      <c r="G10" s="128">
        <v>291</v>
      </c>
      <c r="H10" s="143">
        <f t="shared" si="2"/>
        <v>326.52702600000003</v>
      </c>
      <c r="I10" s="144">
        <f t="shared" si="3"/>
        <v>203.62803289340101</v>
      </c>
      <c r="J10" s="195">
        <v>294</v>
      </c>
      <c r="K10" s="143">
        <f t="shared" si="4"/>
        <v>299.97901920000004</v>
      </c>
      <c r="L10" s="144">
        <f t="shared" si="5"/>
        <v>205.72729096446702</v>
      </c>
      <c r="M10" s="195">
        <v>295</v>
      </c>
      <c r="N10" s="143">
        <f t="shared" si="6"/>
        <v>330.45416199999994</v>
      </c>
      <c r="O10" s="144">
        <f t="shared" si="7"/>
        <v>186.5673823675497</v>
      </c>
      <c r="P10" s="195">
        <v>293</v>
      </c>
      <c r="Q10" s="143">
        <f t="shared" si="8"/>
        <v>312.06297262000004</v>
      </c>
      <c r="R10" s="144">
        <f t="shared" si="9"/>
        <v>185.30251875827815</v>
      </c>
      <c r="S10" s="196">
        <v>296</v>
      </c>
      <c r="T10" s="143">
        <f t="shared" si="10"/>
        <v>323.86857759999998</v>
      </c>
      <c r="U10" s="144">
        <f t="shared" si="11"/>
        <v>187.19981417218543</v>
      </c>
      <c r="V10" s="157">
        <v>7490</v>
      </c>
    </row>
    <row r="11" spans="2:22" ht="15.75" x14ac:dyDescent="0.25">
      <c r="B11" s="38" t="str">
        <f>CBP_DA</f>
        <v>Capacity Bidding Program (CBP) Day Ahead</v>
      </c>
      <c r="C11" s="161" t="s">
        <v>231</v>
      </c>
      <c r="D11" s="275"/>
      <c r="E11" s="276"/>
      <c r="F11" s="277"/>
      <c r="G11" s="275"/>
      <c r="H11" s="276"/>
      <c r="I11" s="277"/>
      <c r="J11" s="278"/>
      <c r="K11" s="276"/>
      <c r="L11" s="277"/>
      <c r="M11" s="278"/>
      <c r="N11" s="276"/>
      <c r="O11" s="277"/>
      <c r="P11" s="195">
        <v>32</v>
      </c>
      <c r="Q11" s="143">
        <f t="shared" si="8"/>
        <v>0.32356367999999991</v>
      </c>
      <c r="R11" s="144">
        <f t="shared" si="9"/>
        <v>0.23825493759999999</v>
      </c>
      <c r="S11" s="196">
        <v>85</v>
      </c>
      <c r="T11" s="143">
        <f t="shared" si="10"/>
        <v>0.85999965500000009</v>
      </c>
      <c r="U11" s="144">
        <f t="shared" si="11"/>
        <v>0.63286467800000001</v>
      </c>
      <c r="V11" s="157">
        <v>5063770</v>
      </c>
    </row>
    <row r="12" spans="2:22" ht="15.75" x14ac:dyDescent="0.25">
      <c r="B12" s="38" t="str">
        <f>CBP_DO</f>
        <v>Capacity Bidding Program (CBP) Day Of</v>
      </c>
      <c r="C12" s="161" t="s">
        <v>231</v>
      </c>
      <c r="D12" s="275"/>
      <c r="E12" s="276"/>
      <c r="F12" s="277"/>
      <c r="G12" s="275"/>
      <c r="H12" s="276"/>
      <c r="I12" s="277"/>
      <c r="J12" s="278"/>
      <c r="K12" s="276"/>
      <c r="L12" s="277"/>
      <c r="M12" s="278"/>
      <c r="N12" s="276"/>
      <c r="O12" s="277"/>
      <c r="P12" s="195">
        <v>145</v>
      </c>
      <c r="Q12" s="143">
        <f t="shared" si="8"/>
        <v>0.86889747799999995</v>
      </c>
      <c r="R12" s="144">
        <f t="shared" si="9"/>
        <v>0.75657627299999985</v>
      </c>
      <c r="S12" s="196">
        <v>178</v>
      </c>
      <c r="T12" s="143">
        <f t="shared" si="10"/>
        <v>1.0638281428</v>
      </c>
      <c r="U12" s="144">
        <f t="shared" si="11"/>
        <v>0.92876259719999998</v>
      </c>
      <c r="V12" s="157">
        <v>5063770</v>
      </c>
    </row>
    <row r="13" spans="2:22" x14ac:dyDescent="0.25">
      <c r="B13" s="38" t="str">
        <f>SEP</f>
        <v>Smart Energy Program (SEP)</v>
      </c>
      <c r="C13" s="132"/>
      <c r="D13" s="128">
        <v>53196</v>
      </c>
      <c r="E13" s="143">
        <f t="shared" si="0"/>
        <v>0</v>
      </c>
      <c r="F13" s="144">
        <f t="shared" si="1"/>
        <v>24.40094343674183</v>
      </c>
      <c r="G13" s="128">
        <v>53598</v>
      </c>
      <c r="H13" s="143">
        <f t="shared" si="2"/>
        <v>0</v>
      </c>
      <c r="I13" s="144">
        <f t="shared" si="3"/>
        <v>24.585340369999408</v>
      </c>
      <c r="J13" s="128">
        <v>54150</v>
      </c>
      <c r="K13" s="143">
        <f t="shared" si="4"/>
        <v>0.55123330881689814</v>
      </c>
      <c r="L13" s="144">
        <f t="shared" si="5"/>
        <v>24.83854212909937</v>
      </c>
      <c r="M13" s="195">
        <v>54880</v>
      </c>
      <c r="N13" s="143">
        <f t="shared" si="6"/>
        <v>15.411962276458739</v>
      </c>
      <c r="O13" s="144">
        <f t="shared" si="7"/>
        <v>39.848461103439334</v>
      </c>
      <c r="P13" s="195">
        <v>55394</v>
      </c>
      <c r="Q13" s="143">
        <f t="shared" si="8"/>
        <v>20.351807244491578</v>
      </c>
      <c r="R13" s="144">
        <f t="shared" si="9"/>
        <v>40.221677375435831</v>
      </c>
      <c r="S13" s="196">
        <v>55795</v>
      </c>
      <c r="T13" s="143">
        <f t="shared" si="10"/>
        <v>22.909047578930856</v>
      </c>
      <c r="U13" s="144">
        <f t="shared" si="11"/>
        <v>40.512844155728814</v>
      </c>
      <c r="V13" s="157">
        <v>1552071</v>
      </c>
    </row>
    <row r="14" spans="2:22" x14ac:dyDescent="0.25">
      <c r="B14" s="38" t="str">
        <f>SDPC</f>
        <v>Summer Discount Plan Program (SDP) - Commercial</v>
      </c>
      <c r="C14" s="132"/>
      <c r="D14" s="128">
        <v>7349</v>
      </c>
      <c r="E14" s="143">
        <f t="shared" si="0"/>
        <v>12.366854617437475</v>
      </c>
      <c r="F14" s="144">
        <f t="shared" si="1"/>
        <v>13.311141058966667</v>
      </c>
      <c r="G14" s="128">
        <v>7325</v>
      </c>
      <c r="H14" s="143">
        <f t="shared" si="2"/>
        <v>13.845408810722397</v>
      </c>
      <c r="I14" s="144">
        <f t="shared" si="3"/>
        <v>13.267670194166667</v>
      </c>
      <c r="J14" s="128">
        <v>7292</v>
      </c>
      <c r="K14" s="143">
        <f t="shared" si="4"/>
        <v>9.6824794857390657</v>
      </c>
      <c r="L14" s="144">
        <f t="shared" si="5"/>
        <v>13.207897755066668</v>
      </c>
      <c r="M14" s="195">
        <v>7273</v>
      </c>
      <c r="N14" s="143">
        <f t="shared" si="6"/>
        <v>14.938367688974498</v>
      </c>
      <c r="O14" s="144">
        <f t="shared" si="7"/>
        <v>14.541602529525758</v>
      </c>
      <c r="P14" s="195">
        <v>7272</v>
      </c>
      <c r="Q14" s="143">
        <f t="shared" si="8"/>
        <v>13.840822285000012</v>
      </c>
      <c r="R14" s="144">
        <f t="shared" si="9"/>
        <v>14.539603134155273</v>
      </c>
      <c r="S14" s="196">
        <v>7241</v>
      </c>
      <c r="T14" s="143">
        <f t="shared" si="10"/>
        <v>16.810727293314216</v>
      </c>
      <c r="U14" s="144">
        <f t="shared" si="11"/>
        <v>14.477621877670288</v>
      </c>
      <c r="V14" s="157">
        <v>279114</v>
      </c>
    </row>
    <row r="15" spans="2:22" x14ac:dyDescent="0.25">
      <c r="B15" s="38" t="str">
        <f>SDPR</f>
        <v>Summer Discount Plan Program (SDP) - Residential</v>
      </c>
      <c r="C15" s="132"/>
      <c r="D15" s="128">
        <v>171028</v>
      </c>
      <c r="E15" s="143">
        <f t="shared" si="0"/>
        <v>0</v>
      </c>
      <c r="F15" s="144">
        <f t="shared" si="1"/>
        <v>189.74887082389336</v>
      </c>
      <c r="G15" s="128">
        <v>168856</v>
      </c>
      <c r="H15" s="143">
        <f t="shared" si="2"/>
        <v>0</v>
      </c>
      <c r="I15" s="144">
        <f t="shared" si="3"/>
        <v>187.33912185045335</v>
      </c>
      <c r="J15" s="128">
        <v>168020</v>
      </c>
      <c r="K15" s="143">
        <f t="shared" si="4"/>
        <v>1.5786849164157892</v>
      </c>
      <c r="L15" s="144">
        <f t="shared" si="5"/>
        <v>186.41161257706671</v>
      </c>
      <c r="M15" s="195">
        <v>167300</v>
      </c>
      <c r="N15" s="143">
        <f t="shared" si="6"/>
        <v>13.500827140126157</v>
      </c>
      <c r="O15" s="144">
        <f t="shared" si="7"/>
        <v>127.02029880285264</v>
      </c>
      <c r="P15" s="195">
        <v>165579</v>
      </c>
      <c r="Q15" s="143">
        <f t="shared" si="8"/>
        <v>26.600555425702417</v>
      </c>
      <c r="R15" s="144">
        <f t="shared" si="9"/>
        <v>125.71365245354175</v>
      </c>
      <c r="S15" s="196">
        <v>165251</v>
      </c>
      <c r="T15" s="143">
        <f t="shared" si="10"/>
        <v>96.177312496131705</v>
      </c>
      <c r="U15" s="144">
        <f t="shared" si="11"/>
        <v>125.46462281811237</v>
      </c>
      <c r="V15" s="157">
        <v>2125093</v>
      </c>
    </row>
    <row r="16" spans="2:22" ht="15.75" thickBot="1" x14ac:dyDescent="0.3">
      <c r="B16" s="129" t="s">
        <v>42</v>
      </c>
      <c r="C16" s="133"/>
      <c r="D16" s="279"/>
      <c r="E16" s="280"/>
      <c r="F16" s="281"/>
      <c r="G16" s="279"/>
      <c r="H16" s="280"/>
      <c r="I16" s="281"/>
      <c r="J16" s="282"/>
      <c r="K16" s="280"/>
      <c r="L16" s="281"/>
      <c r="M16" s="282"/>
      <c r="N16" s="280"/>
      <c r="O16" s="281"/>
      <c r="P16" s="179">
        <f t="shared" ref="D16:U16" si="12">SUM(P8:P15)</f>
        <v>229685</v>
      </c>
      <c r="Q16" s="80">
        <f t="shared" si="12"/>
        <v>572.95495986983963</v>
      </c>
      <c r="R16" s="81">
        <f t="shared" si="12"/>
        <v>529.25746200371907</v>
      </c>
      <c r="S16" s="179">
        <f t="shared" si="12"/>
        <v>229826</v>
      </c>
      <c r="T16" s="80">
        <f t="shared" si="12"/>
        <v>662.62116518334608</v>
      </c>
      <c r="U16" s="81">
        <f t="shared" si="12"/>
        <v>528.89454716612136</v>
      </c>
      <c r="V16" s="19"/>
    </row>
    <row r="17" spans="2:22" ht="15.75" thickTop="1" x14ac:dyDescent="0.25">
      <c r="B17" s="50" t="s">
        <v>50</v>
      </c>
      <c r="C17" s="49"/>
      <c r="D17" s="8"/>
      <c r="E17" s="9"/>
      <c r="F17" s="10"/>
      <c r="I17" s="10"/>
      <c r="J17" s="123"/>
      <c r="L17" s="10"/>
      <c r="O17" s="10"/>
      <c r="R17" s="10"/>
      <c r="S17" s="9"/>
      <c r="T17" s="9"/>
      <c r="U17" s="10"/>
      <c r="V17" s="19"/>
    </row>
    <row r="18" spans="2:22" x14ac:dyDescent="0.25">
      <c r="B18" s="38" t="str">
        <f>CPP</f>
        <v>Critical Peak Pricing (CPP)</v>
      </c>
      <c r="C18" s="132"/>
      <c r="D18" s="123">
        <v>258024</v>
      </c>
      <c r="E18" s="121">
        <v>9.7184363943541694</v>
      </c>
      <c r="F18" s="122">
        <v>12.3879906378</v>
      </c>
      <c r="G18" s="123">
        <v>256520</v>
      </c>
      <c r="H18" s="143">
        <v>9.6271346967226812</v>
      </c>
      <c r="I18" s="144">
        <v>12.273873301999998</v>
      </c>
      <c r="J18" s="123">
        <v>251787</v>
      </c>
      <c r="K18" s="183">
        <v>9.6998734652623089</v>
      </c>
      <c r="L18" s="122">
        <v>12.106194241199999</v>
      </c>
      <c r="M18" s="195">
        <v>233670</v>
      </c>
      <c r="N18" s="143">
        <v>12.787741912600001</v>
      </c>
      <c r="O18" s="144">
        <v>14.825155639399998</v>
      </c>
      <c r="P18" s="195">
        <v>230882</v>
      </c>
      <c r="Q18" s="143">
        <v>13.678198123199998</v>
      </c>
      <c r="R18" s="144">
        <v>14.6808524482</v>
      </c>
      <c r="S18" s="196">
        <v>229142</v>
      </c>
      <c r="T18" s="121">
        <v>13.6958576416</v>
      </c>
      <c r="U18" s="122">
        <v>14.5041978476</v>
      </c>
      <c r="V18" s="157">
        <v>3720657</v>
      </c>
    </row>
    <row r="19" spans="2:22" x14ac:dyDescent="0.25">
      <c r="B19" s="38" t="str">
        <f>OBMC</f>
        <v>Optional Binding Mandatory Curtailment (OBMC)</v>
      </c>
      <c r="C19" s="132"/>
      <c r="D19" s="283"/>
      <c r="E19" s="276"/>
      <c r="F19" s="277"/>
      <c r="G19" s="284"/>
      <c r="H19" s="276"/>
      <c r="I19" s="277"/>
      <c r="J19" s="284"/>
      <c r="K19" s="276"/>
      <c r="L19" s="277"/>
      <c r="M19" s="278"/>
      <c r="N19" s="276"/>
      <c r="O19" s="277"/>
      <c r="P19" s="278"/>
      <c r="Q19" s="276"/>
      <c r="R19" s="277"/>
      <c r="S19" s="285"/>
      <c r="T19" s="276"/>
      <c r="U19" s="277"/>
      <c r="V19" s="157" t="s">
        <v>198</v>
      </c>
    </row>
    <row r="20" spans="2:22" x14ac:dyDescent="0.25">
      <c r="B20" s="38" t="str">
        <f>RTP</f>
        <v>Real Time Pricing (RTP)</v>
      </c>
      <c r="C20" s="132"/>
      <c r="D20" s="123">
        <v>99</v>
      </c>
      <c r="E20" s="143">
        <f>IF(D20="","",(IFERROR(D20*(INDEX(ExAnteData,MATCH($B20,ExAnteProg,0),MATCH(D$5,ExAnteMo,0)))/1000,0)))</f>
        <v>0</v>
      </c>
      <c r="F20" s="144">
        <f>IF(D20="","",(IFERROR(D20*(INDEX(ExPostData,MATCH($B20,ExPostProg,0),MATCH(D$5,ExPostMo,0)))/1000,0)))</f>
        <v>0</v>
      </c>
      <c r="G20">
        <v>99</v>
      </c>
      <c r="H20" s="143">
        <f>IF(G20="","",(IFERROR(G20*(INDEX(ExAnteData,MATCH($B20,ExAnteProg,0),MATCH(G$5,ExAnteMo,0)))/1000,0)))</f>
        <v>0</v>
      </c>
      <c r="I20" s="144">
        <f>IF(G20="","",(IFERROR(G20*(INDEX(ExPostData,MATCH($B20,ExPostProg,0),MATCH(G$5,ExPostMo,0)))/1000,0)))</f>
        <v>0</v>
      </c>
      <c r="J20">
        <v>97</v>
      </c>
      <c r="K20" s="143">
        <f>IF(J20="","",(IFERROR(J20*(INDEX(ExAnteData,MATCH($B20,ExAnteProg,0),MATCH(J$5,ExAnteMo,0)))/1000,0)))</f>
        <v>0</v>
      </c>
      <c r="L20" s="144">
        <f>IF(J20="","",(IFERROR(J20*(INDEX(ExPostData,MATCH($B20,ExPostProg,0),MATCH(J$5,ExPostMo,0)))/1000,0)))</f>
        <v>0</v>
      </c>
      <c r="M20" s="195">
        <v>97</v>
      </c>
      <c r="N20" s="143">
        <f>IF(M20="","",(IFERROR(M20*(INDEX(ExAnteData,MATCH($B20,ExAnteProg,0),MATCH(M$5,ExAnteMo,0)))/1000,0)))</f>
        <v>-0.19839353637695312</v>
      </c>
      <c r="O20" s="144">
        <f>IF(M20="","",(IFERROR(M20*(INDEX(ExPostData,MATCH($B20,ExPostProg,0),MATCH(M$5,ExPostMo,0)))/1000,0)))</f>
        <v>1.1324560546875001E-2</v>
      </c>
      <c r="P20" s="195">
        <v>98</v>
      </c>
      <c r="Q20" s="143">
        <f>IF(P20="","",(IFERROR(P20*(INDEX(ExAnteData,MATCH($B20,ExAnteProg,0),MATCH(P$5,ExAnteMo,0)))/1000,0)))</f>
        <v>-0.20509478759765626</v>
      </c>
      <c r="R20" s="144">
        <f>IF(P20="","",(IFERROR(P20*(INDEX(ExPostData,MATCH($B20,ExPostProg,0),MATCH(P$5,ExPostMo,0)))/1000,0)))</f>
        <v>-0.65010833740234375</v>
      </c>
      <c r="S20" s="196">
        <v>100</v>
      </c>
      <c r="T20" s="143">
        <f>IF(S20="","",(IFERROR(S20*(INDEX(ExAnteData,MATCH($B20,ExAnteProg,0),MATCH(S$5,ExAnteMo,0)))/1000,0)))</f>
        <v>8.8695605468750003</v>
      </c>
      <c r="U20" s="144">
        <f>IF(S20="","",(IFERROR(S20*(INDEX(ExPostData,MATCH($B20,ExPostProg,0),MATCH(S$5,ExPostMo,0)))/1000,0)))</f>
        <v>-1.6072131347656251</v>
      </c>
      <c r="V20" s="157">
        <v>463507</v>
      </c>
    </row>
    <row r="21" spans="2:22" x14ac:dyDescent="0.25">
      <c r="B21" s="38" t="str">
        <f>SLRP</f>
        <v>Scheduled Load Reduction Program (SLRP)</v>
      </c>
      <c r="C21" s="132"/>
      <c r="D21" s="123">
        <v>0</v>
      </c>
      <c r="E21" s="143">
        <f>IF(D21="","",(IFERROR(D21*(INDEX(ExAnteData,MATCH($B21,ExAnteProg,0),MATCH(D$5,ExAnteMo,0)))/1000,0)))</f>
        <v>0</v>
      </c>
      <c r="F21" s="144">
        <f>IF(D21="","",(IFERROR(D21*(INDEX(ExPostData,MATCH($B21,ExPostProg,0),MATCH(D$5,ExPostMo,0)))/1000,0)))</f>
        <v>0</v>
      </c>
      <c r="G21">
        <v>0</v>
      </c>
      <c r="H21" s="143">
        <f>IF(G21="","",(IFERROR(G21*(INDEX(ExAnteData,MATCH($B21,ExAnteProg,0),MATCH(G$5,ExAnteMo,0)))/1000,0)))</f>
        <v>0</v>
      </c>
      <c r="I21" s="144">
        <f>IF(G21="","",(IFERROR(G21*(INDEX(ExPostData,MATCH($B21,ExPostProg,0),MATCH(G$5,ExPostMo,0)))/1000,0)))</f>
        <v>0</v>
      </c>
      <c r="J21">
        <v>0</v>
      </c>
      <c r="K21" s="143">
        <f>IF(J21="","",(IFERROR(J21*(INDEX(ExAnteData,MATCH($B21,ExAnteProg,0),MATCH(J$5,ExAnteMo,0)))/1000,0)))</f>
        <v>0</v>
      </c>
      <c r="L21" s="144">
        <f>IF(J21="","",(IFERROR(J21*(INDEX(ExPostData,MATCH($B21,ExPostProg,0),MATCH(J$5,ExPostMo,0)))/1000,0)))</f>
        <v>0</v>
      </c>
      <c r="M21" s="195">
        <v>0</v>
      </c>
      <c r="N21" s="143">
        <f>IF(M21="","",(IFERROR(M21*(INDEX(ExAnteData,MATCH($B21,ExAnteProg,0),MATCH(M$5,ExAnteMo,0)))/1000,0)))</f>
        <v>0</v>
      </c>
      <c r="O21" s="144">
        <f>IF(M21="","",(IFERROR(M21*(INDEX(ExPostData,MATCH($B21,ExPostProg,0),MATCH(M$5,ExPostMo,0)))/1000,0)))</f>
        <v>0</v>
      </c>
      <c r="P21" s="195">
        <v>0</v>
      </c>
      <c r="Q21" s="143">
        <f>IF(P21="","",(IFERROR(P21*(INDEX(ExAnteData,MATCH($B21,ExAnteProg,0),MATCH(P$5,ExAnteMo,0)))/1000,0)))</f>
        <v>0</v>
      </c>
      <c r="R21" s="144">
        <f>IF(P21="","",(IFERROR(P21*(INDEX(ExPostData,MATCH($B21,ExPostProg,0),MATCH(P$5,ExPostMo,0)))/1000,0)))</f>
        <v>0</v>
      </c>
      <c r="S21" s="196">
        <v>0</v>
      </c>
      <c r="T21" s="143">
        <f>IF(S21="","",(IFERROR(S21*(INDEX(ExAnteData,MATCH($B21,ExAnteProg,0),MATCH(S$5,ExAnteMo,0)))/1000,0)))</f>
        <v>0</v>
      </c>
      <c r="U21" s="144">
        <f>IF(S21="","",(IFERROR(S21*(INDEX(ExPostData,MATCH($B21,ExPostProg,0),MATCH(S$5,ExPostMo,0)))/1000,0)))</f>
        <v>0</v>
      </c>
      <c r="V21" s="158">
        <v>16596</v>
      </c>
    </row>
    <row r="22" spans="2:22" ht="15.75" thickBot="1" x14ac:dyDescent="0.3">
      <c r="B22" s="130" t="s">
        <v>42</v>
      </c>
      <c r="C22" s="134"/>
      <c r="D22" s="279"/>
      <c r="E22" s="280"/>
      <c r="F22" s="281"/>
      <c r="G22" s="279"/>
      <c r="H22" s="280"/>
      <c r="I22" s="281"/>
      <c r="J22" s="279"/>
      <c r="K22" s="280"/>
      <c r="L22" s="281"/>
      <c r="M22" s="279"/>
      <c r="N22" s="280"/>
      <c r="O22" s="281"/>
      <c r="P22" s="279"/>
      <c r="Q22" s="280"/>
      <c r="R22" s="281"/>
      <c r="S22" s="279"/>
      <c r="T22" s="280"/>
      <c r="U22" s="281"/>
    </row>
    <row r="23" spans="2:22" ht="16.5" thickTop="1" thickBot="1" x14ac:dyDescent="0.3">
      <c r="B23" s="131" t="s">
        <v>51</v>
      </c>
      <c r="C23" s="135"/>
      <c r="D23" s="279"/>
      <c r="E23" s="286"/>
      <c r="F23" s="280"/>
      <c r="G23" s="279"/>
      <c r="H23" s="286"/>
      <c r="I23" s="280"/>
      <c r="J23" s="279"/>
      <c r="K23" s="286"/>
      <c r="L23" s="280"/>
      <c r="M23" s="279"/>
      <c r="N23" s="286"/>
      <c r="O23" s="280"/>
      <c r="P23" s="279"/>
      <c r="Q23" s="286"/>
      <c r="R23" s="280"/>
      <c r="S23" s="279"/>
      <c r="T23" s="286"/>
      <c r="U23" s="287"/>
    </row>
    <row r="24" spans="2:22" ht="15.75" thickTop="1" x14ac:dyDescent="0.25"/>
    <row r="26" spans="2:22" x14ac:dyDescent="0.25">
      <c r="D26" s="233" t="s">
        <v>52</v>
      </c>
      <c r="E26" s="234"/>
      <c r="F26" s="235"/>
      <c r="G26" s="233" t="s">
        <v>53</v>
      </c>
      <c r="H26" s="234"/>
      <c r="I26" s="235"/>
      <c r="J26" s="233" t="s">
        <v>54</v>
      </c>
      <c r="K26" s="234"/>
      <c r="L26" s="235"/>
      <c r="M26" s="233" t="s">
        <v>55</v>
      </c>
      <c r="N26" s="234"/>
      <c r="O26" s="235"/>
      <c r="P26" s="233" t="s">
        <v>56</v>
      </c>
      <c r="Q26" s="234"/>
      <c r="R26" s="235"/>
      <c r="S26" s="233" t="s">
        <v>57</v>
      </c>
      <c r="T26" s="234"/>
      <c r="U26" s="235"/>
    </row>
    <row r="27" spans="2:22" ht="56.25" customHeight="1" x14ac:dyDescent="0.25">
      <c r="D27" s="13" t="s">
        <v>43</v>
      </c>
      <c r="E27" s="14" t="s">
        <v>229</v>
      </c>
      <c r="F27" s="15" t="s">
        <v>230</v>
      </c>
      <c r="G27" s="4" t="s">
        <v>43</v>
      </c>
      <c r="H27" s="14" t="s">
        <v>229</v>
      </c>
      <c r="I27" s="15" t="s">
        <v>230</v>
      </c>
      <c r="J27" s="4" t="s">
        <v>43</v>
      </c>
      <c r="K27" s="14" t="s">
        <v>229</v>
      </c>
      <c r="L27" s="15" t="s">
        <v>230</v>
      </c>
      <c r="M27" s="4" t="s">
        <v>43</v>
      </c>
      <c r="N27" s="14" t="s">
        <v>229</v>
      </c>
      <c r="O27" s="15" t="s">
        <v>230</v>
      </c>
      <c r="P27" s="4" t="s">
        <v>43</v>
      </c>
      <c r="Q27" s="14" t="s">
        <v>229</v>
      </c>
      <c r="R27" s="15" t="s">
        <v>230</v>
      </c>
      <c r="S27" s="16" t="s">
        <v>43</v>
      </c>
      <c r="T27" s="14" t="s">
        <v>229</v>
      </c>
      <c r="U27" s="15" t="s">
        <v>230</v>
      </c>
      <c r="V27" s="20" t="s">
        <v>272</v>
      </c>
    </row>
    <row r="28" spans="2:22" x14ac:dyDescent="0.25">
      <c r="B28" s="42" t="s">
        <v>83</v>
      </c>
      <c r="C28" s="47"/>
      <c r="D28" s="6"/>
      <c r="E28" s="5"/>
      <c r="F28" s="7"/>
      <c r="G28" s="5"/>
      <c r="H28" s="5"/>
      <c r="I28" s="7"/>
      <c r="J28" s="5"/>
      <c r="K28" s="5"/>
      <c r="L28" s="7"/>
      <c r="M28" s="5"/>
      <c r="N28" s="5"/>
      <c r="O28" s="7"/>
      <c r="P28" s="5"/>
      <c r="Q28" s="5"/>
      <c r="R28" s="7"/>
      <c r="S28" s="5"/>
      <c r="T28" s="5"/>
      <c r="U28" s="7"/>
      <c r="V28" s="21"/>
    </row>
    <row r="29" spans="2:22" x14ac:dyDescent="0.25">
      <c r="B29" s="38" t="str">
        <f>API</f>
        <v>Agricultural &amp; Pumping Interruptible (API)</v>
      </c>
      <c r="C29" s="132"/>
      <c r="D29" s="123">
        <v>946</v>
      </c>
      <c r="E29" s="143">
        <f t="shared" ref="E29:E36" si="13">IF(D29="","",(IFERROR(D29*(INDEX(ExAnteData,MATCH($B29,ExAnteProg,0),MATCH(D$26,ExAnteMo,0)))/1000,0)))</f>
        <v>34.45505748252868</v>
      </c>
      <c r="F29" s="144">
        <f t="shared" ref="F29:F36" si="14">IF(D29="","",(IFERROR(D29*(INDEX(ExPostData,MATCH($B29,ExPostProg,0),MATCH(D$26,ExPostMo,0)))/1000,0)))</f>
        <v>28.229453748468373</v>
      </c>
      <c r="G29" s="123">
        <v>959</v>
      </c>
      <c r="H29" s="143">
        <f t="shared" ref="H29:H36" si="15">IF(G29="","",(IFERROR(G29*(INDEX(ExAnteData,MATCH($B29,ExAnteProg,0),MATCH(G$26,ExAnteMo,0)))/1000,0)))</f>
        <v>30.937297051620479</v>
      </c>
      <c r="I29" s="144">
        <f t="shared" ref="I29:I36" si="16">IF(G29="","",(IFERROR(G29*(INDEX(ExPostData,MATCH($B29,ExPostProg,0),MATCH(G$26,ExPostMo,0)))/1000,0)))</f>
        <v>28.617384931058318</v>
      </c>
      <c r="J29" s="123">
        <v>955</v>
      </c>
      <c r="K29" s="143">
        <f t="shared" ref="K29:K36" si="17">IF(J29="","",(IFERROR(J29*(INDEX(ExAnteData,MATCH($B29,ExAnteProg,0),MATCH(J$26,ExAnteMo,0)))/1000,0)))</f>
        <v>22.838836894512177</v>
      </c>
      <c r="L29" s="144">
        <f t="shared" ref="L29:L36" si="18">IF(J29="","",(IFERROR(J29*(INDEX(ExPostData,MATCH($B29,ExPostProg,0),MATCH(J$26,ExPostMo,0)))/1000,0)))</f>
        <v>28.498021490261412</v>
      </c>
      <c r="M29" s="123">
        <v>943</v>
      </c>
      <c r="N29" s="143">
        <f t="shared" ref="N29:N36" si="19">IF(M29="","",(IFERROR(M29*(INDEX(ExAnteData,MATCH($B29,ExAnteProg,0),MATCH(M$26,ExAnteMo,0)))/1000,0)))</f>
        <v>17.99016735935211</v>
      </c>
      <c r="O29" s="144">
        <f t="shared" ref="O29:O36" si="20">IF(M29="","",(IFERROR(M29*(INDEX(ExPostData,MATCH($B29,ExPostProg,0),MATCH(M$26,ExPostMo,0)))/1000,0)))</f>
        <v>28.139931167870692</v>
      </c>
      <c r="P29" s="123">
        <v>939</v>
      </c>
      <c r="Q29" s="143">
        <f t="shared" ref="Q29:Q36" si="21">IF(P29="","",(IFERROR(P29*(INDEX(ExAnteData,MATCH($B29,ExAnteProg,0),MATCH(P$26,ExAnteMo,0)))/1000,0)))</f>
        <v>9.8237442895889284</v>
      </c>
      <c r="R29" s="144">
        <f t="shared" ref="R29:R36" si="22">IF(P29="","",(IFERROR(P29*(INDEX(ExPostData,MATCH($B29,ExPostProg,0),MATCH(P$26,ExPostMo,0)))/1000,0)))</f>
        <v>28.020567727073782</v>
      </c>
      <c r="S29" s="123">
        <v>922</v>
      </c>
      <c r="T29" s="143">
        <f t="shared" ref="T29" si="23">IF(S29="","",(IFERROR(S29*(INDEX(ExAnteData,MATCH($B29,ExAnteProg,0),MATCH(S$26,ExAnteMo,0)))/1000,0)))</f>
        <v>5.9041362813949592</v>
      </c>
      <c r="U29" s="144">
        <f t="shared" ref="U29" si="24">IF(S29="","",(IFERROR(S29*(INDEX(ExPostData,MATCH($B29,ExPostProg,0),MATCH(S$26,ExPostMo,0)))/1000,0)))</f>
        <v>27.513273103686934</v>
      </c>
      <c r="V29" s="157">
        <v>12850</v>
      </c>
    </row>
    <row r="30" spans="2:22" x14ac:dyDescent="0.25">
      <c r="B30" s="38" t="str">
        <f>BIP_15</f>
        <v>Base Interruptible Program (BIP) 15 Minute Option</v>
      </c>
      <c r="C30" s="132"/>
      <c r="D30" s="123">
        <v>43</v>
      </c>
      <c r="E30" s="143">
        <f t="shared" si="13"/>
        <v>174.52938899999998</v>
      </c>
      <c r="F30" s="144">
        <f t="shared" si="14"/>
        <v>134.822701667025</v>
      </c>
      <c r="G30" s="123">
        <v>43</v>
      </c>
      <c r="H30" s="143">
        <f t="shared" si="15"/>
        <v>174.8127332</v>
      </c>
      <c r="I30" s="144">
        <f t="shared" si="16"/>
        <v>134.822701667025</v>
      </c>
      <c r="J30" s="123">
        <v>43</v>
      </c>
      <c r="K30" s="143">
        <f t="shared" si="17"/>
        <v>178.35233840000001</v>
      </c>
      <c r="L30" s="144">
        <f t="shared" si="18"/>
        <v>134.822701667025</v>
      </c>
      <c r="M30" s="123">
        <v>43</v>
      </c>
      <c r="N30" s="143">
        <f t="shared" si="19"/>
        <v>178.29835619999997</v>
      </c>
      <c r="O30" s="144">
        <f t="shared" si="20"/>
        <v>134.822701667025</v>
      </c>
      <c r="P30" s="123">
        <v>43</v>
      </c>
      <c r="Q30" s="143">
        <f t="shared" si="21"/>
        <v>182.2826072</v>
      </c>
      <c r="R30" s="144">
        <f t="shared" si="22"/>
        <v>134.822701667025</v>
      </c>
      <c r="S30" s="123">
        <v>44</v>
      </c>
      <c r="T30" s="143">
        <f t="shared" ref="T30:T36" si="25">IF(S30="","",(IFERROR(S30*(INDEX(ExAnteData,MATCH($B30,ExAnteProg,0),MATCH(S$26,ExAnteMo,0)))/1000,0)))</f>
        <v>162.57092719999997</v>
      </c>
      <c r="U30" s="144">
        <f t="shared" ref="U30:U36" si="26">IF(S30="","",(IFERROR(S30*(INDEX(ExPostData,MATCH($B30,ExPostProg,0),MATCH(S$26,ExPostMo,0)))/1000,0)))</f>
        <v>137.9581133337</v>
      </c>
      <c r="V30" s="157">
        <v>7490</v>
      </c>
    </row>
    <row r="31" spans="2:22" x14ac:dyDescent="0.25">
      <c r="B31" s="38" t="str">
        <f>BIP_30</f>
        <v>Base Interruptible Program (BIP) 30 Minute Option</v>
      </c>
      <c r="C31" s="132"/>
      <c r="D31" s="123">
        <v>296</v>
      </c>
      <c r="E31" s="143">
        <f t="shared" si="13"/>
        <v>306.23048224000001</v>
      </c>
      <c r="F31" s="144">
        <f t="shared" si="14"/>
        <v>187.19981417218543</v>
      </c>
      <c r="G31" s="123">
        <v>300</v>
      </c>
      <c r="H31" s="143">
        <f t="shared" si="15"/>
        <v>326.78070000000002</v>
      </c>
      <c r="I31" s="144">
        <f t="shared" si="16"/>
        <v>189.72954139072849</v>
      </c>
      <c r="J31" s="123">
        <v>302</v>
      </c>
      <c r="K31" s="143">
        <f t="shared" si="17"/>
        <v>337.69011840000002</v>
      </c>
      <c r="L31" s="144">
        <f t="shared" si="18"/>
        <v>190.99440500000003</v>
      </c>
      <c r="M31" s="123">
        <v>308</v>
      </c>
      <c r="N31" s="143">
        <f t="shared" si="19"/>
        <v>325.70790560000006</v>
      </c>
      <c r="O31" s="144">
        <f t="shared" si="20"/>
        <v>194.7889958278146</v>
      </c>
      <c r="P31" s="123">
        <v>308</v>
      </c>
      <c r="Q31" s="143">
        <f t="shared" si="21"/>
        <v>334.60590240000005</v>
      </c>
      <c r="R31" s="144">
        <f t="shared" si="22"/>
        <v>194.7889958278146</v>
      </c>
      <c r="S31" s="123">
        <v>286</v>
      </c>
      <c r="T31" s="143">
        <f t="shared" si="25"/>
        <v>289.62809304000001</v>
      </c>
      <c r="U31" s="144">
        <f t="shared" si="26"/>
        <v>180.87549612582782</v>
      </c>
      <c r="V31" s="157">
        <v>7490</v>
      </c>
    </row>
    <row r="32" spans="2:22" ht="15.75" x14ac:dyDescent="0.25">
      <c r="B32" s="38" t="str">
        <f>CBP_DA</f>
        <v>Capacity Bidding Program (CBP) Day Ahead</v>
      </c>
      <c r="C32" s="161" t="s">
        <v>231</v>
      </c>
      <c r="D32" s="123">
        <v>153</v>
      </c>
      <c r="E32" s="143">
        <f t="shared" si="13"/>
        <v>1.5437278331999997</v>
      </c>
      <c r="F32" s="144">
        <f t="shared" si="14"/>
        <v>1.1391564204000002</v>
      </c>
      <c r="G32" s="123">
        <v>199</v>
      </c>
      <c r="H32" s="143">
        <f t="shared" si="15"/>
        <v>2.0166353937999997</v>
      </c>
      <c r="I32" s="144">
        <f t="shared" si="16"/>
        <v>1.4816478931999999</v>
      </c>
      <c r="J32" s="123">
        <v>200</v>
      </c>
      <c r="K32" s="143">
        <f t="shared" si="17"/>
        <v>2.0386229199999999</v>
      </c>
      <c r="L32" s="144">
        <f t="shared" si="18"/>
        <v>1.48909336</v>
      </c>
      <c r="M32" s="123">
        <v>197</v>
      </c>
      <c r="N32" s="143">
        <f t="shared" si="19"/>
        <v>2.0242778339999998</v>
      </c>
      <c r="O32" s="144">
        <f t="shared" si="20"/>
        <v>1.4667569596000001</v>
      </c>
      <c r="P32" s="283"/>
      <c r="Q32" s="276"/>
      <c r="R32" s="277"/>
      <c r="S32" s="283"/>
      <c r="T32" s="276"/>
      <c r="U32" s="277"/>
      <c r="V32" s="157">
        <v>5063770</v>
      </c>
    </row>
    <row r="33" spans="2:22" ht="15.75" x14ac:dyDescent="0.25">
      <c r="B33" s="38" t="str">
        <f>CBP_DO</f>
        <v>Capacity Bidding Program (CBP) Day Of</v>
      </c>
      <c r="C33" s="161" t="s">
        <v>231</v>
      </c>
      <c r="D33" s="123">
        <v>177</v>
      </c>
      <c r="E33" s="143">
        <f t="shared" si="13"/>
        <v>1.0559916288</v>
      </c>
      <c r="F33" s="144">
        <f t="shared" si="14"/>
        <v>0.92354482979999986</v>
      </c>
      <c r="G33" s="123">
        <v>126</v>
      </c>
      <c r="H33" s="143">
        <f t="shared" si="15"/>
        <v>0.75393097919999996</v>
      </c>
      <c r="I33" s="144">
        <f t="shared" si="16"/>
        <v>0.65743869239999997</v>
      </c>
      <c r="J33" s="123">
        <v>126</v>
      </c>
      <c r="K33" s="143">
        <f t="shared" si="17"/>
        <v>0.7556337179999999</v>
      </c>
      <c r="L33" s="144">
        <f t="shared" si="18"/>
        <v>0.65743869239999997</v>
      </c>
      <c r="M33" s="123">
        <v>126</v>
      </c>
      <c r="N33" s="143">
        <f t="shared" si="19"/>
        <v>0.75621409919999993</v>
      </c>
      <c r="O33" s="144">
        <f t="shared" si="20"/>
        <v>0.65743869239999997</v>
      </c>
      <c r="P33" s="283"/>
      <c r="Q33" s="276"/>
      <c r="R33" s="277"/>
      <c r="S33" s="283"/>
      <c r="T33" s="276"/>
      <c r="U33" s="277"/>
      <c r="V33" s="157">
        <v>5063770</v>
      </c>
    </row>
    <row r="34" spans="2:22" x14ac:dyDescent="0.25">
      <c r="B34" s="38" t="str">
        <f>SEP</f>
        <v>Smart Energy Program (SEP)</v>
      </c>
      <c r="C34" s="132"/>
      <c r="D34" s="123">
        <v>55859</v>
      </c>
      <c r="E34" s="143">
        <f t="shared" si="13"/>
        <v>27.351852727413178</v>
      </c>
      <c r="F34" s="144">
        <f t="shared" si="14"/>
        <v>40.559314664304253</v>
      </c>
      <c r="G34" s="123">
        <v>57382</v>
      </c>
      <c r="H34" s="143">
        <f t="shared" si="15"/>
        <v>28.100857823801039</v>
      </c>
      <c r="I34" s="144">
        <f t="shared" si="16"/>
        <v>41.665167548060417</v>
      </c>
      <c r="J34" s="123">
        <v>57568</v>
      </c>
      <c r="K34" s="143">
        <f t="shared" si="17"/>
        <v>30.732584972381591</v>
      </c>
      <c r="L34" s="144">
        <f t="shared" si="18"/>
        <v>41.800222463607788</v>
      </c>
      <c r="M34" s="123">
        <v>58493</v>
      </c>
      <c r="N34" s="143">
        <f t="shared" si="19"/>
        <v>24.391229314363006</v>
      </c>
      <c r="O34" s="144">
        <f t="shared" si="20"/>
        <v>42.471866532862187</v>
      </c>
      <c r="P34" s="123">
        <v>59698</v>
      </c>
      <c r="Q34" s="143">
        <f t="shared" si="21"/>
        <v>4.7311278162479402</v>
      </c>
      <c r="R34" s="144">
        <f t="shared" si="22"/>
        <v>43.346819077134136</v>
      </c>
      <c r="S34" s="123">
        <v>62417</v>
      </c>
      <c r="T34" s="143">
        <f t="shared" si="25"/>
        <v>0</v>
      </c>
      <c r="U34" s="144">
        <f t="shared" si="26"/>
        <v>45.321089589893816</v>
      </c>
      <c r="V34" s="157">
        <v>1552071</v>
      </c>
    </row>
    <row r="35" spans="2:22" x14ac:dyDescent="0.25">
      <c r="B35" s="38" t="str">
        <f>SDPC</f>
        <v>Summer Discount Plan Program (SDP) - Commercial</v>
      </c>
      <c r="C35" s="132"/>
      <c r="D35" s="123">
        <v>7215</v>
      </c>
      <c r="E35" s="143">
        <f t="shared" si="13"/>
        <v>17.519867294356992</v>
      </c>
      <c r="F35" s="144">
        <f t="shared" si="14"/>
        <v>14.425637598037719</v>
      </c>
      <c r="G35" s="123">
        <v>7172</v>
      </c>
      <c r="H35" s="143">
        <f t="shared" si="15"/>
        <v>16.0506349369521</v>
      </c>
      <c r="I35" s="144">
        <f t="shared" si="16"/>
        <v>14.339663597106934</v>
      </c>
      <c r="J35" s="123">
        <v>7142</v>
      </c>
      <c r="K35" s="143">
        <f t="shared" si="17"/>
        <v>17.720407648065482</v>
      </c>
      <c r="L35" s="144">
        <f t="shared" si="18"/>
        <v>14.279681735992432</v>
      </c>
      <c r="M35" s="123">
        <v>7112</v>
      </c>
      <c r="N35" s="143">
        <f t="shared" si="19"/>
        <v>13.305534169633246</v>
      </c>
      <c r="O35" s="144">
        <f t="shared" si="20"/>
        <v>14.21969987487793</v>
      </c>
      <c r="P35" s="123">
        <v>7069</v>
      </c>
      <c r="Q35" s="143">
        <f t="shared" si="21"/>
        <v>11.229552605200405</v>
      </c>
      <c r="R35" s="144">
        <f t="shared" si="22"/>
        <v>14.133725873947144</v>
      </c>
      <c r="S35" s="123">
        <v>7039</v>
      </c>
      <c r="T35" s="143">
        <f t="shared" si="25"/>
        <v>11.356134466924599</v>
      </c>
      <c r="U35" s="144">
        <f t="shared" si="26"/>
        <v>14.073744012832641</v>
      </c>
      <c r="V35" s="157">
        <v>279114</v>
      </c>
    </row>
    <row r="36" spans="2:22" x14ac:dyDescent="0.25">
      <c r="B36" s="38" t="str">
        <f>SDPR</f>
        <v>Summer Discount Plan Program (SDP) - Residential</v>
      </c>
      <c r="C36" s="132"/>
      <c r="D36" s="123">
        <v>164847</v>
      </c>
      <c r="E36" s="143">
        <f t="shared" si="13"/>
        <v>139.91474766472049</v>
      </c>
      <c r="F36" s="144">
        <f t="shared" si="14"/>
        <v>125.15789119398593</v>
      </c>
      <c r="G36" s="123">
        <v>164699</v>
      </c>
      <c r="H36" s="143">
        <f t="shared" si="15"/>
        <v>151.09695488636041</v>
      </c>
      <c r="I36" s="144">
        <f t="shared" si="16"/>
        <v>125.04552416336536</v>
      </c>
      <c r="J36" s="123">
        <v>164320</v>
      </c>
      <c r="K36" s="143">
        <f t="shared" si="17"/>
        <v>155.79089463672162</v>
      </c>
      <c r="L36" s="144">
        <f t="shared" si="18"/>
        <v>124.75777345657349</v>
      </c>
      <c r="M36" s="123">
        <v>163799</v>
      </c>
      <c r="N36" s="143">
        <f t="shared" si="19"/>
        <v>43.134300680378516</v>
      </c>
      <c r="O36" s="144">
        <f t="shared" si="20"/>
        <v>124.36221113932133</v>
      </c>
      <c r="P36" s="123">
        <v>163513</v>
      </c>
      <c r="Q36" s="143">
        <f t="shared" si="21"/>
        <v>2.6634694463409554</v>
      </c>
      <c r="R36" s="144">
        <f t="shared" si="22"/>
        <v>124.145069445014</v>
      </c>
      <c r="S36" s="123">
        <v>163249</v>
      </c>
      <c r="T36" s="143">
        <f t="shared" si="25"/>
        <v>0</v>
      </c>
      <c r="U36" s="144">
        <f t="shared" si="26"/>
        <v>123.94463095796108</v>
      </c>
      <c r="V36" s="157">
        <v>2125093</v>
      </c>
    </row>
    <row r="37" spans="2:22" ht="15.75" thickBot="1" x14ac:dyDescent="0.3">
      <c r="B37" s="129" t="s">
        <v>42</v>
      </c>
      <c r="C37" s="133"/>
      <c r="D37" s="214">
        <f t="shared" ref="D37:U37" si="27">SUM(D29:D36)</f>
        <v>229536</v>
      </c>
      <c r="E37" s="80">
        <f t="shared" si="27"/>
        <v>702.60111587101937</v>
      </c>
      <c r="F37" s="81">
        <f t="shared" si="27"/>
        <v>532.4575142942067</v>
      </c>
      <c r="G37" s="214">
        <f t="shared" si="27"/>
        <v>230880</v>
      </c>
      <c r="H37" s="80">
        <f t="shared" si="27"/>
        <v>730.54974427173408</v>
      </c>
      <c r="I37" s="81">
        <f t="shared" si="27"/>
        <v>536.35906988294448</v>
      </c>
      <c r="J37" s="214">
        <f t="shared" si="27"/>
        <v>230656</v>
      </c>
      <c r="K37" s="80">
        <f t="shared" si="27"/>
        <v>745.91943758968091</v>
      </c>
      <c r="L37" s="81">
        <f t="shared" si="27"/>
        <v>537.29933786586014</v>
      </c>
      <c r="M37" s="214">
        <f t="shared" si="27"/>
        <v>231021</v>
      </c>
      <c r="N37" s="80">
        <f t="shared" si="27"/>
        <v>605.6079852569269</v>
      </c>
      <c r="O37" s="81">
        <f t="shared" si="27"/>
        <v>540.92960186177163</v>
      </c>
      <c r="P37" s="279"/>
      <c r="Q37" s="280"/>
      <c r="R37" s="281"/>
      <c r="S37" s="279"/>
      <c r="T37" s="280"/>
      <c r="U37" s="281"/>
      <c r="V37" s="19"/>
    </row>
    <row r="38" spans="2:22" ht="15.75" thickTop="1" x14ac:dyDescent="0.25">
      <c r="B38" s="50" t="s">
        <v>50</v>
      </c>
      <c r="C38" s="49"/>
      <c r="D38" s="8"/>
      <c r="E38" s="9"/>
      <c r="F38" s="10"/>
      <c r="I38" s="10"/>
      <c r="L38" s="10"/>
      <c r="O38" s="10"/>
      <c r="R38" s="10"/>
      <c r="S38" s="9"/>
      <c r="T38" s="9"/>
      <c r="U38" s="10"/>
      <c r="V38" s="19"/>
    </row>
    <row r="39" spans="2:22" x14ac:dyDescent="0.25">
      <c r="B39" s="38" t="str">
        <f>CPP</f>
        <v>Critical Peak Pricing (CPP)</v>
      </c>
      <c r="C39" s="132"/>
      <c r="D39" s="123">
        <v>227389</v>
      </c>
      <c r="E39" s="143">
        <v>14.738081555199997</v>
      </c>
      <c r="F39" s="144">
        <v>14.315375814999999</v>
      </c>
      <c r="G39" s="123">
        <v>225595</v>
      </c>
      <c r="H39" s="143">
        <v>14.959669125000001</v>
      </c>
      <c r="I39" s="144">
        <v>14.0847272014</v>
      </c>
      <c r="J39" s="123">
        <v>223621</v>
      </c>
      <c r="K39" s="143">
        <v>14.633894733600002</v>
      </c>
      <c r="L39" s="144">
        <v>13.957663026400001</v>
      </c>
      <c r="M39" s="123">
        <v>243045</v>
      </c>
      <c r="N39" s="143">
        <v>14.949650250200001</v>
      </c>
      <c r="O39" s="144">
        <v>15.7330388468</v>
      </c>
      <c r="P39" s="123">
        <v>242389</v>
      </c>
      <c r="Q39" s="143">
        <v>13.204187879199999</v>
      </c>
      <c r="R39" s="144">
        <v>15.702780542599999</v>
      </c>
      <c r="S39" s="123">
        <v>241309</v>
      </c>
      <c r="T39" s="143">
        <v>11.685612762400002</v>
      </c>
      <c r="U39" s="143">
        <v>15.6199770186</v>
      </c>
      <c r="V39" s="157">
        <v>3720657</v>
      </c>
    </row>
    <row r="40" spans="2:22" x14ac:dyDescent="0.25">
      <c r="B40" s="38" t="str">
        <f>OBMC</f>
        <v>Optional Binding Mandatory Curtailment (OBMC)</v>
      </c>
      <c r="C40" s="132"/>
      <c r="D40" s="283"/>
      <c r="E40" s="276"/>
      <c r="F40" s="277"/>
      <c r="G40" s="283"/>
      <c r="H40" s="276"/>
      <c r="I40" s="277"/>
      <c r="J40" s="283"/>
      <c r="K40" s="276"/>
      <c r="L40" s="277"/>
      <c r="M40" s="283"/>
      <c r="N40" s="276"/>
      <c r="O40" s="277"/>
      <c r="P40" s="283"/>
      <c r="Q40" s="276"/>
      <c r="R40" s="277"/>
      <c r="S40" s="288"/>
      <c r="T40" s="276"/>
      <c r="U40" s="277"/>
      <c r="V40" s="157" t="s">
        <v>198</v>
      </c>
    </row>
    <row r="41" spans="2:22" x14ac:dyDescent="0.25">
      <c r="B41" s="38" t="str">
        <f>RTP</f>
        <v>Real Time Pricing (RTP)</v>
      </c>
      <c r="C41" s="132"/>
      <c r="D41" s="123">
        <v>97</v>
      </c>
      <c r="E41" s="143">
        <f>IF(D41="","",(IFERROR(D41*(INDEX(ExAnteData,MATCH($B41,ExAnteProg,0),MATCH(D$26,ExAnteMo,0)))/1000,0)))</f>
        <v>2.3726467010498049</v>
      </c>
      <c r="F41" s="144">
        <f>IF(D41="","",(IFERROR(D41*(INDEX(ExPostData,MATCH($B41,ExPostProg,0),MATCH(D$26,ExPostMo,0)))/1000,0)))</f>
        <v>-1.5424773162841796</v>
      </c>
      <c r="G41" s="123">
        <v>97</v>
      </c>
      <c r="H41" s="143">
        <f>IF(G41="","",(IFERROR(G41*(INDEX(ExAnteData,MATCH($B41,ExAnteProg,0),MATCH(G$26,ExAnteMo,0)))/1000,0)))</f>
        <v>2.486165237426758</v>
      </c>
      <c r="I41" s="144">
        <f>IF(G41="","",(IFERROR(G41*(INDEX(ExPostData,MATCH($B41,ExPostProg,0),MATCH(G$26,ExPostMo,0)))/1000,0)))</f>
        <v>-1.5184549560546876</v>
      </c>
      <c r="J41" s="123">
        <v>97</v>
      </c>
      <c r="K41" s="143">
        <f>IF(J41="","",(IFERROR(J41*(INDEX(ExAnteData,MATCH($B41,ExAnteProg,0),MATCH(J$26,ExAnteMo,0)))/1000,0)))</f>
        <v>2.896294546508789</v>
      </c>
      <c r="L41" s="144">
        <f>IF(J41="","",(IFERROR(J41*(INDEX(ExPostData,MATCH($B41,ExPostProg,0),MATCH(J$26,ExPostMo,0)))/1000,0)))</f>
        <v>-1.4926153259277344</v>
      </c>
      <c r="M41" s="123">
        <v>95</v>
      </c>
      <c r="N41" s="143">
        <f>IF(M41="","",(IFERROR(M41*(INDEX(ExAnteData,MATCH($B41,ExAnteProg,0),MATCH(M$26,ExAnteMo,0)))/1000,0)))</f>
        <v>0.24215258789062499</v>
      </c>
      <c r="O41" s="144">
        <f>IF(M41="","",(IFERROR(M41*(INDEX(ExPostData,MATCH($B41,ExPostProg,0),MATCH(M$26,ExPostMo,0)))/1000,0)))</f>
        <v>-0.51215692138671876</v>
      </c>
      <c r="P41" s="123">
        <v>95</v>
      </c>
      <c r="Q41" s="143">
        <f>IF(P41="","",(IFERROR(P41*(INDEX(ExAnteData,MATCH($B41,ExAnteProg,0),MATCH(P$26,ExAnteMo,0)))/1000,0)))</f>
        <v>2.4067169189453126E-2</v>
      </c>
      <c r="R41" s="144">
        <f>IF(P41="","",(IFERROR(P41*(INDEX(ExPostData,MATCH($B41,ExPostProg,0),MATCH(P$26,ExPostMo,0)))/1000,0)))</f>
        <v>-0.67785781860351557</v>
      </c>
      <c r="S41" s="9">
        <v>95</v>
      </c>
      <c r="T41" s="143">
        <f>IF(S41="","",(IFERROR(S41*(INDEX(ExAnteData,MATCH($B41,ExAnteProg,0),MATCH(S$26,ExAnteMo,0)))/1000,0)))</f>
        <v>1.9130897521972657E-2</v>
      </c>
      <c r="U41" s="144">
        <f>IF(S41="","",(IFERROR(S41*(INDEX(ExPostData,MATCH($B41,ExPostProg,0),MATCH(S$26,ExPostMo,0)))/1000,0)))</f>
        <v>-4.3884735107421878E-2</v>
      </c>
      <c r="V41" s="157">
        <v>463507</v>
      </c>
    </row>
    <row r="42" spans="2:22" x14ac:dyDescent="0.25">
      <c r="B42" s="38" t="str">
        <f>SLRP</f>
        <v>Scheduled Load Reduction Program (SLRP)</v>
      </c>
      <c r="C42" s="132"/>
      <c r="D42" s="123">
        <v>0</v>
      </c>
      <c r="E42" s="143">
        <f>IF(D42="","",(IFERROR(D42*(INDEX(ExAnteData,MATCH($B42,ExAnteProg,0),MATCH(D$26,ExAnteMo,0)))/1000,0)))</f>
        <v>0</v>
      </c>
      <c r="F42" s="144">
        <f>IF(D42="","",(IFERROR(D42*(INDEX(ExPostData,MATCH($B42,ExPostProg,0),MATCH(D$26,ExPostMo,0)))/1000,0)))</f>
        <v>0</v>
      </c>
      <c r="G42" s="123">
        <v>0</v>
      </c>
      <c r="H42" s="143">
        <f>IF(G42="","",(IFERROR(G42*(INDEX(ExAnteData,MATCH($B42,ExAnteProg,0),MATCH(G$26,ExAnteMo,0)))/1000,0)))</f>
        <v>0</v>
      </c>
      <c r="I42" s="144">
        <f>IF(G42="","",(IFERROR(G42*(INDEX(ExPostData,MATCH($B42,ExPostProg,0),MATCH(G$26,ExPostMo,0)))/1000,0)))</f>
        <v>0</v>
      </c>
      <c r="J42" s="123">
        <v>0</v>
      </c>
      <c r="K42" s="143">
        <f>IF(J42="","",(IFERROR(J42*(INDEX(ExAnteData,MATCH($B42,ExAnteProg,0),MATCH(J$26,ExAnteMo,0)))/1000,0)))</f>
        <v>0</v>
      </c>
      <c r="L42" s="144">
        <f>IF(J42="","",(IFERROR(J42*(INDEX(ExPostData,MATCH($B42,ExPostProg,0),MATCH(J$26,ExPostMo,0)))/1000,0)))</f>
        <v>0</v>
      </c>
      <c r="M42" s="123">
        <v>0</v>
      </c>
      <c r="N42" s="143">
        <f>IF(M42="","",(IFERROR(M42*(INDEX(ExAnteData,MATCH($B42,ExAnteProg,0),MATCH(M$26,ExAnteMo,0)))/1000,0)))</f>
        <v>0</v>
      </c>
      <c r="O42" s="144">
        <f>IF(M42="","",(IFERROR(M42*(INDEX(ExPostData,MATCH($B42,ExPostProg,0),MATCH(M$26,ExPostMo,0)))/1000,0)))</f>
        <v>0</v>
      </c>
      <c r="P42" s="123">
        <v>0</v>
      </c>
      <c r="Q42" s="143">
        <f>IF(P42="","",(IFERROR(P42*(INDEX(ExAnteData,MATCH($B42,ExAnteProg,0),MATCH(P$26,ExAnteMo,0)))/1000,0)))</f>
        <v>0</v>
      </c>
      <c r="R42" s="144">
        <f>IF(P42="","",(IFERROR(P42*(INDEX(ExPostData,MATCH($B42,ExPostProg,0),MATCH(P$26,ExPostMo,0)))/1000,0)))</f>
        <v>0</v>
      </c>
      <c r="S42" s="9">
        <v>0</v>
      </c>
      <c r="T42" s="143">
        <f>IF(S42="","",(IFERROR(S42*(INDEX(ExAnteData,MATCH($B42,ExAnteProg,0),MATCH(S$26,ExAnteMo,0)))/1000,0)))</f>
        <v>0</v>
      </c>
      <c r="U42" s="144">
        <f>IF(S42="","",(IFERROR(S42*(INDEX(ExPostData,MATCH($B42,ExPostProg,0),MATCH(S$26,ExPostMo,0)))/1000,0)))</f>
        <v>0</v>
      </c>
      <c r="V42" s="158">
        <v>16596</v>
      </c>
    </row>
    <row r="43" spans="2:22" ht="15.75" thickBot="1" x14ac:dyDescent="0.3">
      <c r="B43" s="130" t="s">
        <v>42</v>
      </c>
      <c r="C43" s="134"/>
      <c r="D43" s="282"/>
      <c r="E43" s="280"/>
      <c r="F43" s="281"/>
      <c r="G43" s="282"/>
      <c r="H43" s="280"/>
      <c r="I43" s="281"/>
      <c r="J43" s="282"/>
      <c r="K43" s="280"/>
      <c r="L43" s="281"/>
      <c r="M43" s="282"/>
      <c r="N43" s="280"/>
      <c r="O43" s="281"/>
      <c r="P43" s="282"/>
      <c r="Q43" s="280"/>
      <c r="R43" s="281"/>
      <c r="S43" s="282"/>
      <c r="T43" s="280"/>
      <c r="U43" s="281"/>
    </row>
    <row r="44" spans="2:22" ht="16.5" thickTop="1" thickBot="1" x14ac:dyDescent="0.3">
      <c r="B44" s="131" t="s">
        <v>51</v>
      </c>
      <c r="C44" s="135"/>
      <c r="D44" s="282"/>
      <c r="E44" s="286"/>
      <c r="F44" s="280"/>
      <c r="G44" s="282"/>
      <c r="H44" s="286"/>
      <c r="I44" s="280"/>
      <c r="J44" s="282"/>
      <c r="K44" s="286"/>
      <c r="L44" s="280"/>
      <c r="M44" s="282"/>
      <c r="N44" s="286"/>
      <c r="O44" s="280"/>
      <c r="P44" s="282"/>
      <c r="Q44" s="286"/>
      <c r="R44" s="280"/>
      <c r="S44" s="282"/>
      <c r="T44" s="286"/>
      <c r="U44" s="287"/>
    </row>
    <row r="45" spans="2:22" ht="15.75" thickTop="1" x14ac:dyDescent="0.25"/>
    <row r="46" spans="2:22" x14ac:dyDescent="0.25">
      <c r="B46" s="22" t="s">
        <v>67</v>
      </c>
      <c r="C46" s="22"/>
    </row>
    <row r="47" spans="2:22" x14ac:dyDescent="0.25">
      <c r="B47" s="230" t="s">
        <v>224</v>
      </c>
      <c r="C47" s="230"/>
      <c r="D47" s="230"/>
      <c r="E47" s="230"/>
      <c r="F47" s="230"/>
      <c r="G47" s="230"/>
      <c r="H47" s="230"/>
      <c r="I47" s="230"/>
      <c r="J47" s="230"/>
      <c r="K47" s="230"/>
      <c r="L47" s="230"/>
      <c r="M47" s="230"/>
      <c r="N47" s="230"/>
      <c r="O47" s="230"/>
      <c r="P47" s="230"/>
      <c r="Q47" s="230"/>
      <c r="R47" s="230"/>
      <c r="S47" s="230"/>
      <c r="T47" s="230"/>
      <c r="U47" s="230"/>
      <c r="V47" s="230"/>
    </row>
    <row r="48" spans="2:22" x14ac:dyDescent="0.25">
      <c r="B48" s="230" t="s">
        <v>225</v>
      </c>
      <c r="C48" s="230"/>
      <c r="D48" s="230"/>
      <c r="E48" s="230"/>
      <c r="F48" s="230"/>
      <c r="G48" s="230"/>
      <c r="H48" s="230"/>
      <c r="I48" s="230"/>
      <c r="J48" s="230"/>
      <c r="K48" s="230"/>
      <c r="L48" s="230"/>
      <c r="M48" s="230"/>
      <c r="N48" s="230"/>
      <c r="O48" s="230"/>
      <c r="P48" s="230"/>
      <c r="Q48" s="230"/>
      <c r="R48" s="230"/>
      <c r="S48" s="230"/>
      <c r="T48" s="230"/>
      <c r="U48" s="230"/>
      <c r="V48" s="230"/>
    </row>
    <row r="49" spans="2:22" x14ac:dyDescent="0.25">
      <c r="B49" s="230" t="s">
        <v>226</v>
      </c>
      <c r="C49" s="230"/>
      <c r="D49" s="230"/>
      <c r="E49" s="230"/>
      <c r="F49" s="230"/>
      <c r="G49" s="230"/>
      <c r="H49" s="230"/>
      <c r="I49" s="230"/>
      <c r="J49" s="230"/>
      <c r="K49" s="230"/>
      <c r="L49" s="230"/>
      <c r="M49" s="230"/>
      <c r="N49" s="230"/>
      <c r="O49" s="230"/>
      <c r="P49" s="230"/>
      <c r="Q49" s="230"/>
      <c r="R49" s="230"/>
      <c r="S49" s="230"/>
      <c r="T49" s="230"/>
      <c r="U49" s="230"/>
      <c r="V49" s="230"/>
    </row>
    <row r="50" spans="2:22" x14ac:dyDescent="0.25">
      <c r="B50" s="230" t="s">
        <v>227</v>
      </c>
      <c r="C50" s="230"/>
      <c r="D50" s="230"/>
      <c r="E50" s="230"/>
      <c r="F50" s="230"/>
      <c r="G50" s="230"/>
      <c r="H50" s="230"/>
      <c r="I50" s="230"/>
      <c r="J50" s="230"/>
      <c r="K50" s="230"/>
      <c r="L50" s="230"/>
      <c r="M50" s="230"/>
      <c r="N50" s="230"/>
      <c r="O50" s="230"/>
      <c r="P50" s="230"/>
      <c r="Q50" s="230"/>
      <c r="R50" s="230"/>
      <c r="S50" s="230"/>
      <c r="T50" s="230"/>
      <c r="U50" s="230"/>
      <c r="V50" s="230"/>
    </row>
  </sheetData>
  <mergeCells count="17">
    <mergeCell ref="S5:U5"/>
    <mergeCell ref="B47:V47"/>
    <mergeCell ref="B48:V48"/>
    <mergeCell ref="B49:V49"/>
    <mergeCell ref="B50:V50"/>
    <mergeCell ref="B1:V1"/>
    <mergeCell ref="D26:F26"/>
    <mergeCell ref="G26:I26"/>
    <mergeCell ref="J26:L26"/>
    <mergeCell ref="M26:O26"/>
    <mergeCell ref="P26:R26"/>
    <mergeCell ref="S26:U26"/>
    <mergeCell ref="D5:F5"/>
    <mergeCell ref="G5:I5"/>
    <mergeCell ref="J5:L5"/>
    <mergeCell ref="M5:O5"/>
    <mergeCell ref="P5:R5"/>
  </mergeCells>
  <pageMargins left="0.7" right="0.7" top="0.75" bottom="0.75" header="0.3" footer="0.3"/>
  <pageSetup paperSize="5" scale="49" orientation="landscape" r:id="rId1"/>
  <headerFooter>
    <oddFooter>&amp;L&amp;F&amp;C-Public-&amp;RA-&amp;P</oddFooter>
  </headerFooter>
  <ignoredErrors>
    <ignoredError sqref="C11:C12 C32:C3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5FC65-EECD-482D-AC5A-778ED849FDD3}">
  <sheetPr>
    <pageSetUpPr fitToPage="1"/>
  </sheetPr>
  <dimension ref="A1:R57"/>
  <sheetViews>
    <sheetView showGridLines="0" view="pageBreakPreview" zoomScale="70" zoomScaleNormal="80" zoomScaleSheetLayoutView="70" workbookViewId="0">
      <selection activeCell="D43" sqref="D43:U44"/>
    </sheetView>
  </sheetViews>
  <sheetFormatPr defaultRowHeight="15" x14ac:dyDescent="0.25"/>
  <cols>
    <col min="1" max="1" width="1.42578125" customWidth="1"/>
    <col min="2" max="2" width="58" customWidth="1"/>
    <col min="3" max="3" width="4.42578125" customWidth="1"/>
    <col min="4" max="15" width="12.5703125" customWidth="1"/>
    <col min="16" max="16" width="20" customWidth="1"/>
    <col min="17" max="17" width="75.85546875" customWidth="1"/>
  </cols>
  <sheetData>
    <row r="1" spans="1:18" ht="52.5" customHeight="1" x14ac:dyDescent="0.25">
      <c r="A1" s="1"/>
      <c r="B1" s="231" t="s">
        <v>190</v>
      </c>
      <c r="C1" s="231"/>
      <c r="D1" s="231"/>
      <c r="E1" s="231"/>
      <c r="F1" s="231"/>
      <c r="G1" s="231"/>
      <c r="H1" s="231"/>
      <c r="I1" s="231"/>
      <c r="J1" s="231"/>
      <c r="K1" s="231"/>
      <c r="L1" s="231"/>
      <c r="M1" s="231"/>
      <c r="N1" s="231"/>
      <c r="O1" s="231"/>
      <c r="P1" s="231"/>
      <c r="Q1" s="231"/>
      <c r="R1" s="166"/>
    </row>
    <row r="2" spans="1:18" ht="12.75" customHeight="1" x14ac:dyDescent="0.25">
      <c r="A2" s="1"/>
      <c r="B2" s="2" t="s">
        <v>58</v>
      </c>
      <c r="C2" s="2"/>
      <c r="D2" s="2"/>
      <c r="E2" s="2"/>
      <c r="F2" s="2"/>
      <c r="G2" s="2"/>
      <c r="H2" s="2"/>
      <c r="I2" s="2"/>
      <c r="J2" s="2"/>
      <c r="K2" s="2"/>
      <c r="L2" s="2"/>
      <c r="M2" s="2"/>
      <c r="N2" s="2"/>
      <c r="O2" s="2"/>
      <c r="P2" s="2"/>
      <c r="Q2" s="2"/>
      <c r="R2" s="2"/>
    </row>
    <row r="3" spans="1:18" ht="12.75" customHeight="1" x14ac:dyDescent="0.25">
      <c r="A3" s="1"/>
      <c r="B3" s="2" t="s">
        <v>128</v>
      </c>
      <c r="C3" s="1"/>
      <c r="D3" s="1"/>
      <c r="E3" s="1"/>
      <c r="F3" s="1"/>
      <c r="G3" s="1"/>
      <c r="H3" s="1"/>
      <c r="I3" s="1"/>
      <c r="J3" s="1"/>
      <c r="K3" s="1"/>
      <c r="L3" s="1"/>
      <c r="M3" s="1"/>
      <c r="N3" s="1"/>
      <c r="O3" s="1"/>
      <c r="P3" s="1"/>
      <c r="Q3" s="1"/>
      <c r="R3" s="1"/>
    </row>
    <row r="4" spans="1:18" ht="12.75" customHeight="1" x14ac:dyDescent="0.25">
      <c r="A4" s="1"/>
      <c r="B4" s="1"/>
      <c r="C4" s="1"/>
      <c r="D4" s="1"/>
      <c r="E4" s="1"/>
      <c r="F4" s="1"/>
      <c r="G4" s="1"/>
      <c r="H4" s="1"/>
      <c r="I4" s="1"/>
      <c r="J4" s="1"/>
      <c r="K4" s="1"/>
      <c r="L4" s="1"/>
      <c r="M4" s="1"/>
      <c r="N4" s="1"/>
      <c r="O4" s="1"/>
      <c r="P4" s="1"/>
      <c r="Q4" s="1"/>
      <c r="R4" s="1"/>
    </row>
    <row r="5" spans="1:18" ht="12.75" customHeight="1" x14ac:dyDescent="0.25">
      <c r="A5" s="1"/>
      <c r="B5" s="1"/>
      <c r="C5" s="1"/>
      <c r="D5" s="233" t="s">
        <v>129</v>
      </c>
      <c r="E5" s="234"/>
      <c r="F5" s="234"/>
      <c r="G5" s="234"/>
      <c r="H5" s="234"/>
      <c r="I5" s="234"/>
      <c r="J5" s="234"/>
      <c r="K5" s="234"/>
      <c r="L5" s="234"/>
      <c r="M5" s="234"/>
      <c r="N5" s="234"/>
      <c r="O5" s="235"/>
      <c r="P5" s="237" t="s">
        <v>272</v>
      </c>
      <c r="Q5" s="1"/>
      <c r="R5" s="1"/>
    </row>
    <row r="6" spans="1:18" ht="53.25" customHeight="1" x14ac:dyDescent="0.25">
      <c r="A6" s="1"/>
      <c r="B6" s="1"/>
      <c r="C6" s="1"/>
      <c r="D6" s="180" t="s">
        <v>44</v>
      </c>
      <c r="E6" s="181" t="s">
        <v>45</v>
      </c>
      <c r="F6" s="181" t="s">
        <v>46</v>
      </c>
      <c r="G6" s="181" t="s">
        <v>47</v>
      </c>
      <c r="H6" s="181" t="s">
        <v>48</v>
      </c>
      <c r="I6" s="181" t="s">
        <v>49</v>
      </c>
      <c r="J6" s="181" t="s">
        <v>52</v>
      </c>
      <c r="K6" s="181" t="s">
        <v>53</v>
      </c>
      <c r="L6" s="181" t="s">
        <v>54</v>
      </c>
      <c r="M6" s="181" t="s">
        <v>55</v>
      </c>
      <c r="N6" s="181" t="s">
        <v>56</v>
      </c>
      <c r="O6" s="182" t="s">
        <v>57</v>
      </c>
      <c r="P6" s="237"/>
      <c r="Q6" s="1"/>
      <c r="R6" s="1"/>
    </row>
    <row r="7" spans="1:18" x14ac:dyDescent="0.25">
      <c r="A7" s="1"/>
      <c r="B7" s="42" t="s">
        <v>83</v>
      </c>
      <c r="C7" s="45"/>
      <c r="D7" s="44"/>
      <c r="E7" s="45"/>
      <c r="F7" s="45"/>
      <c r="G7" s="45"/>
      <c r="H7" s="45"/>
      <c r="I7" s="45"/>
      <c r="J7" s="45"/>
      <c r="K7" s="45"/>
      <c r="L7" s="45"/>
      <c r="M7" s="45"/>
      <c r="N7" s="45"/>
      <c r="O7" s="43"/>
      <c r="P7" s="237"/>
      <c r="Q7" s="1"/>
      <c r="R7" s="1"/>
    </row>
    <row r="8" spans="1:18" ht="26.25" x14ac:dyDescent="0.25">
      <c r="A8" s="1"/>
      <c r="B8" s="74" t="str">
        <f>API</f>
        <v>Agricultural &amp; Pumping Interruptible (API)</v>
      </c>
      <c r="C8" s="31"/>
      <c r="D8" s="124">
        <v>23.743254995346071</v>
      </c>
      <c r="E8" s="125">
        <v>23.743254995346071</v>
      </c>
      <c r="F8" s="125">
        <v>23.743254995346071</v>
      </c>
      <c r="G8" s="125">
        <v>29.840860199226608</v>
      </c>
      <c r="H8" s="125">
        <v>29.840860199226608</v>
      </c>
      <c r="I8" s="125">
        <v>29.840860199226608</v>
      </c>
      <c r="J8" s="125">
        <v>29.840860199226608</v>
      </c>
      <c r="K8" s="125">
        <v>29.840860199226608</v>
      </c>
      <c r="L8" s="125">
        <v>29.840860199226608</v>
      </c>
      <c r="M8" s="125">
        <v>29.840860199226608</v>
      </c>
      <c r="N8" s="125">
        <v>29.840860199226608</v>
      </c>
      <c r="O8" s="125">
        <v>29.840860199226608</v>
      </c>
      <c r="P8" s="159">
        <v>12850</v>
      </c>
      <c r="Q8" s="162" t="s">
        <v>273</v>
      </c>
      <c r="R8" s="1"/>
    </row>
    <row r="9" spans="1:18" ht="26.25" x14ac:dyDescent="0.25">
      <c r="A9" s="1"/>
      <c r="B9" s="75" t="str">
        <f>BIP_15</f>
        <v>Base Interruptible Program (BIP) 15 Minute Option</v>
      </c>
      <c r="C9" s="73"/>
      <c r="D9" s="126">
        <v>3750.0886274509808</v>
      </c>
      <c r="E9" s="127">
        <v>3750.0886274509808</v>
      </c>
      <c r="F9" s="127">
        <v>3750.0886274509808</v>
      </c>
      <c r="G9" s="127">
        <v>3135.4116666749997</v>
      </c>
      <c r="H9" s="127">
        <v>3135.4116666749997</v>
      </c>
      <c r="I9" s="127">
        <v>3135.4116666749997</v>
      </c>
      <c r="J9" s="127">
        <v>3135.4116666749997</v>
      </c>
      <c r="K9" s="127">
        <v>3135.4116666749997</v>
      </c>
      <c r="L9" s="127">
        <v>3135.4116666749997</v>
      </c>
      <c r="M9" s="127">
        <v>3135.4116666749997</v>
      </c>
      <c r="N9" s="127">
        <v>3135.4116666749997</v>
      </c>
      <c r="O9" s="127">
        <v>3135.4116666749997</v>
      </c>
      <c r="P9" s="160">
        <v>7490</v>
      </c>
      <c r="Q9" s="163" t="s">
        <v>274</v>
      </c>
      <c r="R9" s="1"/>
    </row>
    <row r="10" spans="1:18" ht="26.25" x14ac:dyDescent="0.25">
      <c r="A10" s="1"/>
      <c r="B10" s="74" t="str">
        <f>BIP_30</f>
        <v>Base Interruptible Program (BIP) 30 Minute Option</v>
      </c>
      <c r="C10" s="31"/>
      <c r="D10" s="124">
        <v>699.75269035532995</v>
      </c>
      <c r="E10" s="125">
        <v>699.75269035532995</v>
      </c>
      <c r="F10" s="125">
        <v>699.75269035532995</v>
      </c>
      <c r="G10" s="125">
        <v>632.43180463576164</v>
      </c>
      <c r="H10" s="125">
        <v>632.43180463576164</v>
      </c>
      <c r="I10" s="125">
        <v>632.43180463576164</v>
      </c>
      <c r="J10" s="125">
        <v>632.43180463576164</v>
      </c>
      <c r="K10" s="125">
        <v>632.43180463576164</v>
      </c>
      <c r="L10" s="125">
        <v>632.43180463576164</v>
      </c>
      <c r="M10" s="125">
        <v>632.43180463576164</v>
      </c>
      <c r="N10" s="125">
        <v>632.43180463576164</v>
      </c>
      <c r="O10" s="125">
        <v>632.43180463576164</v>
      </c>
      <c r="P10" s="159">
        <v>7490</v>
      </c>
      <c r="Q10" s="162" t="s">
        <v>275</v>
      </c>
      <c r="R10" s="1"/>
    </row>
    <row r="11" spans="1:18" ht="39" x14ac:dyDescent="0.25">
      <c r="A11" s="1"/>
      <c r="B11" s="75" t="str">
        <f>CBP_DA</f>
        <v>Capacity Bidding Program (CBP) Day Ahead</v>
      </c>
      <c r="C11" s="164" t="s">
        <v>235</v>
      </c>
      <c r="D11" s="126">
        <v>282.58725866666663</v>
      </c>
      <c r="E11" s="127">
        <v>282.58725866666663</v>
      </c>
      <c r="F11" s="127">
        <v>282.58725866666663</v>
      </c>
      <c r="G11" s="127">
        <v>37.370007400000006</v>
      </c>
      <c r="H11" s="127">
        <v>7.4454668000000002</v>
      </c>
      <c r="I11" s="127">
        <v>7.4454668000000002</v>
      </c>
      <c r="J11" s="127">
        <v>7.4454668000000002</v>
      </c>
      <c r="K11" s="127">
        <v>7.4454668000000002</v>
      </c>
      <c r="L11" s="127">
        <v>7.4454668000000002</v>
      </c>
      <c r="M11" s="127">
        <v>7.4454668000000002</v>
      </c>
      <c r="N11" s="127">
        <v>37.370007400000006</v>
      </c>
      <c r="O11" s="127">
        <v>37.370007400000006</v>
      </c>
      <c r="P11" s="160">
        <v>5063770</v>
      </c>
      <c r="Q11" s="163" t="s">
        <v>276</v>
      </c>
      <c r="R11" s="1"/>
    </row>
    <row r="12" spans="1:18" ht="39" x14ac:dyDescent="0.25">
      <c r="A12" s="1"/>
      <c r="B12" s="74" t="str">
        <f>CBP_DO</f>
        <v>Capacity Bidding Program (CBP) Day Of</v>
      </c>
      <c r="C12" s="31"/>
      <c r="D12" s="124">
        <v>-8.6657098461538453</v>
      </c>
      <c r="E12" s="125">
        <v>-8.6657098461538453</v>
      </c>
      <c r="F12" s="125">
        <v>-8.6657098461538453</v>
      </c>
      <c r="G12" s="125">
        <v>6.415321399999999</v>
      </c>
      <c r="H12" s="125">
        <v>5.2177673999999996</v>
      </c>
      <c r="I12" s="125">
        <v>5.2177673999999996</v>
      </c>
      <c r="J12" s="125">
        <v>5.2177673999999996</v>
      </c>
      <c r="K12" s="125">
        <v>5.2177673999999996</v>
      </c>
      <c r="L12" s="125">
        <v>5.2177673999999996</v>
      </c>
      <c r="M12" s="125">
        <v>5.2177673999999996</v>
      </c>
      <c r="N12" s="125">
        <v>6.415321399999999</v>
      </c>
      <c r="O12" s="125">
        <v>6.415321399999999</v>
      </c>
      <c r="P12" s="159">
        <v>5063770</v>
      </c>
      <c r="Q12" s="162" t="s">
        <v>276</v>
      </c>
      <c r="R12" s="1"/>
    </row>
    <row r="13" spans="1:18" ht="39" x14ac:dyDescent="0.25">
      <c r="A13" s="1"/>
      <c r="B13" s="75" t="str">
        <f>SEP</f>
        <v>Smart Energy Program (SEP)</v>
      </c>
      <c r="C13" s="73"/>
      <c r="D13" s="126">
        <v>0.45869883894920349</v>
      </c>
      <c r="E13" s="127">
        <v>0.45869883894920349</v>
      </c>
      <c r="F13" s="127">
        <v>0.45869883894920349</v>
      </c>
      <c r="G13" s="127">
        <v>0.72610169649124146</v>
      </c>
      <c r="H13" s="127">
        <v>0.72610169649124146</v>
      </c>
      <c r="I13" s="127">
        <v>0.72610169649124146</v>
      </c>
      <c r="J13" s="127">
        <v>0.72610169649124146</v>
      </c>
      <c r="K13" s="127">
        <v>0.72610169649124146</v>
      </c>
      <c r="L13" s="127">
        <v>0.72610169649124146</v>
      </c>
      <c r="M13" s="127">
        <v>0.72610169649124146</v>
      </c>
      <c r="N13" s="127">
        <v>0.72610169649124146</v>
      </c>
      <c r="O13" s="127">
        <v>0.72610169649124146</v>
      </c>
      <c r="P13" s="160">
        <v>1552071</v>
      </c>
      <c r="Q13" s="163" t="s">
        <v>277</v>
      </c>
      <c r="R13" s="1"/>
    </row>
    <row r="14" spans="1:18" ht="26.25" x14ac:dyDescent="0.25">
      <c r="A14" s="1"/>
      <c r="B14" s="74" t="str">
        <f>SDPC</f>
        <v>Summer Discount Plan Program (SDP) - Commercial</v>
      </c>
      <c r="C14" s="31"/>
      <c r="D14" s="124">
        <v>1.8112860333333334</v>
      </c>
      <c r="E14" s="125">
        <v>1.8112860333333334</v>
      </c>
      <c r="F14" s="125">
        <v>1.8112860333333334</v>
      </c>
      <c r="G14" s="125">
        <v>1.9993953704833984</v>
      </c>
      <c r="H14" s="125">
        <v>1.9993953704833984</v>
      </c>
      <c r="I14" s="125">
        <v>1.9993953704833984</v>
      </c>
      <c r="J14" s="125">
        <v>1.9993953704833984</v>
      </c>
      <c r="K14" s="125">
        <v>1.9993953704833984</v>
      </c>
      <c r="L14" s="125">
        <v>1.9993953704833984</v>
      </c>
      <c r="M14" s="125">
        <v>1.9993953704833984</v>
      </c>
      <c r="N14" s="125">
        <v>1.9993953704833984</v>
      </c>
      <c r="O14" s="125">
        <v>1.9993953704833984</v>
      </c>
      <c r="P14" s="159">
        <v>279114</v>
      </c>
      <c r="Q14" s="162" t="s">
        <v>278</v>
      </c>
      <c r="R14" s="1"/>
    </row>
    <row r="15" spans="1:18" ht="39" x14ac:dyDescent="0.25">
      <c r="A15" s="1"/>
      <c r="B15" s="75" t="str">
        <f>SDPR</f>
        <v>Summer Discount Plan Program (SDP) - Residential</v>
      </c>
      <c r="C15" s="73"/>
      <c r="D15" s="126">
        <v>1.1094608533333334</v>
      </c>
      <c r="E15" s="127">
        <v>1.1094608533333334</v>
      </c>
      <c r="F15" s="127">
        <v>1.1094608533333334</v>
      </c>
      <c r="G15" s="127">
        <v>0.75923669338226318</v>
      </c>
      <c r="H15" s="127">
        <v>0.75923669338226318</v>
      </c>
      <c r="I15" s="127">
        <v>0.75923669338226318</v>
      </c>
      <c r="J15" s="127">
        <v>0.75923669338226318</v>
      </c>
      <c r="K15" s="127">
        <v>0.75923669338226318</v>
      </c>
      <c r="L15" s="127">
        <v>0.75923669338226318</v>
      </c>
      <c r="M15" s="127">
        <v>0.75923669338226318</v>
      </c>
      <c r="N15" s="127">
        <v>0.75923669338226318</v>
      </c>
      <c r="O15" s="127">
        <v>0.75923669338226318</v>
      </c>
      <c r="P15" s="160">
        <v>2125093</v>
      </c>
      <c r="Q15" s="163" t="s">
        <v>279</v>
      </c>
      <c r="R15" s="1"/>
    </row>
    <row r="16" spans="1:18" x14ac:dyDescent="0.25">
      <c r="A16" s="1"/>
      <c r="B16" s="40" t="s">
        <v>50</v>
      </c>
      <c r="C16" s="31"/>
      <c r="D16" s="74"/>
      <c r="E16" s="31"/>
      <c r="F16" s="31"/>
      <c r="G16" s="31"/>
      <c r="H16" s="31"/>
      <c r="I16" s="31"/>
      <c r="J16" s="31"/>
      <c r="K16" s="31"/>
      <c r="L16" s="31"/>
      <c r="M16" s="31"/>
      <c r="N16" s="31"/>
      <c r="O16" s="31"/>
      <c r="P16" s="76"/>
      <c r="Q16" s="162"/>
      <c r="R16" s="1"/>
    </row>
    <row r="17" spans="1:18" ht="51.75" x14ac:dyDescent="0.25">
      <c r="A17" s="1"/>
      <c r="B17" s="75" t="str">
        <f>CPP_SM</f>
        <v>Critical Peak Pricing - Small 0 to 20 kW</v>
      </c>
      <c r="C17" s="73"/>
      <c r="D17" s="126">
        <v>3.7047999999999998E-3</v>
      </c>
      <c r="E17" s="127">
        <v>3.7047999999999998E-3</v>
      </c>
      <c r="F17" s="127">
        <v>3.7047999999999998E-3</v>
      </c>
      <c r="G17" s="127">
        <v>3.4194000000000004E-3</v>
      </c>
      <c r="H17" s="127">
        <v>3.4194000000000004E-3</v>
      </c>
      <c r="I17" s="127">
        <v>3.4194000000000004E-3</v>
      </c>
      <c r="J17" s="127">
        <v>3.4194000000000004E-3</v>
      </c>
      <c r="K17" s="127">
        <v>3.4194000000000004E-3</v>
      </c>
      <c r="L17" s="127">
        <v>3.4194000000000004E-3</v>
      </c>
      <c r="M17" s="127">
        <v>3.4194000000000004E-3</v>
      </c>
      <c r="N17" s="127">
        <v>3.4194000000000004E-3</v>
      </c>
      <c r="O17" s="127">
        <v>3.4194000000000004E-3</v>
      </c>
      <c r="P17" s="160">
        <v>3667220</v>
      </c>
      <c r="Q17" s="163" t="s">
        <v>280</v>
      </c>
      <c r="R17" s="1"/>
    </row>
    <row r="18" spans="1:18" ht="51.75" x14ac:dyDescent="0.25">
      <c r="A18" s="1"/>
      <c r="B18" s="74" t="str">
        <f>CPP_MED</f>
        <v>Critical Peak Pricing - Med 20 to 199.99 kW</v>
      </c>
      <c r="C18" s="31"/>
      <c r="D18" s="124">
        <v>0.11438440000000001</v>
      </c>
      <c r="E18" s="125">
        <v>0.11438440000000001</v>
      </c>
      <c r="F18" s="125">
        <v>0.11438440000000001</v>
      </c>
      <c r="G18" s="125">
        <v>0.16774639999999999</v>
      </c>
      <c r="H18" s="125">
        <v>0.16774639999999999</v>
      </c>
      <c r="I18" s="125">
        <v>0.16774639999999999</v>
      </c>
      <c r="J18" s="125">
        <v>0.16774639999999999</v>
      </c>
      <c r="K18" s="125">
        <v>0.16774639999999999</v>
      </c>
      <c r="L18" s="125">
        <v>0.16774639999999999</v>
      </c>
      <c r="M18" s="125">
        <v>0.16774639999999999</v>
      </c>
      <c r="N18" s="125">
        <v>0.16774639999999999</v>
      </c>
      <c r="O18" s="125">
        <v>0.16774639999999999</v>
      </c>
      <c r="P18" s="159">
        <v>47932</v>
      </c>
      <c r="Q18" s="162" t="s">
        <v>281</v>
      </c>
      <c r="R18" s="1"/>
    </row>
    <row r="19" spans="1:18" ht="51.75" x14ac:dyDescent="0.25">
      <c r="A19" s="1"/>
      <c r="B19" s="75" t="str">
        <f>CPP_LG</f>
        <v>Critical Peak Pricing - Large 20 kW and Above</v>
      </c>
      <c r="C19" s="73"/>
      <c r="D19" s="126">
        <v>4.3884609999999995</v>
      </c>
      <c r="E19" s="127">
        <v>4.3884609999999995</v>
      </c>
      <c r="F19" s="127">
        <v>4.3884609999999995</v>
      </c>
      <c r="G19" s="127">
        <v>5.7124948</v>
      </c>
      <c r="H19" s="127">
        <v>5.7124948</v>
      </c>
      <c r="I19" s="127">
        <v>5.7124948</v>
      </c>
      <c r="J19" s="127">
        <v>5.7124948</v>
      </c>
      <c r="K19" s="127">
        <v>5.7124948</v>
      </c>
      <c r="L19" s="127">
        <v>5.7124948</v>
      </c>
      <c r="M19" s="127">
        <v>5.7124948</v>
      </c>
      <c r="N19" s="127">
        <v>5.7124948</v>
      </c>
      <c r="O19" s="127">
        <v>5.7124948</v>
      </c>
      <c r="P19" s="160">
        <v>5505</v>
      </c>
      <c r="Q19" s="163" t="s">
        <v>282</v>
      </c>
      <c r="R19" s="1"/>
    </row>
    <row r="20" spans="1:18" ht="15.75" x14ac:dyDescent="0.25">
      <c r="A20" s="1"/>
      <c r="B20" s="74" t="str">
        <f>OBMC</f>
        <v>Optional Binding Mandatory Curtailment (OBMC)</v>
      </c>
      <c r="C20" s="165" t="s">
        <v>231</v>
      </c>
      <c r="D20" s="124">
        <v>1517</v>
      </c>
      <c r="E20" s="125">
        <v>1517</v>
      </c>
      <c r="F20" s="125">
        <v>1517</v>
      </c>
      <c r="G20" s="125">
        <v>1517</v>
      </c>
      <c r="H20" s="125">
        <v>1517</v>
      </c>
      <c r="I20" s="125">
        <v>1517</v>
      </c>
      <c r="J20" s="125">
        <v>1517</v>
      </c>
      <c r="K20" s="125">
        <v>1517</v>
      </c>
      <c r="L20" s="125">
        <v>1517</v>
      </c>
      <c r="M20" s="125">
        <v>1517</v>
      </c>
      <c r="N20" s="125">
        <v>1517</v>
      </c>
      <c r="O20" s="125">
        <v>1517</v>
      </c>
      <c r="P20" s="159" t="s">
        <v>198</v>
      </c>
      <c r="Q20" s="162" t="s">
        <v>222</v>
      </c>
      <c r="R20" s="1"/>
    </row>
    <row r="21" spans="1:18" x14ac:dyDescent="0.25">
      <c r="A21" s="1"/>
      <c r="B21" s="75" t="str">
        <f>RTP</f>
        <v>Real Time Pricing (RTP)</v>
      </c>
      <c r="C21" s="73"/>
      <c r="D21" s="126">
        <v>0</v>
      </c>
      <c r="E21" s="127">
        <v>0</v>
      </c>
      <c r="F21" s="127">
        <v>0</v>
      </c>
      <c r="G21" s="200">
        <v>0.116748046875</v>
      </c>
      <c r="H21" s="200">
        <v>-6.633758544921875</v>
      </c>
      <c r="I21" s="200">
        <v>-16.072131347656249</v>
      </c>
      <c r="J21" s="200">
        <v>-15.901828002929687</v>
      </c>
      <c r="K21" s="200">
        <v>-15.6541748046875</v>
      </c>
      <c r="L21" s="200">
        <v>-15.387786865234375</v>
      </c>
      <c r="M21" s="200">
        <v>-5.3911254882812498</v>
      </c>
      <c r="N21" s="200">
        <v>-7.135345458984375</v>
      </c>
      <c r="O21" s="200">
        <v>-0.461944580078125</v>
      </c>
      <c r="P21" s="160">
        <v>463507</v>
      </c>
      <c r="Q21" s="163" t="s">
        <v>223</v>
      </c>
      <c r="R21" s="1"/>
    </row>
    <row r="22" spans="1:18" ht="26.25" x14ac:dyDescent="0.25">
      <c r="A22" s="1"/>
      <c r="B22" s="74" t="str">
        <f>SLRP</f>
        <v>Scheduled Load Reduction Program (SLRP)</v>
      </c>
      <c r="C22" s="31"/>
      <c r="D22" s="124" t="s">
        <v>198</v>
      </c>
      <c r="E22" s="125" t="s">
        <v>198</v>
      </c>
      <c r="F22" s="125" t="s">
        <v>198</v>
      </c>
      <c r="G22" s="125" t="s">
        <v>198</v>
      </c>
      <c r="H22" s="125" t="s">
        <v>198</v>
      </c>
      <c r="I22" s="125" t="s">
        <v>198</v>
      </c>
      <c r="J22" s="125" t="s">
        <v>198</v>
      </c>
      <c r="K22" s="125" t="s">
        <v>198</v>
      </c>
      <c r="L22" s="125" t="s">
        <v>198</v>
      </c>
      <c r="M22" s="125" t="s">
        <v>198</v>
      </c>
      <c r="N22" s="125" t="s">
        <v>198</v>
      </c>
      <c r="O22" s="125" t="s">
        <v>198</v>
      </c>
      <c r="P22" s="159">
        <v>16596</v>
      </c>
      <c r="Q22" s="162" t="s">
        <v>283</v>
      </c>
      <c r="R22" s="1"/>
    </row>
    <row r="23" spans="1:18" ht="12.75" customHeight="1" x14ac:dyDescent="0.25">
      <c r="A23" s="1"/>
      <c r="B23" s="39"/>
      <c r="C23" s="39"/>
      <c r="D23" s="39"/>
      <c r="E23" s="39"/>
      <c r="F23" s="39"/>
      <c r="G23" s="39"/>
      <c r="H23" s="39"/>
      <c r="I23" s="39"/>
      <c r="J23" s="39"/>
      <c r="K23" s="39"/>
      <c r="L23" s="39"/>
      <c r="M23" s="39"/>
      <c r="N23" s="39"/>
      <c r="O23" s="39"/>
      <c r="P23" s="39"/>
      <c r="Q23" s="39"/>
      <c r="R23" s="1"/>
    </row>
    <row r="24" spans="1:18" ht="12.75" customHeight="1" x14ac:dyDescent="0.25">
      <c r="A24" s="1"/>
      <c r="B24" s="2" t="s">
        <v>67</v>
      </c>
      <c r="C24" s="39"/>
      <c r="D24" s="39"/>
      <c r="E24" s="39"/>
      <c r="F24" s="39"/>
      <c r="G24" s="39"/>
      <c r="H24" s="39"/>
      <c r="I24" s="39"/>
      <c r="J24" s="39"/>
      <c r="K24" s="39"/>
      <c r="L24" s="39"/>
      <c r="M24" s="39"/>
      <c r="N24" s="39"/>
      <c r="O24" s="39"/>
      <c r="P24" s="39"/>
      <c r="Q24" s="39"/>
      <c r="R24" s="1"/>
    </row>
    <row r="25" spans="1:18" ht="12.75" customHeight="1" x14ac:dyDescent="0.25">
      <c r="A25" s="1"/>
      <c r="B25" s="236" t="s">
        <v>232</v>
      </c>
      <c r="C25" s="236"/>
      <c r="D25" s="236"/>
      <c r="E25" s="236"/>
      <c r="F25" s="236"/>
      <c r="G25" s="236"/>
      <c r="H25" s="236"/>
      <c r="I25" s="236"/>
      <c r="J25" s="236"/>
      <c r="K25" s="236"/>
      <c r="L25" s="236"/>
      <c r="M25" s="236"/>
      <c r="N25" s="236"/>
      <c r="O25" s="236"/>
      <c r="P25" s="236"/>
      <c r="Q25" s="236"/>
      <c r="R25" s="1"/>
    </row>
    <row r="26" spans="1:18" x14ac:dyDescent="0.25">
      <c r="A26" s="1"/>
      <c r="B26" s="238" t="s">
        <v>233</v>
      </c>
      <c r="C26" s="238"/>
      <c r="D26" s="238"/>
      <c r="E26" s="238"/>
      <c r="F26" s="238"/>
      <c r="G26" s="238"/>
      <c r="H26" s="238"/>
      <c r="I26" s="238"/>
      <c r="J26" s="238"/>
      <c r="K26" s="238"/>
      <c r="L26" s="238"/>
      <c r="M26" s="238"/>
      <c r="N26" s="238"/>
      <c r="O26" s="238"/>
      <c r="P26" s="238"/>
      <c r="Q26" s="238"/>
      <c r="R26" s="1"/>
    </row>
    <row r="27" spans="1:18" x14ac:dyDescent="0.25">
      <c r="A27" s="1"/>
      <c r="B27" s="1"/>
      <c r="C27" s="1"/>
      <c r="D27" s="1"/>
      <c r="E27" s="1"/>
      <c r="F27" s="1"/>
      <c r="G27" s="1"/>
      <c r="H27" s="1"/>
      <c r="I27" s="1"/>
      <c r="J27" s="1"/>
      <c r="K27" s="1"/>
      <c r="L27" s="1"/>
      <c r="M27" s="1"/>
      <c r="N27" s="1"/>
      <c r="O27" s="1"/>
      <c r="P27" s="1"/>
      <c r="Q27" s="1"/>
      <c r="R27" s="1"/>
    </row>
    <row r="28" spans="1:18" x14ac:dyDescent="0.25">
      <c r="A28" s="1"/>
      <c r="B28" s="1"/>
      <c r="C28" s="1"/>
      <c r="D28" s="1"/>
      <c r="E28" s="1"/>
      <c r="F28" s="1"/>
      <c r="G28" s="1"/>
      <c r="H28" s="1"/>
      <c r="I28" s="1"/>
      <c r="J28" s="1"/>
      <c r="K28" s="1"/>
      <c r="L28" s="1"/>
      <c r="M28" s="1"/>
      <c r="N28" s="1"/>
      <c r="O28" s="1"/>
      <c r="P28" s="1"/>
      <c r="Q28" s="1"/>
      <c r="R28" s="1"/>
    </row>
    <row r="29" spans="1:18" ht="12.75" customHeight="1" x14ac:dyDescent="0.25">
      <c r="A29" s="1"/>
      <c r="B29" s="1"/>
      <c r="C29" s="1"/>
      <c r="D29" s="233" t="s">
        <v>130</v>
      </c>
      <c r="E29" s="234"/>
      <c r="F29" s="234"/>
      <c r="G29" s="234"/>
      <c r="H29" s="234"/>
      <c r="I29" s="234"/>
      <c r="J29" s="234"/>
      <c r="K29" s="234"/>
      <c r="L29" s="234"/>
      <c r="M29" s="234"/>
      <c r="N29" s="234"/>
      <c r="O29" s="235"/>
      <c r="P29" s="237" t="s">
        <v>272</v>
      </c>
      <c r="Q29" s="1"/>
      <c r="R29" s="1"/>
    </row>
    <row r="30" spans="1:18" ht="53.25" customHeight="1" x14ac:dyDescent="0.25">
      <c r="A30" s="1"/>
      <c r="B30" s="1"/>
      <c r="C30" s="1"/>
      <c r="D30" s="180" t="s">
        <v>44</v>
      </c>
      <c r="E30" s="181" t="s">
        <v>45</v>
      </c>
      <c r="F30" s="181" t="s">
        <v>46</v>
      </c>
      <c r="G30" s="181" t="s">
        <v>47</v>
      </c>
      <c r="H30" s="181" t="s">
        <v>48</v>
      </c>
      <c r="I30" s="181" t="s">
        <v>49</v>
      </c>
      <c r="J30" s="181" t="s">
        <v>52</v>
      </c>
      <c r="K30" s="181" t="s">
        <v>53</v>
      </c>
      <c r="L30" s="181" t="s">
        <v>54</v>
      </c>
      <c r="M30" s="181" t="s">
        <v>55</v>
      </c>
      <c r="N30" s="181" t="s">
        <v>56</v>
      </c>
      <c r="O30" s="182" t="s">
        <v>57</v>
      </c>
      <c r="P30" s="237"/>
      <c r="Q30" s="1"/>
      <c r="R30" s="1"/>
    </row>
    <row r="31" spans="1:18" x14ac:dyDescent="0.25">
      <c r="A31" s="1"/>
      <c r="B31" s="42" t="s">
        <v>83</v>
      </c>
      <c r="C31" s="45"/>
      <c r="D31" s="44"/>
      <c r="E31" s="45"/>
      <c r="F31" s="45"/>
      <c r="G31" s="45"/>
      <c r="H31" s="45"/>
      <c r="I31" s="45"/>
      <c r="J31" s="45"/>
      <c r="K31" s="45"/>
      <c r="L31" s="45"/>
      <c r="M31" s="45"/>
      <c r="N31" s="45"/>
      <c r="O31" s="43"/>
      <c r="P31" s="237"/>
      <c r="Q31" s="1"/>
      <c r="R31" s="1"/>
    </row>
    <row r="32" spans="1:18" ht="26.25" x14ac:dyDescent="0.25">
      <c r="A32" s="1"/>
      <c r="B32" s="74" t="str">
        <f>API</f>
        <v>Agricultural &amp; Pumping Interruptible (API)</v>
      </c>
      <c r="C32" s="31"/>
      <c r="D32" s="124">
        <v>9.3687674932479847</v>
      </c>
      <c r="E32" s="125">
        <v>8.9873742545700068</v>
      </c>
      <c r="F32" s="125">
        <v>13.575469333419798</v>
      </c>
      <c r="G32" s="125">
        <v>24.630709648132324</v>
      </c>
      <c r="H32" s="125">
        <v>30.327731323242187</v>
      </c>
      <c r="I32" s="125">
        <v>35.268162918090823</v>
      </c>
      <c r="J32" s="125">
        <v>36.421836662292478</v>
      </c>
      <c r="K32" s="125">
        <v>32.259955215454099</v>
      </c>
      <c r="L32" s="125">
        <v>23.915012454986574</v>
      </c>
      <c r="M32" s="125">
        <v>19.077589988708496</v>
      </c>
      <c r="N32" s="125">
        <v>10.461921501159669</v>
      </c>
      <c r="O32" s="125">
        <v>6.4036185264587404</v>
      </c>
      <c r="P32" s="159">
        <v>12850</v>
      </c>
      <c r="Q32" s="162" t="s">
        <v>273</v>
      </c>
      <c r="R32" s="1"/>
    </row>
    <row r="33" spans="1:18" ht="26.25" x14ac:dyDescent="0.25">
      <c r="A33" s="1"/>
      <c r="B33" s="75" t="str">
        <f>BIP_15</f>
        <v>Base Interruptible Program (BIP) 15 Minute Option</v>
      </c>
      <c r="C33" s="73"/>
      <c r="D33" s="126">
        <v>3218.6922000000004</v>
      </c>
      <c r="E33" s="127">
        <v>3461.1626000000006</v>
      </c>
      <c r="F33" s="127">
        <v>3198.1469999999999</v>
      </c>
      <c r="G33" s="127">
        <v>3863.2584000000002</v>
      </c>
      <c r="H33" s="127">
        <v>3971.9194000000002</v>
      </c>
      <c r="I33" s="127">
        <v>3996.4317999999998</v>
      </c>
      <c r="J33" s="127">
        <v>4058.8229999999994</v>
      </c>
      <c r="K33" s="127">
        <v>4065.4123999999997</v>
      </c>
      <c r="L33" s="127">
        <v>4147.7287999999999</v>
      </c>
      <c r="M33" s="127">
        <v>4146.4733999999999</v>
      </c>
      <c r="N33" s="127">
        <v>4239.1304</v>
      </c>
      <c r="O33" s="127">
        <v>3694.7937999999995</v>
      </c>
      <c r="P33" s="160">
        <v>7490</v>
      </c>
      <c r="Q33" s="163" t="s">
        <v>274</v>
      </c>
      <c r="R33" s="1"/>
    </row>
    <row r="34" spans="1:18" ht="26.25" x14ac:dyDescent="0.25">
      <c r="A34" s="1"/>
      <c r="B34" s="74" t="str">
        <f>BIP_30</f>
        <v>Base Interruptible Program (BIP) 30 Minute Option</v>
      </c>
      <c r="C34" s="31"/>
      <c r="D34" s="124">
        <v>1027.4862000000001</v>
      </c>
      <c r="E34" s="125">
        <v>1122.086</v>
      </c>
      <c r="F34" s="125">
        <v>1020.3368</v>
      </c>
      <c r="G34" s="125">
        <v>1120.1835999999998</v>
      </c>
      <c r="H34" s="125">
        <v>1065.06134</v>
      </c>
      <c r="I34" s="125">
        <v>1094.1505999999999</v>
      </c>
      <c r="J34" s="125">
        <v>1034.5624400000002</v>
      </c>
      <c r="K34" s="125">
        <v>1089.269</v>
      </c>
      <c r="L34" s="125">
        <v>1118.1792</v>
      </c>
      <c r="M34" s="125">
        <v>1057.4932000000001</v>
      </c>
      <c r="N34" s="125">
        <v>1086.3828000000001</v>
      </c>
      <c r="O34" s="125">
        <v>1012.68564</v>
      </c>
      <c r="P34" s="159">
        <v>7490</v>
      </c>
      <c r="Q34" s="162" t="s">
        <v>275</v>
      </c>
      <c r="R34" s="1"/>
    </row>
    <row r="35" spans="1:18" ht="39" x14ac:dyDescent="0.25">
      <c r="A35" s="1"/>
      <c r="B35" s="75" t="str">
        <f>CBP_DA</f>
        <v>Capacity Bidding Program (CBP) Day Ahead</v>
      </c>
      <c r="C35" s="73"/>
      <c r="D35" s="126">
        <v>0.82344500000000009</v>
      </c>
      <c r="E35" s="127">
        <v>0.82344500000000009</v>
      </c>
      <c r="F35" s="127">
        <v>0.82344500000000009</v>
      </c>
      <c r="G35" s="127">
        <v>0</v>
      </c>
      <c r="H35" s="127">
        <v>10.111364999999997</v>
      </c>
      <c r="I35" s="127">
        <v>10.117643000000001</v>
      </c>
      <c r="J35" s="127">
        <v>10.089724399999998</v>
      </c>
      <c r="K35" s="127">
        <v>10.133846199999999</v>
      </c>
      <c r="L35" s="127">
        <v>10.193114599999999</v>
      </c>
      <c r="M35" s="127">
        <v>10.275522</v>
      </c>
      <c r="N35" s="127">
        <v>0</v>
      </c>
      <c r="O35" s="127">
        <v>0</v>
      </c>
      <c r="P35" s="160">
        <v>5063770</v>
      </c>
      <c r="Q35" s="163" t="s">
        <v>276</v>
      </c>
      <c r="R35" s="1"/>
    </row>
    <row r="36" spans="1:18" ht="39" x14ac:dyDescent="0.25">
      <c r="A36" s="1"/>
      <c r="B36" s="74" t="str">
        <f>CBP_DO</f>
        <v>Capacity Bidding Program (CBP) Day Of</v>
      </c>
      <c r="C36" s="31"/>
      <c r="D36" s="124">
        <v>3.3574545999999996</v>
      </c>
      <c r="E36" s="125">
        <v>3.3574545999999996</v>
      </c>
      <c r="F36" s="125">
        <v>3.3574545999999996</v>
      </c>
      <c r="G36" s="125">
        <v>0</v>
      </c>
      <c r="H36" s="125">
        <v>5.9923963999999996</v>
      </c>
      <c r="I36" s="125">
        <v>5.9765626000000003</v>
      </c>
      <c r="J36" s="125">
        <v>5.9660544</v>
      </c>
      <c r="K36" s="125">
        <v>5.9835791999999994</v>
      </c>
      <c r="L36" s="125">
        <v>5.9970929999999996</v>
      </c>
      <c r="M36" s="125">
        <v>6.0016992</v>
      </c>
      <c r="N36" s="125">
        <v>0</v>
      </c>
      <c r="O36" s="125">
        <v>0</v>
      </c>
      <c r="P36" s="159">
        <v>5063770</v>
      </c>
      <c r="Q36" s="162" t="s">
        <v>276</v>
      </c>
      <c r="R36" s="1"/>
    </row>
    <row r="37" spans="1:18" ht="39" x14ac:dyDescent="0.25">
      <c r="A37" s="1"/>
      <c r="B37" s="75" t="str">
        <f>SEP</f>
        <v>Smart Energy Program (SEP)</v>
      </c>
      <c r="C37" s="73"/>
      <c r="D37" s="126">
        <v>0</v>
      </c>
      <c r="E37" s="127">
        <v>0</v>
      </c>
      <c r="F37" s="127">
        <v>1.0179747161900243E-2</v>
      </c>
      <c r="G37" s="127">
        <v>0.28083021640777589</v>
      </c>
      <c r="H37" s="127">
        <v>0.36740093231201171</v>
      </c>
      <c r="I37" s="127">
        <v>0.41059319972991942</v>
      </c>
      <c r="J37" s="127">
        <v>0.48965883255004883</v>
      </c>
      <c r="K37" s="127">
        <v>0.48971555233001707</v>
      </c>
      <c r="L37" s="127">
        <v>0.53384840488433838</v>
      </c>
      <c r="M37" s="127">
        <v>0.41699398756027223</v>
      </c>
      <c r="N37" s="127">
        <v>7.9251027107238775E-2</v>
      </c>
      <c r="O37" s="127">
        <v>0</v>
      </c>
      <c r="P37" s="160">
        <v>1552071</v>
      </c>
      <c r="Q37" s="163" t="s">
        <v>277</v>
      </c>
      <c r="R37" s="1"/>
    </row>
    <row r="38" spans="1:18" ht="26.25" x14ac:dyDescent="0.25">
      <c r="A38" s="1"/>
      <c r="B38" s="74" t="str">
        <f>SDPC</f>
        <v>Summer Discount Plan Program (SDP) - Commercial</v>
      </c>
      <c r="C38" s="31"/>
      <c r="D38" s="124">
        <v>1.6827942056657335</v>
      </c>
      <c r="E38" s="125">
        <v>1.8901581994160268</v>
      </c>
      <c r="F38" s="125">
        <v>1.3278222004579081</v>
      </c>
      <c r="G38" s="125">
        <v>2.0539485341639625</v>
      </c>
      <c r="H38" s="125">
        <v>1.9033033945269544</v>
      </c>
      <c r="I38" s="125">
        <v>2.3216029959003199</v>
      </c>
      <c r="J38" s="125">
        <v>2.4282560352539142</v>
      </c>
      <c r="K38" s="125">
        <v>2.2379580224417319</v>
      </c>
      <c r="L38" s="125">
        <v>2.4811548093062838</v>
      </c>
      <c r="M38" s="125">
        <v>1.8708568854939884</v>
      </c>
      <c r="N38" s="125">
        <v>1.5885631072570952</v>
      </c>
      <c r="O38" s="125">
        <v>1.6133164465015768</v>
      </c>
      <c r="P38" s="159">
        <v>279114</v>
      </c>
      <c r="Q38" s="162" t="s">
        <v>278</v>
      </c>
      <c r="R38" s="1"/>
    </row>
    <row r="39" spans="1:18" ht="39" x14ac:dyDescent="0.25">
      <c r="A39" s="1"/>
      <c r="B39" s="75" t="str">
        <f>SDPR</f>
        <v>Summer Discount Plan Program (SDP) - Residential</v>
      </c>
      <c r="C39" s="73"/>
      <c r="D39" s="126">
        <v>0</v>
      </c>
      <c r="E39" s="127">
        <v>0</v>
      </c>
      <c r="F39" s="127">
        <v>9.3958154768229336E-3</v>
      </c>
      <c r="G39" s="127">
        <v>8.0698309265547857E-2</v>
      </c>
      <c r="H39" s="127">
        <v>0.16065174584761605</v>
      </c>
      <c r="I39" s="127">
        <v>0.58200744622502565</v>
      </c>
      <c r="J39" s="127">
        <v>0.8487551952096215</v>
      </c>
      <c r="K39" s="127">
        <v>0.9174127036980213</v>
      </c>
      <c r="L39" s="127">
        <v>0.9480945389284422</v>
      </c>
      <c r="M39" s="127">
        <v>0.26333677666150901</v>
      </c>
      <c r="N39" s="127">
        <v>1.6289037852286702E-2</v>
      </c>
      <c r="O39" s="127">
        <v>0</v>
      </c>
      <c r="P39" s="160">
        <v>2125093</v>
      </c>
      <c r="Q39" s="163" t="s">
        <v>279</v>
      </c>
      <c r="R39" s="1"/>
    </row>
    <row r="40" spans="1:18" x14ac:dyDescent="0.25">
      <c r="A40" s="1"/>
      <c r="B40" s="40" t="s">
        <v>50</v>
      </c>
      <c r="C40" s="31"/>
      <c r="D40" s="74"/>
      <c r="E40" s="31"/>
      <c r="F40" s="31"/>
      <c r="G40" s="31"/>
      <c r="H40" s="31"/>
      <c r="I40" s="31"/>
      <c r="J40" s="31"/>
      <c r="K40" s="31"/>
      <c r="L40" s="31"/>
      <c r="M40" s="31"/>
      <c r="N40" s="31"/>
      <c r="O40" s="31"/>
      <c r="P40" s="76"/>
      <c r="Q40" s="162"/>
      <c r="R40" s="1"/>
    </row>
    <row r="41" spans="1:18" ht="51.75" x14ac:dyDescent="0.25">
      <c r="A41" s="1"/>
      <c r="B41" s="75" t="str">
        <f>CPP_SM</f>
        <v>Critical Peak Pricing - Small 0 to 20 kW</v>
      </c>
      <c r="C41" s="73"/>
      <c r="D41" s="126">
        <v>2.4177794146393477E-3</v>
      </c>
      <c r="E41" s="127">
        <v>2.4176778739359909E-3</v>
      </c>
      <c r="F41" s="127">
        <v>2.423686714765518E-3</v>
      </c>
      <c r="G41" s="127">
        <v>2.366E-3</v>
      </c>
      <c r="H41" s="127">
        <v>2.8415999999999997E-3</v>
      </c>
      <c r="I41" s="127">
        <v>3.1883999999999997E-3</v>
      </c>
      <c r="J41" s="127">
        <v>3.6315999999999996E-3</v>
      </c>
      <c r="K41" s="127">
        <v>3.7022000000000001E-3</v>
      </c>
      <c r="L41" s="127">
        <v>3.6174000000000006E-3</v>
      </c>
      <c r="M41" s="127">
        <v>3.127200000000001E-3</v>
      </c>
      <c r="N41" s="127">
        <v>2.1608E-3</v>
      </c>
      <c r="O41" s="127">
        <v>2.0583999999999997E-3</v>
      </c>
      <c r="P41" s="160">
        <v>3667220</v>
      </c>
      <c r="Q41" s="163" t="s">
        <v>280</v>
      </c>
      <c r="R41" s="1"/>
    </row>
    <row r="42" spans="1:18" ht="51.75" x14ac:dyDescent="0.25">
      <c r="A42" s="1"/>
      <c r="B42" s="74" t="str">
        <f>CPP_MED</f>
        <v>Critical Peak Pricing - Med 20 to 199.99 kW</v>
      </c>
      <c r="C42" s="31"/>
      <c r="D42" s="124">
        <v>4.8697799999999999E-2</v>
      </c>
      <c r="E42" s="125">
        <v>4.8686853641456578E-2</v>
      </c>
      <c r="F42" s="125">
        <v>5.2685885154061619E-2</v>
      </c>
      <c r="G42" s="125">
        <v>0.12899220000000003</v>
      </c>
      <c r="H42" s="125">
        <v>0.14477760000000001</v>
      </c>
      <c r="I42" s="125">
        <v>0.15204699999999999</v>
      </c>
      <c r="J42" s="125">
        <v>0.17250699999999997</v>
      </c>
      <c r="K42" s="125">
        <v>0.17852799999999999</v>
      </c>
      <c r="L42" s="125">
        <v>0.17809700000000001</v>
      </c>
      <c r="M42" s="125">
        <v>0.15412100000000001</v>
      </c>
      <c r="N42" s="125">
        <v>0.12020980000000001</v>
      </c>
      <c r="O42" s="125">
        <v>0.10887100000000001</v>
      </c>
      <c r="P42" s="159">
        <v>47932</v>
      </c>
      <c r="Q42" s="162" t="s">
        <v>281</v>
      </c>
      <c r="R42" s="1"/>
    </row>
    <row r="43" spans="1:18" ht="51.75" x14ac:dyDescent="0.25">
      <c r="A43" s="1"/>
      <c r="B43" s="75" t="str">
        <f>CPP_LG</f>
        <v>Critical Peak Pricing - Large 20 kW and Above</v>
      </c>
      <c r="C43" s="73"/>
      <c r="D43" s="126">
        <v>4.0609120000000001</v>
      </c>
      <c r="E43" s="127">
        <v>4.0610726000000001</v>
      </c>
      <c r="F43" s="127">
        <v>4.1093080000000004</v>
      </c>
      <c r="G43" s="127">
        <v>5.2049500000000002</v>
      </c>
      <c r="H43" s="127">
        <v>5.5152495999999998</v>
      </c>
      <c r="I43" s="127">
        <v>5.4835186</v>
      </c>
      <c r="J43" s="127">
        <v>5.870576999999999</v>
      </c>
      <c r="K43" s="127">
        <v>6.0541356000000004</v>
      </c>
      <c r="L43" s="127">
        <v>5.956074000000001</v>
      </c>
      <c r="M43" s="127">
        <v>5.5060946</v>
      </c>
      <c r="N43" s="127">
        <v>5.1372738</v>
      </c>
      <c r="O43" s="127">
        <v>4.5318386000000004</v>
      </c>
      <c r="P43" s="160">
        <v>5505</v>
      </c>
      <c r="Q43" s="163" t="s">
        <v>282</v>
      </c>
      <c r="R43" s="1"/>
    </row>
    <row r="44" spans="1:18" ht="15.75" x14ac:dyDescent="0.25">
      <c r="A44" s="1"/>
      <c r="B44" s="74" t="str">
        <f>OBMC</f>
        <v>Optional Binding Mandatory Curtailment (OBMC)</v>
      </c>
      <c r="C44" s="165" t="s">
        <v>231</v>
      </c>
      <c r="D44" s="124">
        <v>1596.9</v>
      </c>
      <c r="E44" s="125">
        <v>1599.4</v>
      </c>
      <c r="F44" s="125">
        <v>1601.1</v>
      </c>
      <c r="G44" s="125">
        <v>1555.4</v>
      </c>
      <c r="H44" s="125">
        <v>1609.8</v>
      </c>
      <c r="I44" s="125">
        <v>1524.3</v>
      </c>
      <c r="J44" s="125">
        <v>1510.6</v>
      </c>
      <c r="K44" s="125">
        <v>1532.1</v>
      </c>
      <c r="L44" s="125">
        <v>1469.2</v>
      </c>
      <c r="M44" s="125">
        <v>1450.6</v>
      </c>
      <c r="N44" s="125">
        <v>1498.3</v>
      </c>
      <c r="O44" s="125">
        <v>1348.1</v>
      </c>
      <c r="P44" s="159" t="s">
        <v>198</v>
      </c>
      <c r="Q44" s="162" t="s">
        <v>222</v>
      </c>
      <c r="R44" s="1"/>
    </row>
    <row r="45" spans="1:18" x14ac:dyDescent="0.25">
      <c r="A45" s="1"/>
      <c r="B45" s="75" t="str">
        <f>RTP</f>
        <v>Real Time Pricing (RTP)</v>
      </c>
      <c r="C45" s="73"/>
      <c r="D45" s="126">
        <v>0</v>
      </c>
      <c r="E45" s="127">
        <v>0</v>
      </c>
      <c r="F45" s="127">
        <v>0</v>
      </c>
      <c r="G45" s="200">
        <v>-2.0452941894531249</v>
      </c>
      <c r="H45" s="200">
        <v>-2.092803955078125</v>
      </c>
      <c r="I45" s="200">
        <v>88.695605468750003</v>
      </c>
      <c r="J45" s="200">
        <v>24.460275268554689</v>
      </c>
      <c r="K45" s="200">
        <v>25.630569458007813</v>
      </c>
      <c r="L45" s="200">
        <v>29.858706665039062</v>
      </c>
      <c r="M45" s="200">
        <v>2.5489746093750001</v>
      </c>
      <c r="N45" s="200">
        <v>0.25333862304687499</v>
      </c>
      <c r="O45" s="200">
        <v>0.20137786865234375</v>
      </c>
      <c r="P45" s="160">
        <v>463507</v>
      </c>
      <c r="Q45" s="163" t="s">
        <v>223</v>
      </c>
      <c r="R45" s="1"/>
    </row>
    <row r="46" spans="1:18" ht="26.25" x14ac:dyDescent="0.25">
      <c r="A46" s="1"/>
      <c r="B46" s="74" t="str">
        <f>SLRP</f>
        <v>Scheduled Load Reduction Program (SLRP)</v>
      </c>
      <c r="C46" s="31"/>
      <c r="D46" s="124" t="s">
        <v>198</v>
      </c>
      <c r="E46" s="125" t="s">
        <v>198</v>
      </c>
      <c r="F46" s="125" t="s">
        <v>198</v>
      </c>
      <c r="G46" s="125" t="s">
        <v>198</v>
      </c>
      <c r="H46" s="125" t="s">
        <v>198</v>
      </c>
      <c r="I46" s="125" t="s">
        <v>198</v>
      </c>
      <c r="J46" s="125" t="s">
        <v>198</v>
      </c>
      <c r="K46" s="125" t="s">
        <v>198</v>
      </c>
      <c r="L46" s="125" t="s">
        <v>198</v>
      </c>
      <c r="M46" s="125" t="s">
        <v>198</v>
      </c>
      <c r="N46" s="125" t="s">
        <v>198</v>
      </c>
      <c r="O46" s="125" t="s">
        <v>198</v>
      </c>
      <c r="P46" s="159">
        <v>16596</v>
      </c>
      <c r="Q46" s="162" t="s">
        <v>283</v>
      </c>
      <c r="R46" s="1"/>
    </row>
    <row r="47" spans="1:18" x14ac:dyDescent="0.25">
      <c r="A47" s="1"/>
      <c r="B47" s="1"/>
      <c r="C47" s="1"/>
      <c r="D47" s="1"/>
      <c r="E47" s="1"/>
      <c r="F47" s="1"/>
      <c r="G47" s="1"/>
      <c r="H47" s="1"/>
      <c r="I47" s="1"/>
      <c r="J47" s="1"/>
      <c r="K47" s="1"/>
      <c r="L47" s="1"/>
      <c r="M47" s="1"/>
      <c r="N47" s="1"/>
      <c r="O47" s="1"/>
      <c r="P47" s="1"/>
      <c r="Q47" s="1"/>
      <c r="R47" s="1"/>
    </row>
    <row r="48" spans="1:18" x14ac:dyDescent="0.25">
      <c r="A48" s="1"/>
      <c r="B48" s="1"/>
      <c r="C48" s="1"/>
      <c r="D48" s="1"/>
      <c r="E48" s="1"/>
      <c r="F48" s="1"/>
      <c r="G48" s="1"/>
      <c r="H48" s="1"/>
      <c r="I48" s="1"/>
      <c r="J48" s="1"/>
      <c r="K48" s="1"/>
      <c r="L48" s="1"/>
      <c r="M48" s="1"/>
      <c r="N48" s="1"/>
      <c r="O48" s="1"/>
      <c r="P48" s="1"/>
      <c r="Q48" s="1"/>
      <c r="R48" s="1"/>
    </row>
    <row r="49" spans="1:18" x14ac:dyDescent="0.25">
      <c r="A49" s="1"/>
      <c r="B49" s="2" t="s">
        <v>67</v>
      </c>
      <c r="C49" s="1"/>
      <c r="E49" s="1"/>
      <c r="F49" s="1"/>
      <c r="G49" s="1"/>
      <c r="H49" s="1"/>
      <c r="I49" s="1"/>
      <c r="J49" s="1"/>
      <c r="K49" s="1"/>
      <c r="L49" s="1"/>
      <c r="M49" s="1"/>
      <c r="N49" s="1"/>
      <c r="O49" s="1"/>
      <c r="P49" s="1"/>
      <c r="Q49" s="1"/>
      <c r="R49" s="1"/>
    </row>
    <row r="50" spans="1:18" ht="39" customHeight="1" x14ac:dyDescent="0.25">
      <c r="A50" s="1"/>
      <c r="B50" s="236" t="s">
        <v>293</v>
      </c>
      <c r="C50" s="236"/>
      <c r="D50" s="236"/>
      <c r="E50" s="236"/>
      <c r="F50" s="236"/>
      <c r="G50" s="236"/>
      <c r="H50" s="236"/>
      <c r="I50" s="236"/>
      <c r="J50" s="236"/>
      <c r="K50" s="236"/>
      <c r="L50" s="236"/>
      <c r="M50" s="236"/>
      <c r="N50" s="236"/>
      <c r="O50" s="236"/>
      <c r="P50" s="236"/>
      <c r="Q50" s="236"/>
      <c r="R50" s="1"/>
    </row>
    <row r="51" spans="1:18" ht="15" customHeight="1" x14ac:dyDescent="0.25">
      <c r="A51" s="1"/>
      <c r="B51" s="236" t="s">
        <v>234</v>
      </c>
      <c r="C51" s="236"/>
      <c r="D51" s="236"/>
      <c r="E51" s="236"/>
      <c r="F51" s="236"/>
      <c r="G51" s="236"/>
      <c r="H51" s="236"/>
      <c r="I51" s="236"/>
      <c r="J51" s="236"/>
      <c r="K51" s="236"/>
      <c r="L51" s="236"/>
      <c r="M51" s="236"/>
      <c r="N51" s="236"/>
      <c r="O51" s="236"/>
      <c r="P51" s="236"/>
      <c r="Q51" s="236"/>
      <c r="R51" s="1"/>
    </row>
    <row r="52" spans="1:18" x14ac:dyDescent="0.25">
      <c r="A52" s="1"/>
      <c r="B52" s="1"/>
      <c r="C52" s="1"/>
      <c r="D52" s="1"/>
      <c r="E52" s="1"/>
      <c r="F52" s="1"/>
      <c r="G52" s="1"/>
      <c r="H52" s="1"/>
      <c r="I52" s="1"/>
      <c r="J52" s="1"/>
      <c r="K52" s="1"/>
      <c r="L52" s="1"/>
      <c r="M52" s="1"/>
      <c r="N52" s="1"/>
      <c r="O52" s="1"/>
      <c r="P52" s="1"/>
      <c r="Q52" s="1"/>
      <c r="R52" s="1"/>
    </row>
    <row r="53" spans="1:18" x14ac:dyDescent="0.25">
      <c r="A53" s="1"/>
      <c r="B53" s="1"/>
      <c r="C53" s="1"/>
      <c r="D53" s="1"/>
      <c r="E53" s="1"/>
      <c r="F53" s="1"/>
      <c r="G53" s="1"/>
      <c r="H53" s="1"/>
      <c r="I53" s="1"/>
      <c r="J53" s="1"/>
      <c r="K53" s="1"/>
      <c r="L53" s="1"/>
      <c r="M53" s="1"/>
      <c r="N53" s="1"/>
      <c r="O53" s="1"/>
      <c r="P53" s="1"/>
      <c r="Q53" s="1"/>
      <c r="R53" s="1"/>
    </row>
    <row r="54" spans="1:18" x14ac:dyDescent="0.25">
      <c r="A54" s="1"/>
      <c r="B54" s="1"/>
      <c r="C54" s="1"/>
      <c r="D54" s="1"/>
      <c r="E54" s="1"/>
      <c r="F54" s="1"/>
      <c r="G54" s="1"/>
      <c r="H54" s="1"/>
      <c r="I54" s="1"/>
      <c r="J54" s="1"/>
      <c r="K54" s="1"/>
      <c r="L54" s="1"/>
      <c r="M54" s="1"/>
      <c r="N54" s="1"/>
      <c r="O54" s="1"/>
      <c r="P54" s="1"/>
      <c r="Q54" s="1"/>
      <c r="R54" s="1"/>
    </row>
    <row r="55" spans="1:18" x14ac:dyDescent="0.25">
      <c r="A55" s="1"/>
      <c r="B55" s="1"/>
      <c r="C55" s="1"/>
      <c r="D55" s="1"/>
      <c r="E55" s="1"/>
      <c r="F55" s="1"/>
      <c r="G55" s="1"/>
      <c r="H55" s="1"/>
      <c r="I55" s="1"/>
      <c r="J55" s="1"/>
      <c r="K55" s="1"/>
      <c r="L55" s="1"/>
      <c r="M55" s="1"/>
      <c r="N55" s="1"/>
      <c r="O55" s="1"/>
      <c r="P55" s="1"/>
      <c r="Q55" s="1"/>
      <c r="R55" s="1"/>
    </row>
    <row r="56" spans="1:18" x14ac:dyDescent="0.25">
      <c r="A56" s="1"/>
      <c r="B56" s="1"/>
      <c r="C56" s="1"/>
      <c r="D56" s="1"/>
      <c r="E56" s="1"/>
      <c r="F56" s="1"/>
      <c r="G56" s="1"/>
      <c r="H56" s="1"/>
      <c r="I56" s="1"/>
      <c r="J56" s="1"/>
      <c r="K56" s="1"/>
      <c r="L56" s="1"/>
      <c r="M56" s="1"/>
      <c r="N56" s="1"/>
      <c r="O56" s="1"/>
      <c r="P56" s="1"/>
      <c r="Q56" s="1"/>
      <c r="R56" s="1"/>
    </row>
    <row r="57" spans="1:18" x14ac:dyDescent="0.25">
      <c r="A57" s="1"/>
      <c r="B57" s="1"/>
      <c r="C57" s="1"/>
      <c r="D57" s="1"/>
      <c r="E57" s="1"/>
      <c r="F57" s="1"/>
      <c r="G57" s="1"/>
      <c r="H57" s="1"/>
      <c r="I57" s="1"/>
      <c r="J57" s="1"/>
      <c r="K57" s="1"/>
      <c r="L57" s="1"/>
      <c r="M57" s="1"/>
      <c r="N57" s="1"/>
      <c r="O57" s="1"/>
      <c r="P57" s="1"/>
      <c r="Q57" s="1"/>
      <c r="R57" s="1"/>
    </row>
  </sheetData>
  <mergeCells count="9">
    <mergeCell ref="B50:Q50"/>
    <mergeCell ref="B51:Q51"/>
    <mergeCell ref="B1:Q1"/>
    <mergeCell ref="D5:O5"/>
    <mergeCell ref="P5:P7"/>
    <mergeCell ref="D29:O29"/>
    <mergeCell ref="P29:P31"/>
    <mergeCell ref="B25:Q25"/>
    <mergeCell ref="B26:Q26"/>
  </mergeCells>
  <pageMargins left="0.7" right="0.7" top="0.75" bottom="0.75" header="0.3" footer="0.3"/>
  <pageSetup paperSize="5" scale="36" orientation="landscape" r:id="rId1"/>
  <headerFooter>
    <oddFooter>&amp;L&amp;F&amp;C-Public-&amp;RA-&amp;P</oddFooter>
  </headerFooter>
  <ignoredErrors>
    <ignoredError sqref="C11 C20 C4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BCE39-A752-448F-865D-FDDD7A1FE91C}">
  <sheetPr>
    <pageSetUpPr fitToPage="1"/>
  </sheetPr>
  <dimension ref="B1:O35"/>
  <sheetViews>
    <sheetView showGridLines="0" view="pageBreakPreview" topLeftCell="B1" zoomScale="70" zoomScaleNormal="90" zoomScaleSheetLayoutView="70" workbookViewId="0">
      <selection activeCell="D43" sqref="D43:U44"/>
    </sheetView>
  </sheetViews>
  <sheetFormatPr defaultRowHeight="15" x14ac:dyDescent="0.25"/>
  <cols>
    <col min="1" max="1" width="1.7109375" customWidth="1"/>
    <col min="2" max="2" width="65.42578125" customWidth="1"/>
    <col min="3" max="10" width="10.42578125" customWidth="1"/>
    <col min="11" max="11" width="12.85546875" bestFit="1" customWidth="1"/>
    <col min="12" max="12" width="10.7109375" bestFit="1" customWidth="1"/>
    <col min="13" max="13" width="12.42578125" bestFit="1" customWidth="1"/>
    <col min="14" max="14" width="12.140625" bestFit="1" customWidth="1"/>
  </cols>
  <sheetData>
    <row r="1" spans="2:15" ht="59.25" customHeight="1" x14ac:dyDescent="0.25">
      <c r="B1" s="231" t="s">
        <v>265</v>
      </c>
      <c r="C1" s="232"/>
      <c r="D1" s="232"/>
      <c r="E1" s="232"/>
      <c r="F1" s="232"/>
      <c r="G1" s="232"/>
      <c r="H1" s="232"/>
      <c r="I1" s="232"/>
      <c r="J1" s="232"/>
      <c r="K1" s="232"/>
      <c r="L1" s="232"/>
      <c r="M1" s="232"/>
      <c r="N1" s="232"/>
      <c r="O1" s="2"/>
    </row>
    <row r="2" spans="2:15" ht="13.5" customHeight="1" x14ac:dyDescent="0.25">
      <c r="B2" s="2" t="s">
        <v>58</v>
      </c>
      <c r="C2" s="2"/>
      <c r="D2" s="2"/>
      <c r="E2" s="2"/>
      <c r="F2" s="2"/>
      <c r="G2" s="2"/>
      <c r="H2" s="2"/>
      <c r="I2" s="2"/>
      <c r="J2" s="2"/>
      <c r="K2" s="2"/>
      <c r="L2" s="2"/>
      <c r="M2" s="2"/>
      <c r="N2" s="2"/>
      <c r="O2" s="2"/>
    </row>
    <row r="3" spans="2:15" ht="13.5" customHeight="1" x14ac:dyDescent="0.25">
      <c r="B3" s="2" t="s">
        <v>84</v>
      </c>
      <c r="C3" s="2"/>
      <c r="D3" s="2"/>
      <c r="E3" s="2"/>
      <c r="F3" s="2"/>
      <c r="G3" s="2"/>
      <c r="H3" s="2"/>
      <c r="I3" s="2"/>
      <c r="J3" s="2"/>
      <c r="K3" s="2"/>
      <c r="L3" s="2"/>
      <c r="M3" s="2"/>
      <c r="N3" s="2"/>
      <c r="O3" s="2"/>
    </row>
    <row r="4" spans="2:15" ht="18.75" customHeight="1" x14ac:dyDescent="0.25">
      <c r="B4" s="2"/>
      <c r="C4" s="2"/>
      <c r="D4" s="2"/>
      <c r="E4" s="2"/>
      <c r="F4" s="2"/>
      <c r="G4" s="2"/>
      <c r="H4" s="2"/>
      <c r="I4" s="2"/>
      <c r="J4" s="2"/>
      <c r="K4" s="2"/>
      <c r="L4" s="2"/>
      <c r="M4" s="2"/>
      <c r="N4" s="2"/>
      <c r="O4" s="2"/>
    </row>
    <row r="5" spans="2:15" ht="21" customHeight="1" x14ac:dyDescent="0.25">
      <c r="B5" s="2"/>
      <c r="C5" s="56" t="s">
        <v>44</v>
      </c>
      <c r="D5" s="56" t="s">
        <v>45</v>
      </c>
      <c r="E5" s="56" t="s">
        <v>46</v>
      </c>
      <c r="F5" s="56" t="s">
        <v>47</v>
      </c>
      <c r="G5" s="56" t="s">
        <v>48</v>
      </c>
      <c r="H5" s="56" t="s">
        <v>49</v>
      </c>
      <c r="I5" s="56" t="s">
        <v>52</v>
      </c>
      <c r="J5" s="56" t="s">
        <v>53</v>
      </c>
      <c r="K5" s="56" t="s">
        <v>54</v>
      </c>
      <c r="L5" s="56" t="s">
        <v>55</v>
      </c>
      <c r="M5" s="56" t="s">
        <v>56</v>
      </c>
      <c r="N5" s="56" t="s">
        <v>57</v>
      </c>
      <c r="O5" s="2"/>
    </row>
    <row r="6" spans="2:15" ht="41.25" customHeight="1" x14ac:dyDescent="0.25">
      <c r="B6" s="2"/>
      <c r="C6" s="55" t="s">
        <v>85</v>
      </c>
      <c r="D6" s="55" t="s">
        <v>85</v>
      </c>
      <c r="E6" s="55" t="s">
        <v>85</v>
      </c>
      <c r="F6" s="55" t="s">
        <v>85</v>
      </c>
      <c r="G6" s="55" t="s">
        <v>85</v>
      </c>
      <c r="H6" s="55" t="s">
        <v>85</v>
      </c>
      <c r="I6" s="55" t="s">
        <v>85</v>
      </c>
      <c r="J6" s="55" t="s">
        <v>85</v>
      </c>
      <c r="K6" s="55" t="s">
        <v>85</v>
      </c>
      <c r="L6" s="55" t="s">
        <v>85</v>
      </c>
      <c r="M6" s="55" t="s">
        <v>85</v>
      </c>
      <c r="N6" s="55" t="s">
        <v>85</v>
      </c>
      <c r="O6" s="2"/>
    </row>
    <row r="7" spans="2:15" ht="13.5" customHeight="1" x14ac:dyDescent="0.25">
      <c r="B7" s="17" t="s">
        <v>83</v>
      </c>
      <c r="C7" s="17"/>
      <c r="D7" s="17"/>
      <c r="E7" s="17"/>
      <c r="F7" s="17"/>
      <c r="G7" s="17"/>
      <c r="H7" s="17"/>
      <c r="I7" s="17"/>
      <c r="J7" s="17"/>
      <c r="K7" s="17"/>
      <c r="L7" s="17"/>
      <c r="M7" s="17"/>
      <c r="N7" s="47"/>
      <c r="O7" s="2"/>
    </row>
    <row r="8" spans="2:15" ht="13.5" customHeight="1" x14ac:dyDescent="0.25">
      <c r="B8" s="41" t="str">
        <f>CBPG</f>
        <v>Capacity Bidding Program (CBP)</v>
      </c>
      <c r="C8" s="172">
        <v>1.1000000000000001</v>
      </c>
      <c r="D8" s="172">
        <v>1.1000000000000001</v>
      </c>
      <c r="E8" s="172">
        <v>1.07</v>
      </c>
      <c r="F8" s="172">
        <v>1.1000000000000001</v>
      </c>
      <c r="G8" s="172">
        <v>1.1000000000000001</v>
      </c>
      <c r="H8" s="172">
        <v>1.1000000000000001</v>
      </c>
      <c r="I8" s="172">
        <v>1.1000000000000001</v>
      </c>
      <c r="J8" s="172">
        <v>1.1000000000000001</v>
      </c>
      <c r="K8" s="172">
        <v>1.07</v>
      </c>
      <c r="L8" s="172">
        <v>0.65</v>
      </c>
      <c r="M8" s="172">
        <v>0.65</v>
      </c>
      <c r="N8" s="172">
        <v>0.65</v>
      </c>
      <c r="O8" s="2"/>
    </row>
    <row r="9" spans="2:15" ht="13.5" customHeight="1" thickBot="1" x14ac:dyDescent="0.3">
      <c r="B9" s="51" t="s">
        <v>42</v>
      </c>
      <c r="C9" s="173">
        <f>SUM(C8)</f>
        <v>1.1000000000000001</v>
      </c>
      <c r="D9" s="173">
        <f t="shared" ref="D9:N9" si="0">SUM(D8)</f>
        <v>1.1000000000000001</v>
      </c>
      <c r="E9" s="173">
        <f t="shared" si="0"/>
        <v>1.07</v>
      </c>
      <c r="F9" s="173">
        <f t="shared" si="0"/>
        <v>1.1000000000000001</v>
      </c>
      <c r="G9" s="173">
        <f t="shared" si="0"/>
        <v>1.1000000000000001</v>
      </c>
      <c r="H9" s="173">
        <v>1.1000000000000001</v>
      </c>
      <c r="I9" s="173">
        <f t="shared" si="0"/>
        <v>1.1000000000000001</v>
      </c>
      <c r="J9" s="173">
        <f t="shared" si="0"/>
        <v>1.1000000000000001</v>
      </c>
      <c r="K9" s="173">
        <f t="shared" si="0"/>
        <v>1.07</v>
      </c>
      <c r="L9" s="173">
        <f t="shared" si="0"/>
        <v>0.65</v>
      </c>
      <c r="M9" s="173">
        <f t="shared" si="0"/>
        <v>0.65</v>
      </c>
      <c r="N9" s="173">
        <f t="shared" si="0"/>
        <v>0.65</v>
      </c>
      <c r="O9" s="2"/>
    </row>
    <row r="10" spans="2:15" ht="13.5" customHeight="1" thickTop="1" x14ac:dyDescent="0.25">
      <c r="B10" s="50"/>
      <c r="C10" s="184"/>
      <c r="D10" s="184"/>
      <c r="E10" s="184"/>
      <c r="F10" s="48"/>
      <c r="G10" s="48"/>
      <c r="H10" s="48"/>
      <c r="I10" s="48"/>
      <c r="J10" s="48"/>
      <c r="K10" s="48"/>
      <c r="L10" s="48"/>
      <c r="M10" s="48"/>
      <c r="N10" s="49"/>
      <c r="O10" s="2"/>
    </row>
    <row r="11" spans="2:15" ht="13.5" customHeight="1" x14ac:dyDescent="0.25">
      <c r="B11" s="52" t="s">
        <v>50</v>
      </c>
      <c r="C11" s="185"/>
      <c r="D11" s="185"/>
      <c r="E11" s="185"/>
      <c r="F11" s="17"/>
      <c r="G11" s="17"/>
      <c r="H11" s="17"/>
      <c r="I11" s="17"/>
      <c r="J11" s="17"/>
      <c r="K11" s="17"/>
      <c r="L11" s="17"/>
      <c r="M11" s="17"/>
      <c r="N11" s="17"/>
      <c r="O11" s="2"/>
    </row>
    <row r="12" spans="2:15" ht="13.5" customHeight="1" x14ac:dyDescent="0.25">
      <c r="B12" s="18" t="str">
        <f>CPP</f>
        <v>Critical Peak Pricing (CPP)</v>
      </c>
      <c r="C12" s="172">
        <v>0.1</v>
      </c>
      <c r="D12" s="172">
        <v>0.1</v>
      </c>
      <c r="E12" s="172">
        <v>0.13</v>
      </c>
      <c r="F12" s="172">
        <v>0.1</v>
      </c>
      <c r="G12" s="172">
        <v>0.1</v>
      </c>
      <c r="H12" s="172">
        <v>0.1</v>
      </c>
      <c r="I12" s="172">
        <v>0.2</v>
      </c>
      <c r="J12" s="172">
        <v>0.2</v>
      </c>
      <c r="K12" s="172">
        <v>0.16</v>
      </c>
      <c r="L12" s="172">
        <v>0.11</v>
      </c>
      <c r="M12" s="172">
        <v>0.11</v>
      </c>
      <c r="N12" s="172">
        <v>0.11</v>
      </c>
      <c r="O12" s="2"/>
    </row>
    <row r="13" spans="2:15" ht="13.5" customHeight="1" x14ac:dyDescent="0.25">
      <c r="B13" s="18" t="str">
        <f>RTP</f>
        <v>Real Time Pricing (RTP)</v>
      </c>
      <c r="C13" s="172">
        <v>0</v>
      </c>
      <c r="D13" s="172">
        <v>0</v>
      </c>
      <c r="E13" s="172">
        <v>0</v>
      </c>
      <c r="F13" s="172">
        <v>0</v>
      </c>
      <c r="G13" s="172">
        <v>0</v>
      </c>
      <c r="H13" s="172">
        <v>0</v>
      </c>
      <c r="I13" s="172">
        <v>0</v>
      </c>
      <c r="J13" s="172">
        <v>0</v>
      </c>
      <c r="K13" s="172">
        <v>0</v>
      </c>
      <c r="L13" s="172">
        <v>0</v>
      </c>
      <c r="M13" s="172">
        <v>0</v>
      </c>
      <c r="N13" s="172">
        <v>0</v>
      </c>
      <c r="O13" s="2"/>
    </row>
    <row r="14" spans="2:15" ht="13.5" customHeight="1" thickBot="1" x14ac:dyDescent="0.3">
      <c r="B14" s="51" t="s">
        <v>42</v>
      </c>
      <c r="C14" s="173">
        <f>SUM(C12:C13)</f>
        <v>0.1</v>
      </c>
      <c r="D14" s="173">
        <f t="shared" ref="D14:N14" si="1">SUM(D12:D13)</f>
        <v>0.1</v>
      </c>
      <c r="E14" s="173">
        <f t="shared" si="1"/>
        <v>0.13</v>
      </c>
      <c r="F14" s="173">
        <f t="shared" si="1"/>
        <v>0.1</v>
      </c>
      <c r="G14" s="173">
        <f t="shared" si="1"/>
        <v>0.1</v>
      </c>
      <c r="H14" s="173">
        <v>0.1</v>
      </c>
      <c r="I14" s="173">
        <f t="shared" si="1"/>
        <v>0.2</v>
      </c>
      <c r="J14" s="173">
        <f t="shared" si="1"/>
        <v>0.2</v>
      </c>
      <c r="K14" s="173">
        <f t="shared" si="1"/>
        <v>0.16</v>
      </c>
      <c r="L14" s="173">
        <f t="shared" si="1"/>
        <v>0.11</v>
      </c>
      <c r="M14" s="173">
        <f t="shared" si="1"/>
        <v>0.11</v>
      </c>
      <c r="N14" s="173">
        <f t="shared" si="1"/>
        <v>0.11</v>
      </c>
      <c r="O14" s="2"/>
    </row>
    <row r="15" spans="2:15" ht="13.5" customHeight="1" thickTop="1" x14ac:dyDescent="0.25">
      <c r="B15" s="2"/>
      <c r="C15" s="186"/>
      <c r="D15" s="186"/>
      <c r="E15" s="186"/>
      <c r="F15" s="2"/>
      <c r="G15" s="2"/>
      <c r="H15" s="2"/>
      <c r="I15" s="2"/>
      <c r="J15" s="2"/>
      <c r="K15" s="2"/>
      <c r="L15" s="2"/>
      <c r="M15" s="2"/>
      <c r="N15" s="2"/>
      <c r="O15" s="2"/>
    </row>
    <row r="16" spans="2:15" ht="26.25" x14ac:dyDescent="0.25">
      <c r="B16" s="53" t="s">
        <v>87</v>
      </c>
      <c r="C16" s="185"/>
      <c r="D16" s="185"/>
      <c r="E16" s="185"/>
      <c r="F16" s="17"/>
      <c r="G16" s="17"/>
      <c r="H16" s="17"/>
      <c r="I16" s="17"/>
      <c r="J16" s="17"/>
      <c r="K16" s="17"/>
      <c r="L16" s="17"/>
      <c r="M16" s="17"/>
      <c r="N16" s="17"/>
      <c r="O16" s="2"/>
    </row>
    <row r="17" spans="2:15" ht="13.5" customHeight="1" x14ac:dyDescent="0.25">
      <c r="B17" s="18" t="str">
        <f>DRAM</f>
        <v>Demand Response Auction Mechanism (DRAM)</v>
      </c>
      <c r="C17" s="172">
        <v>0.1</v>
      </c>
      <c r="D17" s="172">
        <v>0.1</v>
      </c>
      <c r="E17" s="172">
        <v>7.7100000000000002E-2</v>
      </c>
      <c r="F17" s="172">
        <v>0.2</v>
      </c>
      <c r="G17" s="172">
        <v>0.1</v>
      </c>
      <c r="H17" s="172">
        <v>0.1</v>
      </c>
      <c r="I17" s="172">
        <v>0.1</v>
      </c>
      <c r="J17" s="172">
        <v>0.1</v>
      </c>
      <c r="K17" s="172">
        <v>0.08</v>
      </c>
      <c r="L17" s="172">
        <v>0.08</v>
      </c>
      <c r="M17" s="172">
        <v>0.08</v>
      </c>
      <c r="N17" s="172">
        <v>0.08</v>
      </c>
      <c r="O17" s="2"/>
    </row>
    <row r="18" spans="2:15" ht="13.5" customHeight="1" thickBot="1" x14ac:dyDescent="0.3">
      <c r="B18" s="51" t="s">
        <v>42</v>
      </c>
      <c r="C18" s="173">
        <f>SUM(C17)</f>
        <v>0.1</v>
      </c>
      <c r="D18" s="173">
        <f t="shared" ref="D18:N18" si="2">SUM(D17)</f>
        <v>0.1</v>
      </c>
      <c r="E18" s="173">
        <f t="shared" si="2"/>
        <v>7.7100000000000002E-2</v>
      </c>
      <c r="F18" s="173">
        <f t="shared" si="2"/>
        <v>0.2</v>
      </c>
      <c r="G18" s="173">
        <f t="shared" si="2"/>
        <v>0.1</v>
      </c>
      <c r="H18" s="173">
        <v>0.1</v>
      </c>
      <c r="I18" s="173">
        <f t="shared" si="2"/>
        <v>0.1</v>
      </c>
      <c r="J18" s="173">
        <f t="shared" si="2"/>
        <v>0.1</v>
      </c>
      <c r="K18" s="173">
        <f t="shared" si="2"/>
        <v>0.08</v>
      </c>
      <c r="L18" s="173">
        <f t="shared" si="2"/>
        <v>0.08</v>
      </c>
      <c r="M18" s="173">
        <f t="shared" si="2"/>
        <v>0.08</v>
      </c>
      <c r="N18" s="173">
        <f t="shared" si="2"/>
        <v>0.08</v>
      </c>
      <c r="O18" s="2"/>
    </row>
    <row r="19" spans="2:15" ht="13.5" customHeight="1" thickTop="1" x14ac:dyDescent="0.25">
      <c r="B19" s="2"/>
      <c r="C19" s="186"/>
      <c r="D19" s="186"/>
      <c r="E19" s="186"/>
      <c r="F19" s="2"/>
      <c r="G19" s="2"/>
      <c r="H19" s="2"/>
      <c r="I19" s="2"/>
      <c r="J19" s="2"/>
      <c r="K19" s="2"/>
      <c r="L19" s="2"/>
      <c r="M19" s="2"/>
      <c r="N19" s="2"/>
      <c r="O19" s="2"/>
    </row>
    <row r="20" spans="2:15" ht="13.5" customHeight="1" x14ac:dyDescent="0.25">
      <c r="B20" s="53" t="s">
        <v>86</v>
      </c>
      <c r="C20" s="185"/>
      <c r="D20" s="185"/>
      <c r="E20" s="185"/>
      <c r="F20" s="17"/>
      <c r="G20" s="17"/>
      <c r="H20" s="17"/>
      <c r="I20" s="17"/>
      <c r="J20" s="17"/>
      <c r="K20" s="17"/>
      <c r="L20" s="17"/>
      <c r="M20" s="17"/>
      <c r="N20" s="17"/>
      <c r="O20" s="2"/>
    </row>
    <row r="21" spans="2:15" ht="13.5" customHeight="1" x14ac:dyDescent="0.25">
      <c r="B21" s="35" t="s">
        <v>88</v>
      </c>
      <c r="C21" s="172">
        <v>0</v>
      </c>
      <c r="D21" s="172">
        <v>0.01</v>
      </c>
      <c r="E21" s="172">
        <v>0.01</v>
      </c>
      <c r="F21" s="172">
        <v>0.03</v>
      </c>
      <c r="G21" s="172">
        <v>0.03</v>
      </c>
      <c r="H21" s="172">
        <v>0.1</v>
      </c>
      <c r="I21" s="172">
        <v>0.1</v>
      </c>
      <c r="J21" s="172">
        <v>0.1</v>
      </c>
      <c r="K21" s="172">
        <v>0.05</v>
      </c>
      <c r="L21" s="172">
        <v>0.03</v>
      </c>
      <c r="M21" s="172">
        <v>0.03</v>
      </c>
      <c r="N21" s="172">
        <v>0.03</v>
      </c>
      <c r="O21" s="2"/>
    </row>
    <row r="22" spans="2:15" ht="13.5" customHeight="1" thickBot="1" x14ac:dyDescent="0.3">
      <c r="B22" s="51" t="s">
        <v>42</v>
      </c>
      <c r="C22" s="173">
        <f>SUM(C21)</f>
        <v>0</v>
      </c>
      <c r="D22" s="173">
        <f t="shared" ref="D22:N22" si="3">SUM(D21)</f>
        <v>0.01</v>
      </c>
      <c r="E22" s="173">
        <f t="shared" si="3"/>
        <v>0.01</v>
      </c>
      <c r="F22" s="173">
        <f t="shared" si="3"/>
        <v>0.03</v>
      </c>
      <c r="G22" s="173">
        <f t="shared" si="3"/>
        <v>0.03</v>
      </c>
      <c r="H22" s="173">
        <v>0.1</v>
      </c>
      <c r="I22" s="173">
        <f t="shared" si="3"/>
        <v>0.1</v>
      </c>
      <c r="J22" s="173">
        <f t="shared" si="3"/>
        <v>0.1</v>
      </c>
      <c r="K22" s="173">
        <f t="shared" si="3"/>
        <v>0.05</v>
      </c>
      <c r="L22" s="173">
        <f t="shared" si="3"/>
        <v>0.03</v>
      </c>
      <c r="M22" s="173">
        <f t="shared" si="3"/>
        <v>0.03</v>
      </c>
      <c r="N22" s="173">
        <f t="shared" si="3"/>
        <v>0.03</v>
      </c>
      <c r="O22" s="2"/>
    </row>
    <row r="23" spans="2:15" ht="13.5" customHeight="1" thickTop="1" thickBot="1" x14ac:dyDescent="0.3">
      <c r="B23" s="129"/>
      <c r="C23" s="187"/>
      <c r="D23" s="187"/>
      <c r="E23" s="187"/>
      <c r="F23" s="170"/>
      <c r="G23" s="170"/>
      <c r="H23" s="170"/>
      <c r="I23" s="170"/>
      <c r="J23" s="170"/>
      <c r="K23" s="170"/>
      <c r="L23" s="170"/>
      <c r="M23" s="170"/>
      <c r="N23" s="133"/>
      <c r="O23" s="2"/>
    </row>
    <row r="24" spans="2:15" ht="13.5" customHeight="1" thickTop="1" thickBot="1" x14ac:dyDescent="0.3">
      <c r="B24" s="54" t="s">
        <v>66</v>
      </c>
      <c r="C24" s="171">
        <f>SUM(C9+C14+C18+C21)</f>
        <v>1.3000000000000003</v>
      </c>
      <c r="D24" s="171">
        <f t="shared" ref="D24:N24" si="4">SUM(D9+D14+D18+D21)</f>
        <v>1.3100000000000003</v>
      </c>
      <c r="E24" s="171">
        <f t="shared" si="4"/>
        <v>1.2871000000000001</v>
      </c>
      <c r="F24" s="171">
        <f t="shared" si="4"/>
        <v>1.4300000000000002</v>
      </c>
      <c r="G24" s="171">
        <f t="shared" si="4"/>
        <v>1.3300000000000003</v>
      </c>
      <c r="H24" s="171">
        <f t="shared" si="4"/>
        <v>1.4000000000000004</v>
      </c>
      <c r="I24" s="171">
        <f t="shared" si="4"/>
        <v>1.5000000000000002</v>
      </c>
      <c r="J24" s="171">
        <f t="shared" si="4"/>
        <v>1.5000000000000002</v>
      </c>
      <c r="K24" s="171">
        <f t="shared" si="4"/>
        <v>1.36</v>
      </c>
      <c r="L24" s="171">
        <f t="shared" si="4"/>
        <v>0.87</v>
      </c>
      <c r="M24" s="171">
        <f t="shared" si="4"/>
        <v>0.87</v>
      </c>
      <c r="N24" s="171">
        <f t="shared" si="4"/>
        <v>0.87</v>
      </c>
      <c r="O24" s="2"/>
    </row>
    <row r="25" spans="2:15" ht="15.75" thickTop="1" x14ac:dyDescent="0.25">
      <c r="B25" s="2"/>
      <c r="C25" s="2"/>
      <c r="D25" s="2"/>
      <c r="E25" s="2"/>
      <c r="F25" s="2"/>
      <c r="G25" s="2"/>
      <c r="H25" s="2"/>
      <c r="I25" s="2"/>
      <c r="J25" s="2"/>
      <c r="K25" s="2"/>
      <c r="L25" s="2"/>
      <c r="M25" s="2"/>
      <c r="N25" s="2"/>
      <c r="O25" s="2"/>
    </row>
    <row r="26" spans="2:15" x14ac:dyDescent="0.25">
      <c r="B26" s="2"/>
      <c r="C26" s="2"/>
      <c r="D26" s="2"/>
      <c r="E26" s="2"/>
      <c r="F26" s="2"/>
      <c r="G26" s="2"/>
      <c r="H26" s="2"/>
      <c r="I26" s="2"/>
      <c r="J26" s="2"/>
      <c r="K26" s="2"/>
      <c r="L26" s="2"/>
      <c r="M26" s="2"/>
      <c r="N26" s="2"/>
      <c r="O26" s="2"/>
    </row>
    <row r="27" spans="2:15" x14ac:dyDescent="0.25">
      <c r="B27" s="2" t="s">
        <v>67</v>
      </c>
      <c r="C27" s="1"/>
      <c r="D27" s="2"/>
      <c r="E27" s="2"/>
      <c r="F27" s="2"/>
      <c r="G27" s="2"/>
      <c r="H27" s="2"/>
      <c r="I27" s="2"/>
      <c r="J27" s="2"/>
      <c r="K27" s="2"/>
      <c r="L27" s="2"/>
      <c r="M27" s="2"/>
      <c r="N27" s="2"/>
      <c r="O27" s="2"/>
    </row>
    <row r="28" spans="2:15" x14ac:dyDescent="0.25">
      <c r="B28" s="168" t="s">
        <v>239</v>
      </c>
      <c r="C28" s="1"/>
      <c r="D28" s="2"/>
      <c r="E28" s="2"/>
      <c r="F28" s="2"/>
      <c r="G28" s="2"/>
      <c r="H28" s="2"/>
      <c r="I28" s="2"/>
      <c r="J28" s="2"/>
      <c r="K28" s="2"/>
      <c r="L28" s="2"/>
      <c r="M28" s="2"/>
      <c r="N28" s="2"/>
      <c r="O28" s="2"/>
    </row>
    <row r="29" spans="2:15" x14ac:dyDescent="0.25">
      <c r="B29" s="167" t="s">
        <v>236</v>
      </c>
      <c r="C29" s="2"/>
      <c r="D29" s="2"/>
      <c r="E29" s="2"/>
      <c r="F29" s="2"/>
      <c r="G29" s="2"/>
      <c r="H29" s="2"/>
      <c r="I29" s="2"/>
      <c r="J29" s="2"/>
      <c r="K29" s="2"/>
      <c r="L29" s="2"/>
      <c r="M29" s="2"/>
      <c r="N29" s="2"/>
      <c r="O29" s="2"/>
    </row>
    <row r="30" spans="2:15" x14ac:dyDescent="0.25">
      <c r="B30" s="167" t="s">
        <v>237</v>
      </c>
      <c r="C30" s="2"/>
      <c r="D30" s="2"/>
      <c r="E30" s="2"/>
      <c r="F30" s="2"/>
      <c r="G30" s="2"/>
      <c r="H30" s="2"/>
      <c r="I30" s="2"/>
      <c r="J30" s="2"/>
      <c r="K30" s="2"/>
      <c r="L30" s="2"/>
      <c r="M30" s="2"/>
      <c r="N30" s="2"/>
      <c r="O30" s="2"/>
    </row>
    <row r="31" spans="2:15" x14ac:dyDescent="0.25">
      <c r="B31" s="167" t="s">
        <v>238</v>
      </c>
      <c r="C31" s="1"/>
      <c r="D31" s="2"/>
      <c r="E31" s="2"/>
      <c r="F31" s="2"/>
      <c r="G31" s="2"/>
      <c r="H31" s="2"/>
      <c r="I31" s="2"/>
      <c r="J31" s="2"/>
      <c r="K31" s="2"/>
      <c r="L31" s="2"/>
      <c r="M31" s="2"/>
      <c r="N31" s="2"/>
      <c r="O31" s="2"/>
    </row>
    <row r="32" spans="2:15" x14ac:dyDescent="0.25">
      <c r="B32" s="167" t="s">
        <v>285</v>
      </c>
      <c r="C32" s="2"/>
      <c r="D32" s="2"/>
      <c r="E32" s="2"/>
      <c r="F32" s="2"/>
      <c r="G32" s="2"/>
      <c r="H32" s="2"/>
      <c r="I32" s="2"/>
      <c r="J32" s="2"/>
      <c r="K32" s="2"/>
      <c r="L32" s="2"/>
      <c r="M32" s="2"/>
      <c r="N32" s="2"/>
      <c r="O32" s="2"/>
    </row>
    <row r="33" spans="2:15" x14ac:dyDescent="0.25">
      <c r="B33" s="2"/>
      <c r="C33" s="2"/>
      <c r="D33" s="2"/>
      <c r="E33" s="2"/>
      <c r="F33" s="2"/>
      <c r="G33" s="2"/>
      <c r="H33" s="2"/>
      <c r="I33" s="2"/>
      <c r="J33" s="2"/>
      <c r="K33" s="2"/>
      <c r="L33" s="2"/>
      <c r="M33" s="2"/>
      <c r="N33" s="2"/>
      <c r="O33" s="2"/>
    </row>
    <row r="34" spans="2:15" x14ac:dyDescent="0.25">
      <c r="B34" s="2"/>
      <c r="C34" s="1"/>
      <c r="D34" s="2"/>
      <c r="E34" s="2"/>
      <c r="F34" s="2"/>
      <c r="G34" s="2"/>
      <c r="H34" s="2"/>
      <c r="I34" s="2"/>
      <c r="J34" s="2"/>
      <c r="K34" s="2"/>
      <c r="L34" s="2"/>
      <c r="M34" s="2"/>
      <c r="N34" s="2"/>
      <c r="O34" s="2"/>
    </row>
    <row r="35" spans="2:15" x14ac:dyDescent="0.25">
      <c r="B35" s="2"/>
      <c r="C35" s="1"/>
      <c r="D35" s="2"/>
      <c r="E35" s="2"/>
      <c r="F35" s="2"/>
      <c r="G35" s="2"/>
      <c r="H35" s="2"/>
      <c r="I35" s="2"/>
      <c r="J35" s="2"/>
      <c r="K35" s="2"/>
      <c r="L35" s="2"/>
      <c r="M35" s="2"/>
      <c r="N35" s="2"/>
      <c r="O35" s="2"/>
    </row>
  </sheetData>
  <mergeCells count="1">
    <mergeCell ref="B1:N1"/>
  </mergeCells>
  <pageMargins left="0.7" right="0.7" top="0.75" bottom="0.75" header="0.3" footer="0.3"/>
  <pageSetup paperSize="5" scale="80" orientation="landscape" r:id="rId1"/>
  <headerFooter>
    <oddFooter>&amp;L&amp;F&amp;C-Public-&amp;RA-&amp;P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E8EC1-E525-448E-B4B5-982FB02082B2}">
  <sheetPr>
    <pageSetUpPr fitToPage="1"/>
  </sheetPr>
  <dimension ref="B1:O35"/>
  <sheetViews>
    <sheetView showGridLines="0" view="pageBreakPreview" topLeftCell="B1" zoomScale="70" zoomScaleNormal="90" zoomScaleSheetLayoutView="70" workbookViewId="0">
      <selection activeCell="D43" sqref="D43:U44"/>
    </sheetView>
  </sheetViews>
  <sheetFormatPr defaultRowHeight="15" x14ac:dyDescent="0.25"/>
  <cols>
    <col min="1" max="1" width="1.7109375" customWidth="1"/>
    <col min="2" max="2" width="65.42578125" customWidth="1"/>
    <col min="3" max="10" width="10.42578125" customWidth="1"/>
    <col min="11" max="11" width="12.85546875" bestFit="1" customWidth="1"/>
    <col min="12" max="12" width="10.7109375" bestFit="1" customWidth="1"/>
    <col min="13" max="13" width="12.42578125" bestFit="1" customWidth="1"/>
    <col min="14" max="14" width="12.140625" bestFit="1" customWidth="1"/>
  </cols>
  <sheetData>
    <row r="1" spans="2:15" ht="59.25" customHeight="1" x14ac:dyDescent="0.25">
      <c r="B1" s="231" t="s">
        <v>265</v>
      </c>
      <c r="C1" s="232"/>
      <c r="D1" s="232"/>
      <c r="E1" s="232"/>
      <c r="F1" s="232"/>
      <c r="G1" s="232"/>
      <c r="H1" s="232"/>
      <c r="I1" s="232"/>
      <c r="J1" s="232"/>
      <c r="K1" s="232"/>
      <c r="L1" s="232"/>
      <c r="M1" s="232"/>
      <c r="N1" s="232"/>
      <c r="O1" s="2"/>
    </row>
    <row r="2" spans="2:15" ht="13.5" customHeight="1" x14ac:dyDescent="0.25">
      <c r="B2" s="2" t="s">
        <v>58</v>
      </c>
      <c r="C2" s="2"/>
      <c r="D2" s="2"/>
      <c r="E2" s="2"/>
      <c r="F2" s="2"/>
      <c r="G2" s="2"/>
      <c r="H2" s="2"/>
      <c r="I2" s="2"/>
      <c r="J2" s="2"/>
      <c r="K2" s="2"/>
      <c r="L2" s="2"/>
      <c r="M2" s="2"/>
      <c r="N2" s="2"/>
      <c r="O2" s="2"/>
    </row>
    <row r="3" spans="2:15" ht="13.5" customHeight="1" x14ac:dyDescent="0.25">
      <c r="B3" s="2" t="s">
        <v>84</v>
      </c>
      <c r="C3" s="2"/>
      <c r="D3" s="2"/>
      <c r="E3" s="2"/>
      <c r="F3" s="2"/>
      <c r="G3" s="2"/>
      <c r="H3" s="2"/>
      <c r="I3" s="2"/>
      <c r="J3" s="2"/>
      <c r="K3" s="2"/>
      <c r="L3" s="2"/>
      <c r="M3" s="2"/>
      <c r="N3" s="2"/>
      <c r="O3" s="2"/>
    </row>
    <row r="4" spans="2:15" ht="18.75" customHeight="1" x14ac:dyDescent="0.25">
      <c r="B4" s="2"/>
      <c r="C4" s="2"/>
      <c r="D4" s="2"/>
      <c r="E4" s="2"/>
      <c r="F4" s="2"/>
      <c r="G4" s="2"/>
      <c r="H4" s="2"/>
      <c r="I4" s="2"/>
      <c r="J4" s="2"/>
      <c r="K4" s="2"/>
      <c r="L4" s="2"/>
      <c r="M4" s="2"/>
      <c r="N4" s="2"/>
      <c r="O4" s="2"/>
    </row>
    <row r="5" spans="2:15" ht="21" customHeight="1" x14ac:dyDescent="0.25">
      <c r="B5" s="2"/>
      <c r="C5" s="56" t="s">
        <v>44</v>
      </c>
      <c r="D5" s="56" t="s">
        <v>45</v>
      </c>
      <c r="E5" s="56" t="s">
        <v>46</v>
      </c>
      <c r="F5" s="56" t="s">
        <v>47</v>
      </c>
      <c r="G5" s="56" t="s">
        <v>48</v>
      </c>
      <c r="H5" s="56" t="s">
        <v>49</v>
      </c>
      <c r="I5" s="56" t="s">
        <v>52</v>
      </c>
      <c r="J5" s="56" t="s">
        <v>53</v>
      </c>
      <c r="K5" s="56" t="s">
        <v>54</v>
      </c>
      <c r="L5" s="56" t="s">
        <v>55</v>
      </c>
      <c r="M5" s="56" t="s">
        <v>56</v>
      </c>
      <c r="N5" s="56" t="s">
        <v>57</v>
      </c>
      <c r="O5" s="2"/>
    </row>
    <row r="6" spans="2:15" ht="42" customHeight="1" x14ac:dyDescent="0.25">
      <c r="B6" s="2"/>
      <c r="C6" s="55" t="s">
        <v>85</v>
      </c>
      <c r="D6" s="55" t="s">
        <v>85</v>
      </c>
      <c r="E6" s="55" t="s">
        <v>85</v>
      </c>
      <c r="F6" s="55" t="s">
        <v>85</v>
      </c>
      <c r="G6" s="55" t="s">
        <v>85</v>
      </c>
      <c r="H6" s="55" t="s">
        <v>85</v>
      </c>
      <c r="I6" s="55" t="s">
        <v>85</v>
      </c>
      <c r="J6" s="55" t="s">
        <v>85</v>
      </c>
      <c r="K6" s="55" t="s">
        <v>85</v>
      </c>
      <c r="L6" s="55" t="s">
        <v>85</v>
      </c>
      <c r="M6" s="55" t="s">
        <v>85</v>
      </c>
      <c r="N6" s="55" t="s">
        <v>85</v>
      </c>
      <c r="O6" s="2"/>
    </row>
    <row r="7" spans="2:15" ht="13.5" customHeight="1" x14ac:dyDescent="0.25">
      <c r="B7" s="17" t="s">
        <v>83</v>
      </c>
      <c r="C7" s="17"/>
      <c r="D7" s="17"/>
      <c r="E7" s="17"/>
      <c r="F7" s="17"/>
      <c r="G7" s="17"/>
      <c r="H7" s="17"/>
      <c r="I7" s="17"/>
      <c r="J7" s="17"/>
      <c r="K7" s="17"/>
      <c r="L7" s="17"/>
      <c r="M7" s="17"/>
      <c r="N7" s="47"/>
      <c r="O7" s="2"/>
    </row>
    <row r="8" spans="2:15" ht="13.5" customHeight="1" x14ac:dyDescent="0.25">
      <c r="B8" s="41" t="str">
        <f>CBPG</f>
        <v>Capacity Bidding Program (CBP)</v>
      </c>
      <c r="C8" s="172">
        <v>7.3</v>
      </c>
      <c r="D8" s="172">
        <v>7.3</v>
      </c>
      <c r="E8" s="172">
        <v>7.27</v>
      </c>
      <c r="F8" s="172">
        <v>6.98</v>
      </c>
      <c r="G8" s="172">
        <v>7</v>
      </c>
      <c r="H8" s="172">
        <v>6.8</v>
      </c>
      <c r="I8" s="172">
        <v>5.0999999999999996</v>
      </c>
      <c r="J8" s="172">
        <v>5.0999999999999996</v>
      </c>
      <c r="K8" s="172">
        <v>5.08</v>
      </c>
      <c r="L8" s="172">
        <v>3.55</v>
      </c>
      <c r="M8" s="172">
        <v>3.52</v>
      </c>
      <c r="N8" s="172">
        <v>3.55</v>
      </c>
      <c r="O8" s="2"/>
    </row>
    <row r="9" spans="2:15" ht="13.5" customHeight="1" thickBot="1" x14ac:dyDescent="0.3">
      <c r="B9" s="51" t="s">
        <v>42</v>
      </c>
      <c r="C9" s="173">
        <f>SUM(C8)</f>
        <v>7.3</v>
      </c>
      <c r="D9" s="173">
        <f t="shared" ref="D9:N9" si="0">SUM(D8)</f>
        <v>7.3</v>
      </c>
      <c r="E9" s="173">
        <f t="shared" si="0"/>
        <v>7.27</v>
      </c>
      <c r="F9" s="173">
        <f t="shared" si="0"/>
        <v>6.98</v>
      </c>
      <c r="G9" s="173">
        <f t="shared" si="0"/>
        <v>7</v>
      </c>
      <c r="H9" s="173">
        <v>6.8</v>
      </c>
      <c r="I9" s="173">
        <f t="shared" si="0"/>
        <v>5.0999999999999996</v>
      </c>
      <c r="J9" s="173">
        <f t="shared" si="0"/>
        <v>5.0999999999999996</v>
      </c>
      <c r="K9" s="173">
        <f t="shared" si="0"/>
        <v>5.08</v>
      </c>
      <c r="L9" s="173">
        <f t="shared" si="0"/>
        <v>3.55</v>
      </c>
      <c r="M9" s="173">
        <f t="shared" si="0"/>
        <v>3.52</v>
      </c>
      <c r="N9" s="173">
        <f t="shared" si="0"/>
        <v>3.55</v>
      </c>
      <c r="O9" s="2"/>
    </row>
    <row r="10" spans="2:15" ht="13.5" customHeight="1" thickTop="1" x14ac:dyDescent="0.25">
      <c r="B10" s="50"/>
      <c r="C10" s="184"/>
      <c r="D10" s="184"/>
      <c r="E10" s="184"/>
      <c r="F10" s="48"/>
      <c r="G10" s="48"/>
      <c r="H10" s="48"/>
      <c r="I10" s="48"/>
      <c r="J10" s="48"/>
      <c r="K10" s="48"/>
      <c r="L10" s="48"/>
      <c r="M10" s="48"/>
      <c r="N10" s="49"/>
      <c r="O10" s="2"/>
    </row>
    <row r="11" spans="2:15" ht="13.5" customHeight="1" x14ac:dyDescent="0.25">
      <c r="B11" s="52" t="s">
        <v>50</v>
      </c>
      <c r="C11" s="185"/>
      <c r="D11" s="185"/>
      <c r="E11" s="185"/>
      <c r="F11" s="17"/>
      <c r="G11" s="17"/>
      <c r="H11" s="17"/>
      <c r="I11" s="17"/>
      <c r="J11" s="17"/>
      <c r="K11" s="17"/>
      <c r="L11" s="17"/>
      <c r="M11" s="17"/>
      <c r="N11" s="17"/>
      <c r="O11" s="2"/>
    </row>
    <row r="12" spans="2:15" ht="13.5" customHeight="1" x14ac:dyDescent="0.25">
      <c r="B12" s="18" t="str">
        <f>CPP</f>
        <v>Critical Peak Pricing (CPP)</v>
      </c>
      <c r="C12" s="172">
        <v>6</v>
      </c>
      <c r="D12" s="172">
        <v>6</v>
      </c>
      <c r="E12" s="172">
        <v>5.09</v>
      </c>
      <c r="F12" s="172">
        <v>5.65</v>
      </c>
      <c r="G12" s="172">
        <v>5.5</v>
      </c>
      <c r="H12" s="172">
        <v>4.4000000000000004</v>
      </c>
      <c r="I12" s="172">
        <v>5.4</v>
      </c>
      <c r="J12" s="172">
        <v>5.4</v>
      </c>
      <c r="K12" s="172">
        <v>5.39</v>
      </c>
      <c r="L12" s="172">
        <v>3.95</v>
      </c>
      <c r="M12" s="172">
        <v>3.95</v>
      </c>
      <c r="N12" s="172">
        <v>3.95</v>
      </c>
      <c r="O12" s="2"/>
    </row>
    <row r="13" spans="2:15" ht="13.5" customHeight="1" x14ac:dyDescent="0.25">
      <c r="B13" s="18" t="str">
        <f>RTP</f>
        <v>Real Time Pricing (RTP)</v>
      </c>
      <c r="C13" s="172">
        <v>11.7</v>
      </c>
      <c r="D13" s="172">
        <v>11.7</v>
      </c>
      <c r="E13" s="172">
        <v>11.08</v>
      </c>
      <c r="F13" s="172">
        <v>11.74</v>
      </c>
      <c r="G13" s="172">
        <v>11.7</v>
      </c>
      <c r="H13" s="172">
        <v>11.1</v>
      </c>
      <c r="I13" s="172">
        <v>9.1</v>
      </c>
      <c r="J13" s="172">
        <v>9.8000000000000007</v>
      </c>
      <c r="K13" s="172">
        <v>9.14</v>
      </c>
      <c r="L13" s="172">
        <v>7.69</v>
      </c>
      <c r="M13" s="172">
        <v>8.2200000000000006</v>
      </c>
      <c r="N13" s="172">
        <v>8.2200000000000006</v>
      </c>
      <c r="O13" s="2"/>
    </row>
    <row r="14" spans="2:15" ht="13.5" customHeight="1" thickBot="1" x14ac:dyDescent="0.3">
      <c r="B14" s="51" t="s">
        <v>42</v>
      </c>
      <c r="C14" s="173">
        <f>SUM(C12:C13)</f>
        <v>17.7</v>
      </c>
      <c r="D14" s="173">
        <f t="shared" ref="D14:N14" si="1">SUM(D12:D13)</f>
        <v>17.7</v>
      </c>
      <c r="E14" s="173">
        <f t="shared" si="1"/>
        <v>16.170000000000002</v>
      </c>
      <c r="F14" s="173">
        <f t="shared" si="1"/>
        <v>17.39</v>
      </c>
      <c r="G14" s="173">
        <f t="shared" si="1"/>
        <v>17.2</v>
      </c>
      <c r="H14" s="173">
        <v>15.5</v>
      </c>
      <c r="I14" s="173">
        <f t="shared" si="1"/>
        <v>14.5</v>
      </c>
      <c r="J14" s="173">
        <f t="shared" si="1"/>
        <v>15.200000000000001</v>
      </c>
      <c r="K14" s="173">
        <f t="shared" si="1"/>
        <v>14.530000000000001</v>
      </c>
      <c r="L14" s="173">
        <f t="shared" si="1"/>
        <v>11.64</v>
      </c>
      <c r="M14" s="173">
        <f t="shared" si="1"/>
        <v>12.170000000000002</v>
      </c>
      <c r="N14" s="173">
        <f t="shared" si="1"/>
        <v>12.170000000000002</v>
      </c>
      <c r="O14" s="2"/>
    </row>
    <row r="15" spans="2:15" ht="13.5" customHeight="1" thickTop="1" x14ac:dyDescent="0.25">
      <c r="B15" s="2"/>
      <c r="C15" s="186"/>
      <c r="D15" s="186"/>
      <c r="E15" s="186"/>
      <c r="F15" s="2"/>
      <c r="G15" s="2"/>
      <c r="H15" s="2"/>
      <c r="I15" s="2"/>
      <c r="J15" s="2"/>
      <c r="K15" s="2"/>
      <c r="L15" s="2"/>
      <c r="M15" s="2"/>
      <c r="N15" s="2"/>
      <c r="O15" s="2"/>
    </row>
    <row r="16" spans="2:15" ht="26.25" x14ac:dyDescent="0.25">
      <c r="B16" s="53" t="s">
        <v>87</v>
      </c>
      <c r="C16" s="185"/>
      <c r="D16" s="185"/>
      <c r="E16" s="185"/>
      <c r="F16" s="17"/>
      <c r="G16" s="17"/>
      <c r="H16" s="17"/>
      <c r="I16" s="17"/>
      <c r="J16" s="17"/>
      <c r="K16" s="17"/>
      <c r="L16" s="17"/>
      <c r="M16" s="17"/>
      <c r="N16" s="17"/>
      <c r="O16" s="2"/>
    </row>
    <row r="17" spans="2:15" ht="13.5" customHeight="1" x14ac:dyDescent="0.25">
      <c r="B17" s="18" t="str">
        <f>DRAM</f>
        <v>Demand Response Auction Mechanism (DRAM)</v>
      </c>
      <c r="C17" s="172">
        <v>13.2</v>
      </c>
      <c r="D17" s="172">
        <v>13.2</v>
      </c>
      <c r="E17" s="172">
        <v>5.51</v>
      </c>
      <c r="F17" s="172">
        <v>4.6500000000000004</v>
      </c>
      <c r="G17" s="172">
        <v>5.0999999999999996</v>
      </c>
      <c r="H17" s="172">
        <v>5.9</v>
      </c>
      <c r="I17" s="172">
        <v>5.6</v>
      </c>
      <c r="J17" s="172">
        <v>4.8</v>
      </c>
      <c r="K17" s="172">
        <v>5.53</v>
      </c>
      <c r="L17" s="172">
        <v>3.54</v>
      </c>
      <c r="M17" s="172">
        <v>3.01</v>
      </c>
      <c r="N17" s="172">
        <v>7.56</v>
      </c>
      <c r="O17" s="2"/>
    </row>
    <row r="18" spans="2:15" ht="13.5" customHeight="1" thickBot="1" x14ac:dyDescent="0.3">
      <c r="B18" s="51" t="s">
        <v>42</v>
      </c>
      <c r="C18" s="173">
        <f>SUM(C17)</f>
        <v>13.2</v>
      </c>
      <c r="D18" s="173">
        <f t="shared" ref="D18:N18" si="2">SUM(D17)</f>
        <v>13.2</v>
      </c>
      <c r="E18" s="173">
        <f t="shared" si="2"/>
        <v>5.51</v>
      </c>
      <c r="F18" s="173">
        <f t="shared" si="2"/>
        <v>4.6500000000000004</v>
      </c>
      <c r="G18" s="173">
        <f t="shared" si="2"/>
        <v>5.0999999999999996</v>
      </c>
      <c r="H18" s="173">
        <v>5.9</v>
      </c>
      <c r="I18" s="173">
        <f t="shared" si="2"/>
        <v>5.6</v>
      </c>
      <c r="J18" s="173">
        <f t="shared" si="2"/>
        <v>4.8</v>
      </c>
      <c r="K18" s="173">
        <f t="shared" si="2"/>
        <v>5.53</v>
      </c>
      <c r="L18" s="173">
        <f t="shared" si="2"/>
        <v>3.54</v>
      </c>
      <c r="M18" s="173">
        <f t="shared" si="2"/>
        <v>3.01</v>
      </c>
      <c r="N18" s="173">
        <f t="shared" si="2"/>
        <v>7.56</v>
      </c>
      <c r="O18" s="2"/>
    </row>
    <row r="19" spans="2:15" ht="13.5" customHeight="1" thickTop="1" x14ac:dyDescent="0.25">
      <c r="B19" s="2"/>
      <c r="C19" s="186"/>
      <c r="D19" s="186"/>
      <c r="E19" s="186"/>
      <c r="F19" s="2"/>
      <c r="G19" s="2"/>
      <c r="H19" s="2"/>
      <c r="I19" s="2"/>
      <c r="J19" s="2"/>
      <c r="K19" s="2"/>
      <c r="L19" s="2"/>
      <c r="M19" s="2"/>
      <c r="N19" s="2"/>
      <c r="O19" s="2"/>
    </row>
    <row r="20" spans="2:15" ht="13.5" customHeight="1" x14ac:dyDescent="0.25">
      <c r="B20" s="53" t="s">
        <v>86</v>
      </c>
      <c r="C20" s="185"/>
      <c r="D20" s="185"/>
      <c r="E20" s="185"/>
      <c r="F20" s="17"/>
      <c r="G20" s="17"/>
      <c r="H20" s="17"/>
      <c r="I20" s="17"/>
      <c r="J20" s="17"/>
      <c r="K20" s="17"/>
      <c r="L20" s="17"/>
      <c r="M20" s="17"/>
      <c r="N20" s="17"/>
      <c r="O20" s="2"/>
    </row>
    <row r="21" spans="2:15" ht="13.5" customHeight="1" x14ac:dyDescent="0.25">
      <c r="B21" s="35" t="s">
        <v>88</v>
      </c>
      <c r="C21" s="172">
        <v>1.8</v>
      </c>
      <c r="D21" s="172">
        <v>1.6</v>
      </c>
      <c r="E21" s="172">
        <v>1.25</v>
      </c>
      <c r="F21" s="172">
        <v>0.8</v>
      </c>
      <c r="G21" s="172">
        <v>0.6</v>
      </c>
      <c r="H21" s="172">
        <v>1.8</v>
      </c>
      <c r="I21" s="172">
        <v>4.5999999999999996</v>
      </c>
      <c r="J21" s="172">
        <v>4.9000000000000004</v>
      </c>
      <c r="K21" s="172">
        <v>4.7699999999999996</v>
      </c>
      <c r="L21" s="172">
        <v>3.83</v>
      </c>
      <c r="M21" s="172">
        <v>3.71</v>
      </c>
      <c r="N21" s="172">
        <v>3.97</v>
      </c>
      <c r="O21" s="2"/>
    </row>
    <row r="22" spans="2:15" ht="13.5" customHeight="1" thickBot="1" x14ac:dyDescent="0.3">
      <c r="B22" s="129" t="s">
        <v>42</v>
      </c>
      <c r="C22" s="173">
        <f>SUM(C21)</f>
        <v>1.8</v>
      </c>
      <c r="D22" s="173">
        <f t="shared" ref="D22:N22" si="3">SUM(D21)</f>
        <v>1.6</v>
      </c>
      <c r="E22" s="173">
        <f t="shared" si="3"/>
        <v>1.25</v>
      </c>
      <c r="F22" s="173">
        <f t="shared" si="3"/>
        <v>0.8</v>
      </c>
      <c r="G22" s="173">
        <f t="shared" si="3"/>
        <v>0.6</v>
      </c>
      <c r="H22" s="173">
        <v>1.8</v>
      </c>
      <c r="I22" s="173">
        <f t="shared" si="3"/>
        <v>4.5999999999999996</v>
      </c>
      <c r="J22" s="173">
        <f t="shared" si="3"/>
        <v>4.9000000000000004</v>
      </c>
      <c r="K22" s="173">
        <f t="shared" si="3"/>
        <v>4.7699999999999996</v>
      </c>
      <c r="L22" s="173">
        <f t="shared" si="3"/>
        <v>3.83</v>
      </c>
      <c r="M22" s="173">
        <f t="shared" si="3"/>
        <v>3.71</v>
      </c>
      <c r="N22" s="173">
        <f t="shared" si="3"/>
        <v>3.97</v>
      </c>
      <c r="O22" s="2"/>
    </row>
    <row r="23" spans="2:15" ht="13.5" customHeight="1" thickTop="1" thickBot="1" x14ac:dyDescent="0.3">
      <c r="B23" s="129"/>
      <c r="C23" s="197"/>
      <c r="D23" s="197"/>
      <c r="E23" s="197"/>
      <c r="F23" s="198"/>
      <c r="G23" s="198"/>
      <c r="H23" s="198"/>
      <c r="I23" s="198"/>
      <c r="J23" s="198"/>
      <c r="K23" s="198"/>
      <c r="L23" s="198"/>
      <c r="M23" s="198"/>
      <c r="N23" s="199"/>
      <c r="O23" s="2"/>
    </row>
    <row r="24" spans="2:15" ht="13.5" customHeight="1" thickTop="1" thickBot="1" x14ac:dyDescent="0.3">
      <c r="B24" s="54" t="s">
        <v>66</v>
      </c>
      <c r="C24" s="171">
        <f>SUM(C9+C14+C18+C21)</f>
        <v>40</v>
      </c>
      <c r="D24" s="171">
        <f t="shared" ref="D24:N24" si="4">SUM(D9+D14+D18+D21)</f>
        <v>39.800000000000004</v>
      </c>
      <c r="E24" s="171">
        <f t="shared" si="4"/>
        <v>30.200000000000003</v>
      </c>
      <c r="F24" s="171">
        <f t="shared" si="4"/>
        <v>29.820000000000004</v>
      </c>
      <c r="G24" s="171">
        <f t="shared" si="4"/>
        <v>29.9</v>
      </c>
      <c r="H24" s="171">
        <f t="shared" si="4"/>
        <v>30.000000000000004</v>
      </c>
      <c r="I24" s="171">
        <f t="shared" si="4"/>
        <v>29.800000000000004</v>
      </c>
      <c r="J24" s="171">
        <f t="shared" si="4"/>
        <v>30</v>
      </c>
      <c r="K24" s="171">
        <f t="shared" si="4"/>
        <v>29.91</v>
      </c>
      <c r="L24" s="171">
        <f t="shared" si="4"/>
        <v>22.560000000000002</v>
      </c>
      <c r="M24" s="171">
        <f t="shared" si="4"/>
        <v>22.410000000000004</v>
      </c>
      <c r="N24" s="171">
        <f t="shared" si="4"/>
        <v>27.25</v>
      </c>
      <c r="O24" s="2"/>
    </row>
    <row r="25" spans="2:15" ht="15.75" thickTop="1" x14ac:dyDescent="0.25">
      <c r="B25" s="2"/>
      <c r="C25" s="2"/>
      <c r="D25" s="2"/>
      <c r="E25" s="2"/>
      <c r="F25" s="2"/>
      <c r="G25" s="2"/>
      <c r="H25" s="2"/>
      <c r="I25" s="2"/>
      <c r="J25" s="2"/>
      <c r="K25" s="2"/>
      <c r="L25" s="2"/>
      <c r="M25" s="2"/>
      <c r="N25" s="2"/>
      <c r="O25" s="2"/>
    </row>
    <row r="26" spans="2:15" x14ac:dyDescent="0.25">
      <c r="B26" s="2"/>
      <c r="C26" s="2"/>
      <c r="D26" s="2"/>
      <c r="E26" s="2"/>
      <c r="F26" s="2"/>
      <c r="G26" s="2"/>
      <c r="H26" s="2"/>
      <c r="I26" s="2"/>
      <c r="J26" s="2"/>
      <c r="K26" s="2"/>
      <c r="L26" s="2"/>
      <c r="M26" s="2"/>
      <c r="N26" s="2"/>
      <c r="O26" s="2"/>
    </row>
    <row r="27" spans="2:15" x14ac:dyDescent="0.25">
      <c r="B27" s="2" t="s">
        <v>67</v>
      </c>
      <c r="C27" s="1"/>
      <c r="D27" s="2"/>
      <c r="E27" s="2"/>
      <c r="F27" s="2"/>
      <c r="G27" s="2"/>
      <c r="H27" s="2"/>
      <c r="I27" s="2"/>
      <c r="J27" s="2"/>
      <c r="K27" s="2"/>
      <c r="L27" s="2"/>
      <c r="M27" s="2"/>
      <c r="N27" s="2"/>
      <c r="O27" s="2"/>
    </row>
    <row r="28" spans="2:15" x14ac:dyDescent="0.25">
      <c r="B28" s="1" t="s">
        <v>240</v>
      </c>
      <c r="C28" s="1"/>
      <c r="D28" s="2"/>
      <c r="E28" s="2"/>
      <c r="F28" s="2"/>
      <c r="G28" s="2"/>
      <c r="H28" s="2"/>
      <c r="I28" s="2"/>
      <c r="J28" s="2"/>
      <c r="K28" s="2"/>
      <c r="L28" s="2"/>
      <c r="M28" s="2"/>
      <c r="N28" s="2"/>
      <c r="O28" s="2"/>
    </row>
    <row r="29" spans="2:15" x14ac:dyDescent="0.25">
      <c r="B29" s="169" t="s">
        <v>236</v>
      </c>
      <c r="C29" s="2"/>
      <c r="D29" s="2"/>
      <c r="E29" s="2"/>
      <c r="F29" s="2"/>
      <c r="G29" s="2"/>
      <c r="H29" s="2"/>
      <c r="I29" s="2"/>
      <c r="J29" s="2"/>
      <c r="K29" s="2"/>
      <c r="L29" s="2"/>
      <c r="M29" s="2"/>
      <c r="N29" s="2"/>
      <c r="O29" s="2"/>
    </row>
    <row r="30" spans="2:15" x14ac:dyDescent="0.25">
      <c r="B30" s="1" t="s">
        <v>237</v>
      </c>
      <c r="C30" s="2"/>
      <c r="D30" s="2"/>
      <c r="E30" s="2"/>
      <c r="F30" s="2"/>
      <c r="G30" s="2"/>
      <c r="H30" s="2"/>
      <c r="I30" s="2"/>
      <c r="J30" s="2"/>
      <c r="K30" s="2"/>
      <c r="L30" s="2"/>
      <c r="M30" s="2"/>
      <c r="N30" s="2"/>
      <c r="O30" s="2"/>
    </row>
    <row r="31" spans="2:15" x14ac:dyDescent="0.25">
      <c r="B31" s="1" t="s">
        <v>238</v>
      </c>
      <c r="C31" s="1"/>
      <c r="D31" s="2"/>
      <c r="E31" s="2"/>
      <c r="F31" s="2"/>
      <c r="G31" s="2"/>
      <c r="H31" s="2"/>
      <c r="I31" s="2"/>
      <c r="J31" s="2"/>
      <c r="K31" s="2"/>
      <c r="L31" s="2"/>
      <c r="M31" s="2"/>
      <c r="N31" s="2"/>
      <c r="O31" s="2"/>
    </row>
    <row r="32" spans="2:15" x14ac:dyDescent="0.25">
      <c r="B32" s="1" t="s">
        <v>285</v>
      </c>
      <c r="C32" s="2"/>
      <c r="D32" s="2"/>
      <c r="E32" s="2"/>
      <c r="F32" s="2"/>
      <c r="G32" s="2"/>
      <c r="H32" s="2"/>
      <c r="I32" s="2"/>
      <c r="J32" s="2"/>
      <c r="K32" s="2"/>
      <c r="L32" s="2"/>
      <c r="M32" s="2"/>
      <c r="N32" s="2"/>
      <c r="O32" s="2"/>
    </row>
    <row r="33" spans="2:15" x14ac:dyDescent="0.25">
      <c r="B33" s="167" t="s">
        <v>284</v>
      </c>
      <c r="C33" s="2"/>
      <c r="D33" s="2"/>
      <c r="E33" s="2"/>
      <c r="F33" s="2"/>
      <c r="G33" s="2"/>
      <c r="H33" s="2"/>
      <c r="I33" s="2"/>
      <c r="J33" s="2"/>
      <c r="K33" s="2"/>
      <c r="L33" s="2"/>
      <c r="M33" s="2"/>
      <c r="N33" s="2"/>
      <c r="O33" s="2"/>
    </row>
    <row r="34" spans="2:15" x14ac:dyDescent="0.25">
      <c r="B34" s="2"/>
      <c r="C34" s="1"/>
      <c r="D34" s="2"/>
      <c r="E34" s="2"/>
      <c r="F34" s="2"/>
      <c r="G34" s="2"/>
      <c r="H34" s="2"/>
      <c r="I34" s="2"/>
      <c r="J34" s="2"/>
      <c r="K34" s="2"/>
      <c r="L34" s="2"/>
      <c r="M34" s="2"/>
      <c r="N34" s="2"/>
      <c r="O34" s="2"/>
    </row>
    <row r="35" spans="2:15" x14ac:dyDescent="0.25">
      <c r="B35" s="2"/>
      <c r="C35" s="1"/>
      <c r="D35" s="2"/>
      <c r="E35" s="2"/>
      <c r="F35" s="2"/>
      <c r="G35" s="2"/>
      <c r="H35" s="2"/>
      <c r="I35" s="2"/>
      <c r="J35" s="2"/>
      <c r="K35" s="2"/>
      <c r="L35" s="2"/>
      <c r="M35" s="2"/>
      <c r="N35" s="2"/>
      <c r="O35" s="2"/>
    </row>
  </sheetData>
  <mergeCells count="1">
    <mergeCell ref="B1:N1"/>
  </mergeCells>
  <pageMargins left="0.7" right="0.7" top="0.75" bottom="0.75" header="0.3" footer="0.3"/>
  <pageSetup paperSize="5" scale="80" orientation="landscape" r:id="rId1"/>
  <headerFooter>
    <oddFooter>&amp;L&amp;F&amp;C-Public-&amp;RA-&amp;P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06AFE-EAAC-45A6-AE8D-E4B80FD72C13}">
  <sheetPr>
    <pageSetUpPr fitToPage="1"/>
  </sheetPr>
  <dimension ref="B1:Y83"/>
  <sheetViews>
    <sheetView showGridLines="0" view="pageBreakPreview" zoomScale="70" zoomScaleNormal="70" zoomScaleSheetLayoutView="70" workbookViewId="0">
      <selection activeCell="D43" sqref="D43:U44"/>
    </sheetView>
  </sheetViews>
  <sheetFormatPr defaultRowHeight="15" x14ac:dyDescent="0.25"/>
  <cols>
    <col min="1" max="1" width="1.85546875" customWidth="1"/>
    <col min="2" max="2" width="55" customWidth="1"/>
    <col min="4" max="4" width="25.85546875" customWidth="1"/>
    <col min="5" max="7" width="25" customWidth="1"/>
    <col min="8" max="19" width="17.7109375" customWidth="1"/>
    <col min="20" max="20" width="19.7109375" customWidth="1"/>
    <col min="21" max="21" width="19.28515625" customWidth="1"/>
    <col min="22" max="23" width="19.7109375" customWidth="1"/>
    <col min="24" max="24" width="15" customWidth="1"/>
  </cols>
  <sheetData>
    <row r="1" spans="2:25" ht="55.5" customHeight="1" x14ac:dyDescent="0.25">
      <c r="B1" s="231" t="s">
        <v>191</v>
      </c>
      <c r="C1" s="232"/>
      <c r="D1" s="232"/>
      <c r="E1" s="232"/>
      <c r="F1" s="232"/>
      <c r="G1" s="232"/>
      <c r="H1" s="232"/>
      <c r="I1" s="232"/>
      <c r="J1" s="232"/>
      <c r="K1" s="232"/>
      <c r="L1" s="232"/>
      <c r="M1" s="232"/>
      <c r="N1" s="232"/>
      <c r="O1" s="232"/>
      <c r="P1" s="232"/>
      <c r="Q1" s="232"/>
      <c r="R1" s="232"/>
      <c r="S1" s="232"/>
      <c r="T1" s="232"/>
      <c r="U1" s="232"/>
      <c r="V1" s="232"/>
      <c r="W1" s="232"/>
      <c r="X1" s="232"/>
      <c r="Y1" s="1"/>
    </row>
    <row r="2" spans="2:25" ht="12.75" customHeight="1" x14ac:dyDescent="0.25">
      <c r="B2" s="2" t="s">
        <v>58</v>
      </c>
      <c r="C2" s="1"/>
      <c r="D2" s="1"/>
      <c r="E2" s="1"/>
      <c r="F2" s="1"/>
      <c r="G2" s="1"/>
      <c r="H2" s="1"/>
      <c r="I2" s="1"/>
      <c r="J2" s="1"/>
      <c r="K2" s="1"/>
      <c r="L2" s="1"/>
      <c r="M2" s="1"/>
      <c r="N2" s="1"/>
      <c r="O2" s="1"/>
      <c r="P2" s="1"/>
      <c r="Q2" s="1"/>
      <c r="R2" s="1"/>
      <c r="S2" s="1"/>
      <c r="T2" s="1"/>
      <c r="U2" s="1"/>
      <c r="V2" s="1"/>
      <c r="W2" s="1"/>
      <c r="X2" s="1"/>
      <c r="Y2" s="1"/>
    </row>
    <row r="3" spans="2:25" ht="12.75" customHeight="1" x14ac:dyDescent="0.25">
      <c r="B3" s="2" t="s">
        <v>73</v>
      </c>
      <c r="C3" s="1"/>
      <c r="D3" s="1"/>
      <c r="E3" s="1"/>
      <c r="F3" s="1"/>
      <c r="G3" s="1"/>
      <c r="H3" s="1"/>
      <c r="I3" s="1"/>
      <c r="J3" s="1"/>
      <c r="K3" s="1"/>
      <c r="L3" s="1"/>
      <c r="M3" s="1"/>
      <c r="N3" s="1"/>
      <c r="O3" s="1"/>
      <c r="P3" s="1"/>
      <c r="Q3" s="1"/>
      <c r="R3" s="1"/>
      <c r="S3" s="1"/>
      <c r="T3" s="1"/>
      <c r="U3" s="1"/>
      <c r="V3" s="1"/>
      <c r="W3" s="1"/>
      <c r="X3" s="1"/>
      <c r="Y3" s="1"/>
    </row>
    <row r="4" spans="2:25" ht="12.75" customHeight="1" x14ac:dyDescent="0.25">
      <c r="B4" s="1"/>
      <c r="C4" s="1"/>
      <c r="D4" s="1"/>
      <c r="E4" s="1"/>
      <c r="F4" s="1"/>
      <c r="G4" s="1"/>
      <c r="H4" s="1"/>
      <c r="I4" s="1"/>
      <c r="J4" s="1"/>
      <c r="K4" s="1"/>
      <c r="L4" s="1"/>
      <c r="M4" s="1"/>
      <c r="N4" s="1"/>
      <c r="O4" s="1"/>
      <c r="P4" s="1"/>
      <c r="Q4" s="1"/>
      <c r="R4" s="1"/>
      <c r="S4" s="1"/>
      <c r="T4" s="1"/>
      <c r="U4" s="1"/>
      <c r="V4" s="1"/>
      <c r="W4" s="1"/>
      <c r="X4" s="1"/>
      <c r="Y4" s="1"/>
    </row>
    <row r="5" spans="2:25" ht="18" customHeight="1" x14ac:dyDescent="0.25">
      <c r="B5" s="1"/>
      <c r="C5" s="1"/>
      <c r="D5" s="242" t="s">
        <v>193</v>
      </c>
      <c r="E5" s="242" t="s">
        <v>194</v>
      </c>
      <c r="F5" s="242" t="s">
        <v>195</v>
      </c>
      <c r="G5" s="242" t="s">
        <v>196</v>
      </c>
      <c r="H5" s="233" t="s">
        <v>192</v>
      </c>
      <c r="I5" s="234"/>
      <c r="J5" s="234"/>
      <c r="K5" s="234"/>
      <c r="L5" s="234"/>
      <c r="M5" s="234"/>
      <c r="N5" s="234"/>
      <c r="O5" s="234"/>
      <c r="P5" s="234"/>
      <c r="Q5" s="234"/>
      <c r="R5" s="234"/>
      <c r="S5" s="235"/>
      <c r="T5" s="244" t="s">
        <v>270</v>
      </c>
      <c r="U5" s="246" t="s">
        <v>201</v>
      </c>
      <c r="V5" s="246" t="s">
        <v>202</v>
      </c>
      <c r="W5" s="248" t="s">
        <v>91</v>
      </c>
      <c r="X5" s="250" t="s">
        <v>92</v>
      </c>
      <c r="Y5" s="1"/>
    </row>
    <row r="6" spans="2:25" ht="40.5" customHeight="1" x14ac:dyDescent="0.25">
      <c r="B6" s="46" t="s">
        <v>74</v>
      </c>
      <c r="C6" s="1"/>
      <c r="D6" s="243"/>
      <c r="E6" s="243"/>
      <c r="F6" s="243"/>
      <c r="G6" s="243"/>
      <c r="H6" s="180" t="s">
        <v>44</v>
      </c>
      <c r="I6" s="181" t="s">
        <v>45</v>
      </c>
      <c r="J6" s="181" t="s">
        <v>46</v>
      </c>
      <c r="K6" s="181" t="s">
        <v>47</v>
      </c>
      <c r="L6" s="181" t="s">
        <v>48</v>
      </c>
      <c r="M6" s="181" t="s">
        <v>49</v>
      </c>
      <c r="N6" s="181" t="s">
        <v>52</v>
      </c>
      <c r="O6" s="181" t="s">
        <v>53</v>
      </c>
      <c r="P6" s="181" t="s">
        <v>54</v>
      </c>
      <c r="Q6" s="181" t="s">
        <v>55</v>
      </c>
      <c r="R6" s="181" t="s">
        <v>56</v>
      </c>
      <c r="S6" s="182" t="s">
        <v>57</v>
      </c>
      <c r="T6" s="245"/>
      <c r="U6" s="247"/>
      <c r="V6" s="247"/>
      <c r="W6" s="249"/>
      <c r="X6" s="251"/>
      <c r="Y6" s="1"/>
    </row>
    <row r="7" spans="2:25" ht="29.25" customHeight="1" x14ac:dyDescent="0.25">
      <c r="B7" s="63" t="s">
        <v>286</v>
      </c>
      <c r="C7" s="31"/>
      <c r="D7" s="31"/>
      <c r="E7" s="31"/>
      <c r="F7" s="31"/>
      <c r="G7" s="31"/>
      <c r="H7" s="31"/>
      <c r="I7" s="31"/>
      <c r="J7" s="31"/>
      <c r="K7" s="31"/>
      <c r="L7" s="31"/>
      <c r="M7" s="31"/>
      <c r="N7" s="31"/>
      <c r="O7" s="31"/>
      <c r="P7" s="31"/>
      <c r="Q7" s="31"/>
      <c r="R7" s="31"/>
      <c r="S7" s="31"/>
      <c r="T7" s="31"/>
      <c r="U7" s="31"/>
      <c r="V7" s="31"/>
      <c r="W7" s="31"/>
      <c r="X7" s="33"/>
      <c r="Y7" s="1"/>
    </row>
    <row r="8" spans="2:25" ht="12.75" customHeight="1" x14ac:dyDescent="0.25">
      <c r="B8" s="34" t="str">
        <f>API</f>
        <v>Agricultural &amp; Pumping Interruptible (API)</v>
      </c>
      <c r="C8" s="58"/>
      <c r="D8" s="107">
        <v>380983.13653630845</v>
      </c>
      <c r="E8" s="107">
        <v>550266.48549999995</v>
      </c>
      <c r="F8" s="107">
        <v>658447.98560000013</v>
      </c>
      <c r="G8" s="107">
        <v>396207.86199999996</v>
      </c>
      <c r="H8" s="83">
        <v>15506.2765</v>
      </c>
      <c r="I8" s="83">
        <v>16799.365900000001</v>
      </c>
      <c r="J8" s="83">
        <v>5591.3353999999999</v>
      </c>
      <c r="K8" s="83">
        <v>12353.309600000001</v>
      </c>
      <c r="L8" s="83">
        <v>28970.561799999999</v>
      </c>
      <c r="M8" s="83">
        <v>43761.25</v>
      </c>
      <c r="N8" s="83">
        <v>60173.94</v>
      </c>
      <c r="O8" s="83">
        <v>20114.388500000001</v>
      </c>
      <c r="P8" s="83">
        <v>18820.216400000001</v>
      </c>
      <c r="Q8" s="83">
        <v>20207.099999999999</v>
      </c>
      <c r="R8" s="83">
        <v>14994.383900000001</v>
      </c>
      <c r="S8" s="83">
        <v>32221.554199999999</v>
      </c>
      <c r="T8" s="107">
        <f>SUM(H8:S8)</f>
        <v>289513.68220000004</v>
      </c>
      <c r="U8" s="107">
        <f>SUM(D8:G8,T8)</f>
        <v>2275419.1518363087</v>
      </c>
      <c r="V8" s="82">
        <v>3340299.8734000027</v>
      </c>
      <c r="W8" s="151"/>
      <c r="X8" s="145">
        <f>U8/SUM(V8:W8)</f>
        <v>0.68120205911938669</v>
      </c>
      <c r="Y8" s="1"/>
    </row>
    <row r="9" spans="2:25" ht="12.75" customHeight="1" x14ac:dyDescent="0.25">
      <c r="B9" s="59" t="str">
        <f>API_I</f>
        <v>Agricultural &amp; Pumping Interruptible (API) Incentives</v>
      </c>
      <c r="C9" s="39"/>
      <c r="D9" s="93">
        <v>5669401.4000000004</v>
      </c>
      <c r="E9" s="93">
        <v>3337670.39</v>
      </c>
      <c r="F9" s="93">
        <v>4470894.1499999994</v>
      </c>
      <c r="G9" s="136">
        <v>4711146.2299999995</v>
      </c>
      <c r="H9" s="137">
        <f>IF(Incentives!H8="","",(Incentives!H8))</f>
        <v>155284.68</v>
      </c>
      <c r="I9" s="137">
        <f>IF(Incentives!I8="","",(Incentives!I8))</f>
        <v>159641.06</v>
      </c>
      <c r="J9" s="137">
        <f>IF(Incentives!J8="","",(Incentives!J8))</f>
        <v>-833877.29</v>
      </c>
      <c r="K9" s="137">
        <f>IF(Incentives!K8="","",(Incentives!K8))</f>
        <v>867568.33</v>
      </c>
      <c r="L9" s="137">
        <f>IF(Incentives!L8="","",(Incentives!L8))</f>
        <v>834726.98</v>
      </c>
      <c r="M9" s="137">
        <f>IF(Incentives!M8="","",(Incentives!M8))</f>
        <v>513310.04</v>
      </c>
      <c r="N9" s="137">
        <f>IF(Incentives!N8="","",(Incentives!N8))</f>
        <v>835734.76</v>
      </c>
      <c r="O9" s="137">
        <f>IF(Incentives!O8="","",(Incentives!O8))</f>
        <v>934772.62</v>
      </c>
      <c r="P9" s="137">
        <f>IF(Incentives!P8="","",(Incentives!P8))</f>
        <v>705775.21</v>
      </c>
      <c r="Q9" s="137">
        <f>IF(Incentives!Q8="","",(Incentives!Q8))</f>
        <v>406869.04</v>
      </c>
      <c r="R9" s="137">
        <f>IF(Incentives!R8="","",(Incentives!R8))</f>
        <v>303248.58</v>
      </c>
      <c r="S9" s="137">
        <f>IF(Incentives!S8="","",(Incentives!S8))</f>
        <v>152405.45000000001</v>
      </c>
      <c r="T9" s="136">
        <f t="shared" ref="T9:T17" si="0">SUM(H9:S9)</f>
        <v>5035459.46</v>
      </c>
      <c r="U9" s="136">
        <f t="shared" ref="U9:U17" si="1">SUM(D9:G9,T9)</f>
        <v>23224571.630000003</v>
      </c>
      <c r="V9" s="138">
        <v>32001629</v>
      </c>
      <c r="W9" s="152"/>
      <c r="X9" s="146">
        <f t="shared" ref="X9:X17" si="2">U9/SUM(V9:W9)</f>
        <v>0.72573091919789467</v>
      </c>
      <c r="Y9" s="1"/>
    </row>
    <row r="10" spans="2:25" ht="12.75" customHeight="1" x14ac:dyDescent="0.25">
      <c r="B10" s="38" t="str">
        <f>BIPG</f>
        <v>Base Interruptible Program (BIP)</v>
      </c>
      <c r="C10" s="39"/>
      <c r="D10" s="93">
        <v>168178.51442582181</v>
      </c>
      <c r="E10" s="93">
        <v>163212.5202</v>
      </c>
      <c r="F10" s="93">
        <v>172766.77249999999</v>
      </c>
      <c r="G10" s="136">
        <v>172925.81109999999</v>
      </c>
      <c r="H10" s="137">
        <v>16550.420900000001</v>
      </c>
      <c r="I10" s="137">
        <v>16175.496999999999</v>
      </c>
      <c r="J10" s="137">
        <v>14765.214099999999</v>
      </c>
      <c r="K10" s="137">
        <v>11703.720499999999</v>
      </c>
      <c r="L10" s="137">
        <v>12202.6677</v>
      </c>
      <c r="M10" s="137">
        <v>18178.150000000001</v>
      </c>
      <c r="N10" s="137">
        <v>18397.84</v>
      </c>
      <c r="O10" s="137">
        <v>18014.554800000002</v>
      </c>
      <c r="P10" s="137">
        <v>18345.883999999998</v>
      </c>
      <c r="Q10" s="137">
        <v>16679.810000000001</v>
      </c>
      <c r="R10" s="137">
        <v>12458.582200000001</v>
      </c>
      <c r="S10" s="137">
        <v>178350.73079999999</v>
      </c>
      <c r="T10" s="136">
        <f t="shared" si="0"/>
        <v>351823.07199999999</v>
      </c>
      <c r="U10" s="136">
        <f t="shared" si="1"/>
        <v>1028906.6902258217</v>
      </c>
      <c r="V10" s="138">
        <v>1697313.8838999867</v>
      </c>
      <c r="W10" s="152"/>
      <c r="X10" s="146">
        <f t="shared" si="2"/>
        <v>0.60619706230273751</v>
      </c>
      <c r="Y10" s="1"/>
    </row>
    <row r="11" spans="2:25" ht="12.75" customHeight="1" x14ac:dyDescent="0.25">
      <c r="B11" s="59" t="str">
        <f>BIP_I</f>
        <v>Base Interruptible Program (BIP) Incentives</v>
      </c>
      <c r="C11" s="39"/>
      <c r="D11" s="93">
        <v>78140398.540000007</v>
      </c>
      <c r="E11" s="93">
        <v>60058312.459899999</v>
      </c>
      <c r="F11" s="93">
        <v>47075544.550000004</v>
      </c>
      <c r="G11" s="136">
        <v>60564397.100000001</v>
      </c>
      <c r="H11" s="137">
        <f>IF(Incentives!H9="","",(Incentives!H9))</f>
        <v>2315722.7000000002</v>
      </c>
      <c r="I11" s="137">
        <f>IF(Incentives!I9="","",(Incentives!I9))</f>
        <v>2165949.9500000002</v>
      </c>
      <c r="J11" s="137">
        <f>IF(Incentives!J9="","",(Incentives!J9))</f>
        <v>5396105.5899999999</v>
      </c>
      <c r="K11" s="137">
        <f>IF(Incentives!K9="","",(Incentives!K9))</f>
        <v>3970557.59</v>
      </c>
      <c r="L11" s="137">
        <f>IF(Incentives!L9="","",(Incentives!L9))</f>
        <v>3156215.08</v>
      </c>
      <c r="M11" s="137">
        <f>IF(Incentives!M9="","",(Incentives!M9))</f>
        <v>4215325.21</v>
      </c>
      <c r="N11" s="137">
        <f>IF(Incentives!N9="","",(Incentives!N9))</f>
        <v>8237892.5599999996</v>
      </c>
      <c r="O11" s="137">
        <f>IF(Incentives!O9="","",(Incentives!O9))</f>
        <v>10210179.9</v>
      </c>
      <c r="P11" s="137">
        <f>IF(Incentives!P9="","",(Incentives!P9))</f>
        <v>7392965.6600000001</v>
      </c>
      <c r="Q11" s="137">
        <f>IF(Incentives!Q9="","",(Incentives!Q9))</f>
        <v>9022932.3100000005</v>
      </c>
      <c r="R11" s="137">
        <f>IF(Incentives!R9="","",(Incentives!R9))</f>
        <v>5542241.3600000003</v>
      </c>
      <c r="S11" s="137">
        <f>IF(Incentives!S9="","",(Incentives!S9))</f>
        <v>4347328.3099999996</v>
      </c>
      <c r="T11" s="136">
        <f t="shared" si="0"/>
        <v>65973416.219999999</v>
      </c>
      <c r="U11" s="136">
        <f t="shared" si="1"/>
        <v>311812068.86989999</v>
      </c>
      <c r="V11" s="138">
        <v>345776478</v>
      </c>
      <c r="W11" s="152"/>
      <c r="X11" s="146">
        <f t="shared" si="2"/>
        <v>0.90177351181736543</v>
      </c>
      <c r="Y11" s="1"/>
    </row>
    <row r="12" spans="2:25" ht="12.75" customHeight="1" x14ac:dyDescent="0.25">
      <c r="B12" s="38" t="str">
        <f>CBPG</f>
        <v>Capacity Bidding Program (CBP)</v>
      </c>
      <c r="C12" s="39"/>
      <c r="D12" s="93">
        <v>121748.57842725782</v>
      </c>
      <c r="E12" s="93">
        <v>106475.7831</v>
      </c>
      <c r="F12" s="93">
        <v>153912.22140000001</v>
      </c>
      <c r="G12" s="136">
        <v>190071.93899999998</v>
      </c>
      <c r="H12" s="137">
        <v>11569.0682</v>
      </c>
      <c r="I12" s="137">
        <v>14641.4645</v>
      </c>
      <c r="J12" s="137">
        <v>17385.741000000002</v>
      </c>
      <c r="K12" s="137">
        <v>13751.7952</v>
      </c>
      <c r="L12" s="137">
        <v>12265.2826</v>
      </c>
      <c r="M12" s="137">
        <v>9668.06</v>
      </c>
      <c r="N12" s="137">
        <v>6960.82</v>
      </c>
      <c r="O12" s="137">
        <v>9238.6134999999995</v>
      </c>
      <c r="P12" s="137">
        <v>12792.459699999999</v>
      </c>
      <c r="Q12" s="137">
        <v>16888.439999999999</v>
      </c>
      <c r="R12" s="137">
        <v>10100.048699999999</v>
      </c>
      <c r="S12" s="137">
        <v>8895.2885999999999</v>
      </c>
      <c r="T12" s="136">
        <f t="shared" si="0"/>
        <v>144157.08200000002</v>
      </c>
      <c r="U12" s="136">
        <f t="shared" si="1"/>
        <v>716365.60392725794</v>
      </c>
      <c r="V12" s="138">
        <v>1082815.1093000006</v>
      </c>
      <c r="W12" s="152"/>
      <c r="X12" s="146">
        <f t="shared" si="2"/>
        <v>0.66157702988681188</v>
      </c>
      <c r="Y12" s="1"/>
    </row>
    <row r="13" spans="2:25" ht="12.75" customHeight="1" x14ac:dyDescent="0.25">
      <c r="B13" s="59" t="str">
        <f>CBP_I</f>
        <v>Capacity Bidding Program (CBP) Incentives</v>
      </c>
      <c r="C13" s="39"/>
      <c r="D13" s="93">
        <v>461721.61989999999</v>
      </c>
      <c r="E13" s="93">
        <v>411583.28</v>
      </c>
      <c r="F13" s="93">
        <v>432763.66</v>
      </c>
      <c r="G13" s="136">
        <v>157679.11000000002</v>
      </c>
      <c r="H13" s="137">
        <f>IF(Incentives!H10="","",(Incentives!H10))</f>
        <v>13148.4</v>
      </c>
      <c r="I13" s="137">
        <f>IF(Incentives!I10="","",(Incentives!I10))</f>
        <v>0</v>
      </c>
      <c r="J13" s="137">
        <f>IF(Incentives!J10="","",(Incentives!J10))</f>
        <v>132151.74</v>
      </c>
      <c r="K13" s="137">
        <f>IF(Incentives!K10="","",(Incentives!K10))</f>
        <v>10340.73</v>
      </c>
      <c r="L13" s="137">
        <f>IF(Incentives!L10="","",(Incentives!L10))</f>
        <v>1162.1099999999999</v>
      </c>
      <c r="M13" s="137">
        <f>IF(Incentives!M10="","",(Incentives!M10))</f>
        <v>0</v>
      </c>
      <c r="N13" s="137">
        <f>IF(Incentives!N10="","",(Incentives!N10))</f>
        <v>0</v>
      </c>
      <c r="O13" s="137">
        <f>IF(Incentives!O10="","",(Incentives!O10))</f>
        <v>0</v>
      </c>
      <c r="P13" s="137">
        <f>IF(Incentives!P10="","",(Incentives!P10))</f>
        <v>-10953.76</v>
      </c>
      <c r="Q13" s="137">
        <f>IF(Incentives!Q10="","",(Incentives!Q10))</f>
        <v>6368.72</v>
      </c>
      <c r="R13" s="137">
        <f>IF(Incentives!R10="","",(Incentives!R10))</f>
        <v>1943.44</v>
      </c>
      <c r="S13" s="137">
        <f>IF(Incentives!S10="","",(Incentives!S10))</f>
        <v>400355.6</v>
      </c>
      <c r="T13" s="136">
        <f t="shared" si="0"/>
        <v>554516.98</v>
      </c>
      <c r="U13" s="136">
        <f t="shared" si="1"/>
        <v>2018264.6499000001</v>
      </c>
      <c r="V13" s="138">
        <v>13946230</v>
      </c>
      <c r="W13" s="152"/>
      <c r="X13" s="146">
        <f t="shared" si="2"/>
        <v>0.14471757958243914</v>
      </c>
      <c r="Y13" s="1"/>
    </row>
    <row r="14" spans="2:25" ht="12.75" customHeight="1" x14ac:dyDescent="0.25">
      <c r="B14" s="38" t="str">
        <f>SEP</f>
        <v>Smart Energy Program (SEP)</v>
      </c>
      <c r="C14" s="39"/>
      <c r="D14" s="93">
        <v>844172.2301042414</v>
      </c>
      <c r="E14" s="93">
        <v>2381410.9552000002</v>
      </c>
      <c r="F14" s="93">
        <v>1409646.9732000001</v>
      </c>
      <c r="G14" s="136">
        <v>1516695.2882999999</v>
      </c>
      <c r="H14" s="137">
        <v>7067.3923000000004</v>
      </c>
      <c r="I14" s="137">
        <v>28729.9856</v>
      </c>
      <c r="J14" s="137">
        <v>95916.686499999996</v>
      </c>
      <c r="K14" s="137">
        <v>108018.08409999999</v>
      </c>
      <c r="L14" s="137">
        <v>66456.107999999993</v>
      </c>
      <c r="M14" s="137">
        <v>76172.25</v>
      </c>
      <c r="N14" s="137">
        <v>106999.46</v>
      </c>
      <c r="O14" s="137">
        <v>640823.63710000005</v>
      </c>
      <c r="P14" s="137">
        <v>139991.14540000001</v>
      </c>
      <c r="Q14" s="137">
        <v>27729.48</v>
      </c>
      <c r="R14" s="137">
        <v>196034.57860000001</v>
      </c>
      <c r="S14" s="137">
        <v>285458.24810000003</v>
      </c>
      <c r="T14" s="136">
        <f t="shared" si="0"/>
        <v>1779397.0556999999</v>
      </c>
      <c r="U14" s="136">
        <f t="shared" si="1"/>
        <v>7931322.5025042426</v>
      </c>
      <c r="V14" s="138">
        <v>12902542.154099999</v>
      </c>
      <c r="W14" s="152"/>
      <c r="X14" s="146">
        <f t="shared" si="2"/>
        <v>0.6147100631625475</v>
      </c>
      <c r="Y14" s="1"/>
    </row>
    <row r="15" spans="2:25" ht="12.75" customHeight="1" x14ac:dyDescent="0.25">
      <c r="B15" s="59" t="str">
        <f>SEP_I</f>
        <v>Smart Energy Program Incentives</v>
      </c>
      <c r="C15" s="39"/>
      <c r="D15" s="93">
        <v>1945546.14</v>
      </c>
      <c r="E15" s="93">
        <v>1961006.84</v>
      </c>
      <c r="F15" s="93">
        <v>1929901.65</v>
      </c>
      <c r="G15" s="136">
        <v>2253206.73</v>
      </c>
      <c r="H15" s="137">
        <f>IF(Incentives!H14="","",(Incentives!H14))</f>
        <v>-15430.71</v>
      </c>
      <c r="I15" s="137">
        <f>IF(Incentives!I14="","",(Incentives!I14))</f>
        <v>-3823.06</v>
      </c>
      <c r="J15" s="137">
        <f>IF(Incentives!J14="","",(Incentives!J14))</f>
        <v>16467.05</v>
      </c>
      <c r="K15" s="137">
        <f>IF(Incentives!K14="","",(Incentives!K14))</f>
        <v>12930.03</v>
      </c>
      <c r="L15" s="137">
        <f>IF(Incentives!L14="","",(Incentives!L14))</f>
        <v>4269.2</v>
      </c>
      <c r="M15" s="137">
        <f>IF(Incentives!M14="","",(Incentives!M14))</f>
        <v>275147.76</v>
      </c>
      <c r="N15" s="137">
        <f>IF(Incentives!N14="","",(Incentives!N14))</f>
        <v>526486.5</v>
      </c>
      <c r="O15" s="137">
        <f>IF(Incentives!O14="","",(Incentives!O14))</f>
        <v>588985.65</v>
      </c>
      <c r="P15" s="137">
        <f>IF(Incentives!P14="","",(Incentives!P14))</f>
        <v>573643.47</v>
      </c>
      <c r="Q15" s="137">
        <f>IF(Incentives!Q14="","",(Incentives!Q14))</f>
        <v>275252.74</v>
      </c>
      <c r="R15" s="137">
        <f>IF(Incentives!R14="","",(Incentives!R14))</f>
        <v>-286803</v>
      </c>
      <c r="S15" s="137">
        <f>IF(Incentives!S14="","",(Incentives!S14))</f>
        <v>8906.8500000001677</v>
      </c>
      <c r="T15" s="136">
        <f t="shared" si="0"/>
        <v>1976032.48</v>
      </c>
      <c r="U15" s="136">
        <f t="shared" si="1"/>
        <v>10065693.84</v>
      </c>
      <c r="V15" s="138">
        <v>13728550.249600001</v>
      </c>
      <c r="W15" s="152"/>
      <c r="X15" s="146">
        <f t="shared" si="2"/>
        <v>0.73319423078145318</v>
      </c>
      <c r="Y15" s="1"/>
    </row>
    <row r="16" spans="2:25" ht="12.75" customHeight="1" x14ac:dyDescent="0.25">
      <c r="B16" s="38" t="str">
        <f>SDPG</f>
        <v>Summer Discount Plan Program (SDP)</v>
      </c>
      <c r="C16" s="39"/>
      <c r="D16" s="93">
        <v>3757663.0948822293</v>
      </c>
      <c r="E16" s="93">
        <v>5196186.5527000194</v>
      </c>
      <c r="F16" s="93">
        <v>5082816.5209999997</v>
      </c>
      <c r="G16" s="136">
        <v>5527127.7815000005</v>
      </c>
      <c r="H16" s="137">
        <v>151145.2126</v>
      </c>
      <c r="I16" s="137">
        <v>197111.52050000001</v>
      </c>
      <c r="J16" s="137">
        <v>240403.1545</v>
      </c>
      <c r="K16" s="137">
        <f>536568.7456-308350</f>
        <v>228218.74560000002</v>
      </c>
      <c r="L16" s="137">
        <v>301816.66200000001</v>
      </c>
      <c r="M16" s="137">
        <v>353475.15</v>
      </c>
      <c r="N16" s="137">
        <f>252298.24-200</f>
        <v>252098.24</v>
      </c>
      <c r="O16" s="137">
        <v>550431.6078</v>
      </c>
      <c r="P16" s="137">
        <v>1054396.8422999999</v>
      </c>
      <c r="Q16" s="137">
        <v>558637.22</v>
      </c>
      <c r="R16" s="137">
        <v>584147.53189999994</v>
      </c>
      <c r="S16" s="137">
        <v>508751.85840000003</v>
      </c>
      <c r="T16" s="136">
        <f t="shared" si="0"/>
        <v>4980633.7456</v>
      </c>
      <c r="U16" s="136">
        <f t="shared" si="1"/>
        <v>24544427.69568225</v>
      </c>
      <c r="V16" s="138">
        <f>44320356.54-3000000</f>
        <v>41320356.539999999</v>
      </c>
      <c r="W16" s="152"/>
      <c r="X16" s="146">
        <f t="shared" si="2"/>
        <v>0.59400328920013357</v>
      </c>
      <c r="Y16" s="1"/>
    </row>
    <row r="17" spans="2:25" ht="12.75" customHeight="1" x14ac:dyDescent="0.25">
      <c r="B17" s="60" t="str">
        <f>SDP_I</f>
        <v>Summer Discount Plan Program (SDP) Incentives</v>
      </c>
      <c r="C17" s="36"/>
      <c r="D17" s="108">
        <v>47294750.510000005</v>
      </c>
      <c r="E17" s="108">
        <v>39153196.890000001</v>
      </c>
      <c r="F17" s="108">
        <v>31068350.319999989</v>
      </c>
      <c r="G17" s="108">
        <v>33485266.510000002</v>
      </c>
      <c r="H17" s="137">
        <f>IF(Incentives!H15="","",SUM(Incentives!H15:H16))</f>
        <v>100593.69</v>
      </c>
      <c r="I17" s="137">
        <f>IF(Incentives!I15="","",SUM(Incentives!I15:I16))</f>
        <v>43390.09</v>
      </c>
      <c r="J17" s="137">
        <f>IF(Incentives!J15="","",SUM(Incentives!J15:J16))</f>
        <v>-90601.26</v>
      </c>
      <c r="K17" s="137">
        <f>IF(Incentives!K15="","",SUM(Incentives!K15:K16))</f>
        <v>403947.16000000003</v>
      </c>
      <c r="L17" s="137">
        <f>IF(Incentives!L15="","",SUM(Incentives!L15:L16))</f>
        <v>21728.940000000002</v>
      </c>
      <c r="M17" s="137">
        <f>IF(Incentives!M15="","",SUM(Incentives!M15:M16))</f>
        <v>3558815.1</v>
      </c>
      <c r="N17" s="137">
        <f>IF(Incentives!N15="","",SUM(Incentives!N15:N16))</f>
        <v>7049790.709999999</v>
      </c>
      <c r="O17" s="137">
        <f>IF(Incentives!O15="","",SUM(Incentives!O15:O16))</f>
        <v>8395001.0800000001</v>
      </c>
      <c r="P17" s="137">
        <f>IF(Incentives!P15="","",SUM(Incentives!P15:P16))</f>
        <v>7966709.3600000003</v>
      </c>
      <c r="Q17" s="137">
        <f>IF(Incentives!Q15="","",SUM(Incentives!Q15:Q16))</f>
        <v>3911813.31</v>
      </c>
      <c r="R17" s="137">
        <f>IF(Incentives!R15="","",SUM(Incentives!R15:R16))</f>
        <v>262246.19</v>
      </c>
      <c r="S17" s="137">
        <f>IF(Incentives!S15="","",SUM(Incentives!S15:S16))</f>
        <v>38727.309999997757</v>
      </c>
      <c r="T17" s="108">
        <f t="shared" si="0"/>
        <v>31662161.679999996</v>
      </c>
      <c r="U17" s="108">
        <f t="shared" si="1"/>
        <v>182663725.91</v>
      </c>
      <c r="V17" s="89">
        <f>201172000+3000000</f>
        <v>204172000</v>
      </c>
      <c r="W17" s="153"/>
      <c r="X17" s="147">
        <f t="shared" si="2"/>
        <v>0.89465610323648692</v>
      </c>
      <c r="Y17" s="1"/>
    </row>
    <row r="18" spans="2:25" ht="12.75" customHeight="1" x14ac:dyDescent="0.25">
      <c r="B18" s="37" t="s">
        <v>287</v>
      </c>
      <c r="C18" s="64"/>
      <c r="D18" s="91">
        <f>SUM(D8:D17)</f>
        <v>138784563.76427588</v>
      </c>
      <c r="E18" s="91">
        <f t="shared" ref="E18:V18" si="3">SUM(E8:E17)</f>
        <v>113319322.15660001</v>
      </c>
      <c r="F18" s="91">
        <f t="shared" ref="F18" si="4">SUM(F8:F17)</f>
        <v>92455044.803699985</v>
      </c>
      <c r="G18" s="91">
        <f t="shared" si="3"/>
        <v>108974724.3619</v>
      </c>
      <c r="H18" s="91">
        <f t="shared" si="3"/>
        <v>2771157.1305000004</v>
      </c>
      <c r="I18" s="91">
        <f t="shared" si="3"/>
        <v>2638615.8734999998</v>
      </c>
      <c r="J18" s="91">
        <f t="shared" si="3"/>
        <v>4994307.9615000002</v>
      </c>
      <c r="K18" s="91">
        <f t="shared" si="3"/>
        <v>5639389.4950000001</v>
      </c>
      <c r="L18" s="91">
        <f t="shared" si="3"/>
        <v>4439813.5921000009</v>
      </c>
      <c r="M18" s="91">
        <f t="shared" si="3"/>
        <v>9063852.9700000007</v>
      </c>
      <c r="N18" s="91">
        <f t="shared" si="3"/>
        <v>17094534.829999998</v>
      </c>
      <c r="O18" s="91">
        <f t="shared" si="3"/>
        <v>21367562.051700003</v>
      </c>
      <c r="P18" s="91">
        <f t="shared" si="3"/>
        <v>17872486.487799998</v>
      </c>
      <c r="Q18" s="91">
        <f t="shared" si="3"/>
        <v>14263378.170000002</v>
      </c>
      <c r="R18" s="91">
        <f t="shared" si="3"/>
        <v>6640611.6953000007</v>
      </c>
      <c r="S18" s="91">
        <f t="shared" si="3"/>
        <v>5961401.2000999982</v>
      </c>
      <c r="T18" s="91">
        <f t="shared" si="3"/>
        <v>112747111.45750001</v>
      </c>
      <c r="U18" s="91">
        <f t="shared" si="3"/>
        <v>566280766.54397583</v>
      </c>
      <c r="V18" s="91">
        <f t="shared" si="3"/>
        <v>669968214.81030011</v>
      </c>
      <c r="W18" s="154"/>
      <c r="X18" s="148">
        <f>U18/SUM(V18:W18)</f>
        <v>0.84523527239917917</v>
      </c>
      <c r="Y18" s="1"/>
    </row>
    <row r="19" spans="2:25" ht="12.75" customHeight="1" x14ac:dyDescent="0.25">
      <c r="B19" s="1"/>
      <c r="C19" s="1"/>
      <c r="D19" s="86"/>
      <c r="E19" s="86"/>
      <c r="F19" s="86"/>
      <c r="G19" s="86"/>
      <c r="H19" s="86"/>
      <c r="I19" s="86"/>
      <c r="J19" s="86"/>
      <c r="K19" s="86"/>
      <c r="L19" s="86"/>
      <c r="M19" s="86"/>
      <c r="N19" s="86"/>
      <c r="O19" s="86"/>
      <c r="P19" s="86"/>
      <c r="Q19" s="86"/>
      <c r="R19" s="86"/>
      <c r="S19" s="86"/>
      <c r="T19" s="86"/>
      <c r="U19" s="86"/>
      <c r="V19" s="86"/>
      <c r="W19" s="155"/>
      <c r="X19" s="1"/>
      <c r="Y19" s="1"/>
    </row>
    <row r="20" spans="2:25" ht="25.5" customHeight="1" x14ac:dyDescent="0.25">
      <c r="B20" s="57" t="s">
        <v>89</v>
      </c>
      <c r="C20" s="1"/>
      <c r="D20" s="86"/>
      <c r="E20" s="86"/>
      <c r="F20" s="86"/>
      <c r="G20" s="86"/>
      <c r="H20" s="86"/>
      <c r="I20" s="86"/>
      <c r="J20" s="86"/>
      <c r="K20" s="86"/>
      <c r="L20" s="86"/>
      <c r="M20" s="86"/>
      <c r="N20" s="86"/>
      <c r="O20" s="86"/>
      <c r="P20" s="86"/>
      <c r="Q20" s="86"/>
      <c r="R20" s="86"/>
      <c r="S20" s="86"/>
      <c r="T20" s="86"/>
      <c r="U20" s="86"/>
      <c r="V20" s="86"/>
      <c r="W20" s="155"/>
      <c r="X20" s="1"/>
      <c r="Y20" s="1"/>
    </row>
    <row r="21" spans="2:25" ht="12.75" customHeight="1" x14ac:dyDescent="0.25">
      <c r="B21" s="34" t="str">
        <f>OBMC</f>
        <v>Optional Binding Mandatory Curtailment (OBMC)</v>
      </c>
      <c r="C21" s="58"/>
      <c r="D21" s="107">
        <v>0</v>
      </c>
      <c r="E21" s="107">
        <v>0</v>
      </c>
      <c r="F21" s="107">
        <v>0</v>
      </c>
      <c r="G21" s="107">
        <v>0</v>
      </c>
      <c r="H21" s="83">
        <v>0</v>
      </c>
      <c r="I21" s="83">
        <v>0</v>
      </c>
      <c r="J21" s="83">
        <v>0</v>
      </c>
      <c r="K21" s="83">
        <v>0</v>
      </c>
      <c r="L21" s="83">
        <v>0</v>
      </c>
      <c r="M21" s="83">
        <v>0</v>
      </c>
      <c r="N21" s="83">
        <v>0</v>
      </c>
      <c r="O21" s="83">
        <v>0</v>
      </c>
      <c r="P21" s="83">
        <v>0</v>
      </c>
      <c r="Q21" s="83">
        <v>0</v>
      </c>
      <c r="R21" s="83">
        <v>0</v>
      </c>
      <c r="S21" s="83">
        <v>0</v>
      </c>
      <c r="T21" s="107">
        <f>SUM(H21:S21)</f>
        <v>0</v>
      </c>
      <c r="U21" s="107">
        <f t="shared" ref="U21:U23" si="5">SUM(D21:G21,T21)</f>
        <v>0</v>
      </c>
      <c r="V21" s="82">
        <v>15000</v>
      </c>
      <c r="W21" s="151"/>
      <c r="X21" s="145">
        <f t="shared" ref="X21:X23" si="6">U21/SUM(V21:W21)</f>
        <v>0</v>
      </c>
      <c r="Y21" s="1"/>
    </row>
    <row r="22" spans="2:25" ht="12.75" customHeight="1" x14ac:dyDescent="0.25">
      <c r="B22" s="38" t="str">
        <f>ROTO</f>
        <v>Rotating Outages</v>
      </c>
      <c r="C22" s="39"/>
      <c r="D22" s="93">
        <v>0</v>
      </c>
      <c r="E22" s="93">
        <v>0</v>
      </c>
      <c r="F22" s="93">
        <v>86361.89</v>
      </c>
      <c r="G22" s="136">
        <v>665.9</v>
      </c>
      <c r="H22" s="137">
        <v>0</v>
      </c>
      <c r="I22" s="137">
        <v>0</v>
      </c>
      <c r="J22" s="137">
        <v>0</v>
      </c>
      <c r="K22" s="137">
        <v>0</v>
      </c>
      <c r="L22" s="137">
        <v>0</v>
      </c>
      <c r="M22" s="137">
        <v>0</v>
      </c>
      <c r="N22" s="137">
        <v>1058.3599999999999</v>
      </c>
      <c r="O22" s="137">
        <v>0</v>
      </c>
      <c r="P22" s="137">
        <v>0</v>
      </c>
      <c r="Q22" s="137">
        <v>0</v>
      </c>
      <c r="R22" s="137">
        <v>0</v>
      </c>
      <c r="S22" s="137">
        <v>0</v>
      </c>
      <c r="T22" s="136">
        <f t="shared" ref="T22:T23" si="7">SUM(H22:S22)</f>
        <v>1058.3599999999999</v>
      </c>
      <c r="U22" s="136">
        <f t="shared" si="5"/>
        <v>88086.15</v>
      </c>
      <c r="V22" s="138">
        <v>400000</v>
      </c>
      <c r="W22" s="152"/>
      <c r="X22" s="146">
        <f t="shared" si="6"/>
        <v>0.22021537499999999</v>
      </c>
      <c r="Y22" s="1"/>
    </row>
    <row r="23" spans="2:25" ht="12.75" customHeight="1" x14ac:dyDescent="0.25">
      <c r="B23" s="35" t="str">
        <f>SLRP</f>
        <v>Scheduled Load Reduction Program (SLRP)</v>
      </c>
      <c r="C23" s="36"/>
      <c r="D23" s="108">
        <v>0</v>
      </c>
      <c r="E23" s="108">
        <v>0</v>
      </c>
      <c r="F23" s="108">
        <v>0</v>
      </c>
      <c r="G23" s="108">
        <v>0</v>
      </c>
      <c r="H23" s="90">
        <v>0</v>
      </c>
      <c r="I23" s="90">
        <v>0</v>
      </c>
      <c r="J23" s="90">
        <v>0</v>
      </c>
      <c r="K23" s="90">
        <v>0</v>
      </c>
      <c r="L23" s="90">
        <v>0</v>
      </c>
      <c r="M23" s="90">
        <v>0</v>
      </c>
      <c r="N23" s="90">
        <v>0</v>
      </c>
      <c r="O23" s="90">
        <v>0</v>
      </c>
      <c r="P23" s="90">
        <v>0</v>
      </c>
      <c r="Q23" s="90">
        <v>0</v>
      </c>
      <c r="R23" s="90">
        <v>0</v>
      </c>
      <c r="S23" s="90">
        <v>0</v>
      </c>
      <c r="T23" s="108">
        <f t="shared" si="7"/>
        <v>0</v>
      </c>
      <c r="U23" s="108">
        <f t="shared" si="5"/>
        <v>0</v>
      </c>
      <c r="V23" s="89">
        <v>15625</v>
      </c>
      <c r="W23" s="153"/>
      <c r="X23" s="147">
        <f t="shared" si="6"/>
        <v>0</v>
      </c>
      <c r="Y23" s="1"/>
    </row>
    <row r="24" spans="2:25" ht="12.75" customHeight="1" x14ac:dyDescent="0.25">
      <c r="B24" s="37" t="s">
        <v>80</v>
      </c>
      <c r="C24" s="64"/>
      <c r="D24" s="91">
        <f>SUM(D21:D23)</f>
        <v>0</v>
      </c>
      <c r="E24" s="91">
        <f t="shared" ref="E24:V24" si="8">SUM(E21:E23)</f>
        <v>0</v>
      </c>
      <c r="F24" s="91">
        <f t="shared" ref="F24" si="9">SUM(F21:F23)</f>
        <v>86361.89</v>
      </c>
      <c r="G24" s="91">
        <f t="shared" si="8"/>
        <v>665.9</v>
      </c>
      <c r="H24" s="91">
        <f t="shared" si="8"/>
        <v>0</v>
      </c>
      <c r="I24" s="91">
        <f t="shared" si="8"/>
        <v>0</v>
      </c>
      <c r="J24" s="91">
        <f t="shared" si="8"/>
        <v>0</v>
      </c>
      <c r="K24" s="91">
        <f t="shared" si="8"/>
        <v>0</v>
      </c>
      <c r="L24" s="91">
        <f t="shared" si="8"/>
        <v>0</v>
      </c>
      <c r="M24" s="91">
        <f t="shared" si="8"/>
        <v>0</v>
      </c>
      <c r="N24" s="91">
        <f t="shared" si="8"/>
        <v>1058.3599999999999</v>
      </c>
      <c r="O24" s="91">
        <f t="shared" si="8"/>
        <v>0</v>
      </c>
      <c r="P24" s="91">
        <f t="shared" si="8"/>
        <v>0</v>
      </c>
      <c r="Q24" s="91">
        <f t="shared" si="8"/>
        <v>0</v>
      </c>
      <c r="R24" s="91">
        <f t="shared" si="8"/>
        <v>0</v>
      </c>
      <c r="S24" s="91">
        <f t="shared" si="8"/>
        <v>0</v>
      </c>
      <c r="T24" s="91">
        <f t="shared" si="8"/>
        <v>1058.3599999999999</v>
      </c>
      <c r="U24" s="91">
        <f t="shared" si="8"/>
        <v>88086.15</v>
      </c>
      <c r="V24" s="91">
        <f t="shared" si="8"/>
        <v>430625</v>
      </c>
      <c r="W24" s="154"/>
      <c r="X24" s="148">
        <f>U24/SUM(V24:W24)</f>
        <v>0.2045541944847605</v>
      </c>
      <c r="Y24" s="1"/>
    </row>
    <row r="25" spans="2:25" ht="12.75" customHeight="1" x14ac:dyDescent="0.25">
      <c r="B25" s="1"/>
      <c r="C25" s="1"/>
      <c r="D25" s="86"/>
      <c r="E25" s="86"/>
      <c r="F25" s="86"/>
      <c r="G25" s="86"/>
      <c r="H25" s="86"/>
      <c r="I25" s="86"/>
      <c r="J25" s="86"/>
      <c r="K25" s="86"/>
      <c r="L25" s="86"/>
      <c r="M25" s="86"/>
      <c r="N25" s="86"/>
      <c r="O25" s="86"/>
      <c r="P25" s="86"/>
      <c r="Q25" s="86"/>
      <c r="R25" s="86"/>
      <c r="S25" s="86"/>
      <c r="T25" s="86"/>
      <c r="U25" s="86"/>
      <c r="V25" s="86"/>
      <c r="W25" s="155"/>
      <c r="X25" s="149"/>
      <c r="Y25" s="1"/>
    </row>
    <row r="26" spans="2:25" ht="40.5" customHeight="1" x14ac:dyDescent="0.25">
      <c r="B26" s="57" t="s">
        <v>288</v>
      </c>
      <c r="C26" s="1"/>
      <c r="D26" s="86"/>
      <c r="E26" s="86"/>
      <c r="F26" s="86"/>
      <c r="G26" s="86"/>
      <c r="H26" s="86"/>
      <c r="I26" s="86"/>
      <c r="J26" s="86"/>
      <c r="K26" s="86"/>
      <c r="L26" s="86"/>
      <c r="M26" s="86"/>
      <c r="N26" s="86"/>
      <c r="O26" s="86"/>
      <c r="P26" s="86"/>
      <c r="Q26" s="86"/>
      <c r="R26" s="86"/>
      <c r="S26" s="86"/>
      <c r="T26" s="86"/>
      <c r="U26" s="86"/>
      <c r="V26" s="86"/>
      <c r="W26" s="155"/>
      <c r="X26" s="149"/>
      <c r="Y26" s="1"/>
    </row>
    <row r="27" spans="2:25" ht="12.75" customHeight="1" x14ac:dyDescent="0.25">
      <c r="B27" s="34" t="str">
        <f>DRAM</f>
        <v>Demand Response Auction Mechanism (DRAM)</v>
      </c>
      <c r="C27" s="58"/>
      <c r="D27" s="107">
        <v>3616028.5982999997</v>
      </c>
      <c r="E27" s="107">
        <v>8683043.6845000014</v>
      </c>
      <c r="F27" s="107">
        <v>4622174.3499999996</v>
      </c>
      <c r="G27" s="107">
        <v>3276796.69</v>
      </c>
      <c r="H27" s="83">
        <v>265147.94</v>
      </c>
      <c r="I27" s="83">
        <v>951920.46</v>
      </c>
      <c r="J27" s="83">
        <v>-73544.850000000006</v>
      </c>
      <c r="K27" s="83">
        <v>133516.07</v>
      </c>
      <c r="L27" s="83">
        <v>603531.89</v>
      </c>
      <c r="M27" s="83">
        <v>361252.14</v>
      </c>
      <c r="N27" s="83">
        <v>411109.05</v>
      </c>
      <c r="O27" s="83">
        <v>950950.51</v>
      </c>
      <c r="P27" s="83">
        <v>1085305.3999999999</v>
      </c>
      <c r="Q27" s="83">
        <v>-32569.79</v>
      </c>
      <c r="R27" s="83">
        <v>-106157.48</v>
      </c>
      <c r="S27" s="83">
        <v>191143.17</v>
      </c>
      <c r="T27" s="107">
        <f>SUM(H27:S27)</f>
        <v>4741604.5099999988</v>
      </c>
      <c r="U27" s="107">
        <f t="shared" ref="U27:U28" si="10">SUM(D27:G27,T27)</f>
        <v>24939647.832799997</v>
      </c>
      <c r="V27" s="82">
        <v>36360000</v>
      </c>
      <c r="W27" s="151"/>
      <c r="X27" s="145">
        <f t="shared" ref="X27" si="11">U27/SUM(V27:W27)</f>
        <v>0.68590890629262924</v>
      </c>
      <c r="Y27" s="1"/>
    </row>
    <row r="28" spans="2:25" ht="12.75" customHeight="1" x14ac:dyDescent="0.25">
      <c r="B28" s="35" t="str">
        <f>DRR_24</f>
        <v>DR Rule 24</v>
      </c>
      <c r="C28" s="36"/>
      <c r="D28" s="93">
        <v>0</v>
      </c>
      <c r="E28" s="93">
        <v>0</v>
      </c>
      <c r="F28" s="93">
        <v>0</v>
      </c>
      <c r="G28" s="108">
        <v>0</v>
      </c>
      <c r="H28" s="90">
        <v>0</v>
      </c>
      <c r="I28" s="90">
        <v>0</v>
      </c>
      <c r="J28" s="90">
        <v>0</v>
      </c>
      <c r="K28" s="90">
        <v>0</v>
      </c>
      <c r="L28" s="90">
        <v>0</v>
      </c>
      <c r="M28" s="90">
        <v>0</v>
      </c>
      <c r="N28" s="90">
        <v>0</v>
      </c>
      <c r="O28" s="90">
        <v>0</v>
      </c>
      <c r="P28" s="90">
        <v>0</v>
      </c>
      <c r="Q28" s="90">
        <v>0</v>
      </c>
      <c r="R28" s="90">
        <v>0</v>
      </c>
      <c r="S28" s="90">
        <v>0</v>
      </c>
      <c r="T28" s="108">
        <f>SUM(H28:S28)</f>
        <v>0</v>
      </c>
      <c r="U28" s="108">
        <f t="shared" si="10"/>
        <v>0</v>
      </c>
      <c r="V28" s="89">
        <v>0</v>
      </c>
      <c r="W28" s="153"/>
      <c r="X28" s="147">
        <v>0</v>
      </c>
      <c r="Y28" s="1"/>
    </row>
    <row r="29" spans="2:25" ht="12.75" customHeight="1" x14ac:dyDescent="0.25">
      <c r="B29" s="37" t="s">
        <v>90</v>
      </c>
      <c r="C29" s="64"/>
      <c r="D29" s="91">
        <f>SUM(D27:D28)</f>
        <v>3616028.5982999997</v>
      </c>
      <c r="E29" s="91">
        <f t="shared" ref="E29:V29" si="12">SUM(E27:E28)</f>
        <v>8683043.6845000014</v>
      </c>
      <c r="F29" s="91">
        <f t="shared" ref="F29" si="13">SUM(F27:F28)</f>
        <v>4622174.3499999996</v>
      </c>
      <c r="G29" s="91">
        <f t="shared" si="12"/>
        <v>3276796.69</v>
      </c>
      <c r="H29" s="91">
        <f t="shared" si="12"/>
        <v>265147.94</v>
      </c>
      <c r="I29" s="91">
        <f t="shared" si="12"/>
        <v>951920.46</v>
      </c>
      <c r="J29" s="91">
        <f t="shared" si="12"/>
        <v>-73544.850000000006</v>
      </c>
      <c r="K29" s="91">
        <f t="shared" si="12"/>
        <v>133516.07</v>
      </c>
      <c r="L29" s="91">
        <f t="shared" si="12"/>
        <v>603531.89</v>
      </c>
      <c r="M29" s="91">
        <f t="shared" si="12"/>
        <v>361252.14</v>
      </c>
      <c r="N29" s="91">
        <f t="shared" si="12"/>
        <v>411109.05</v>
      </c>
      <c r="O29" s="91">
        <f t="shared" si="12"/>
        <v>950950.51</v>
      </c>
      <c r="P29" s="91">
        <f t="shared" si="12"/>
        <v>1085305.3999999999</v>
      </c>
      <c r="Q29" s="91">
        <f t="shared" si="12"/>
        <v>-32569.79</v>
      </c>
      <c r="R29" s="91">
        <f t="shared" si="12"/>
        <v>-106157.48</v>
      </c>
      <c r="S29" s="91">
        <f t="shared" si="12"/>
        <v>191143.17</v>
      </c>
      <c r="T29" s="91">
        <f t="shared" si="12"/>
        <v>4741604.5099999988</v>
      </c>
      <c r="U29" s="91">
        <f t="shared" si="12"/>
        <v>24939647.832799997</v>
      </c>
      <c r="V29" s="91">
        <f t="shared" si="12"/>
        <v>36360000</v>
      </c>
      <c r="W29" s="154"/>
      <c r="X29" s="148">
        <f>U29/SUM(V29:W29)</f>
        <v>0.68590890629262924</v>
      </c>
      <c r="Y29" s="1"/>
    </row>
    <row r="30" spans="2:25" ht="12.75" customHeight="1" x14ac:dyDescent="0.25">
      <c r="B30" s="1"/>
      <c r="C30" s="1"/>
      <c r="D30" s="86"/>
      <c r="E30" s="86"/>
      <c r="F30" s="86"/>
      <c r="G30" s="86"/>
      <c r="H30" s="86"/>
      <c r="I30" s="86"/>
      <c r="J30" s="86"/>
      <c r="K30" s="86"/>
      <c r="L30" s="86"/>
      <c r="M30" s="86"/>
      <c r="N30" s="86"/>
      <c r="O30" s="86"/>
      <c r="P30" s="86"/>
      <c r="Q30" s="86"/>
      <c r="R30" s="86"/>
      <c r="S30" s="86"/>
      <c r="T30" s="86"/>
      <c r="U30" s="86"/>
      <c r="V30" s="86"/>
      <c r="W30" s="155"/>
      <c r="X30" s="149"/>
      <c r="Y30" s="1"/>
    </row>
    <row r="31" spans="2:25" ht="27" customHeight="1" x14ac:dyDescent="0.25">
      <c r="B31" s="57" t="s">
        <v>93</v>
      </c>
      <c r="C31" s="1"/>
      <c r="D31" s="86"/>
      <c r="E31" s="86"/>
      <c r="F31" s="86"/>
      <c r="G31" s="86"/>
      <c r="H31" s="86"/>
      <c r="I31" s="86"/>
      <c r="J31" s="86"/>
      <c r="K31" s="86"/>
      <c r="L31" s="86"/>
      <c r="M31" s="86"/>
      <c r="N31" s="86"/>
      <c r="O31" s="86"/>
      <c r="P31" s="86"/>
      <c r="Q31" s="86"/>
      <c r="R31" s="86"/>
      <c r="S31" s="86"/>
      <c r="T31" s="86"/>
      <c r="U31" s="86"/>
      <c r="V31" s="86"/>
      <c r="W31" s="155"/>
      <c r="X31" s="149"/>
      <c r="Y31" s="1"/>
    </row>
    <row r="32" spans="2:25" ht="12.75" customHeight="1" x14ac:dyDescent="0.25">
      <c r="B32" s="34" t="str">
        <f>EMT</f>
        <v>Emerging Markets and Technology</v>
      </c>
      <c r="C32" s="58"/>
      <c r="D32" s="107">
        <v>2301711.2619054872</v>
      </c>
      <c r="E32" s="107">
        <v>5164302.0041000005</v>
      </c>
      <c r="F32" s="107">
        <v>3311202.4079999998</v>
      </c>
      <c r="G32" s="107">
        <v>2129542.4465000001</v>
      </c>
      <c r="H32" s="83">
        <v>36004.064899999998</v>
      </c>
      <c r="I32" s="83">
        <v>117516.2929</v>
      </c>
      <c r="J32" s="83">
        <v>112531.12760000001</v>
      </c>
      <c r="K32" s="83">
        <v>152293.51509999999</v>
      </c>
      <c r="L32" s="83">
        <v>513791.70770000003</v>
      </c>
      <c r="M32" s="83">
        <v>150527.32</v>
      </c>
      <c r="N32" s="83">
        <f>145224.52-10236.8</f>
        <v>134987.72</v>
      </c>
      <c r="O32" s="83">
        <v>160330.54430000001</v>
      </c>
      <c r="P32" s="83">
        <v>708408.42579999997</v>
      </c>
      <c r="Q32" s="83">
        <v>139098.01999999999</v>
      </c>
      <c r="R32" s="83">
        <v>161249.5816</v>
      </c>
      <c r="S32" s="83">
        <v>757465.66980000003</v>
      </c>
      <c r="T32" s="107">
        <f>SUM(H32:S32)</f>
        <v>3144203.9896999998</v>
      </c>
      <c r="U32" s="107">
        <f t="shared" ref="U32:U34" si="14">SUM(D32:G32,T32)</f>
        <v>16050962.110205486</v>
      </c>
      <c r="V32" s="82">
        <v>17110000</v>
      </c>
      <c r="W32" s="151">
        <v>4500000</v>
      </c>
      <c r="X32" s="145">
        <f t="shared" ref="X32:X34" si="15">U32/SUM(V32:W32)</f>
        <v>0.74275622907012895</v>
      </c>
      <c r="Y32" s="1"/>
    </row>
    <row r="33" spans="2:25" ht="12.75" customHeight="1" x14ac:dyDescent="0.25">
      <c r="B33" s="38" t="str">
        <f>SCT</f>
        <v>Smart Communicating Thermostat Program (SCT)</v>
      </c>
      <c r="C33" s="39"/>
      <c r="D33" s="136">
        <v>0</v>
      </c>
      <c r="E33" s="136">
        <v>0</v>
      </c>
      <c r="F33" s="136">
        <v>0</v>
      </c>
      <c r="G33" s="136">
        <v>0</v>
      </c>
      <c r="H33" s="137"/>
      <c r="I33" s="137">
        <v>0</v>
      </c>
      <c r="J33" s="137">
        <v>0</v>
      </c>
      <c r="K33" s="137">
        <v>0</v>
      </c>
      <c r="L33" s="137">
        <v>0</v>
      </c>
      <c r="M33" s="137">
        <v>0</v>
      </c>
      <c r="N33" s="137">
        <v>0</v>
      </c>
      <c r="O33" s="137">
        <v>0</v>
      </c>
      <c r="P33" s="137">
        <v>0</v>
      </c>
      <c r="Q33" s="137">
        <v>0</v>
      </c>
      <c r="R33" s="137">
        <v>0</v>
      </c>
      <c r="S33" s="137">
        <v>0</v>
      </c>
      <c r="T33" s="136">
        <v>0</v>
      </c>
      <c r="U33" s="136"/>
      <c r="V33" s="138">
        <v>9900000</v>
      </c>
      <c r="W33" s="152"/>
      <c r="X33" s="146">
        <f t="shared" si="15"/>
        <v>0</v>
      </c>
      <c r="Y33" s="1"/>
    </row>
    <row r="34" spans="2:25" ht="12.75" customHeight="1" x14ac:dyDescent="0.25">
      <c r="B34" s="35" t="str">
        <f>TIP</f>
        <v>Technology Incentive Program (AutoDR-TI)</v>
      </c>
      <c r="C34" s="36"/>
      <c r="D34" s="93">
        <v>3808826.1867315881</v>
      </c>
      <c r="E34" s="93">
        <v>935221.0941000001</v>
      </c>
      <c r="F34" s="93">
        <v>1366473.4570000002</v>
      </c>
      <c r="G34" s="108">
        <v>2271517.0999999996</v>
      </c>
      <c r="H34" s="90">
        <v>159164.02100000001</v>
      </c>
      <c r="I34" s="90">
        <v>95599.7405</v>
      </c>
      <c r="J34" s="90">
        <v>152331.53039999999</v>
      </c>
      <c r="K34" s="90">
        <v>-152918.4374</v>
      </c>
      <c r="L34" s="90">
        <v>168887.81020000001</v>
      </c>
      <c r="M34" s="90">
        <v>144594.99</v>
      </c>
      <c r="N34" s="90">
        <v>183796.34</v>
      </c>
      <c r="O34" s="90">
        <v>237220.48680000001</v>
      </c>
      <c r="P34" s="90">
        <v>190752.7941</v>
      </c>
      <c r="Q34" s="90">
        <v>165366.42000000001</v>
      </c>
      <c r="R34" s="90">
        <v>178533.6672</v>
      </c>
      <c r="S34" s="90">
        <v>291519.326</v>
      </c>
      <c r="T34" s="108">
        <f>SUM(H34:S34)</f>
        <v>1814848.6888000001</v>
      </c>
      <c r="U34" s="108">
        <f t="shared" si="14"/>
        <v>10196886.526631588</v>
      </c>
      <c r="V34" s="89">
        <v>43639324.865400001</v>
      </c>
      <c r="W34" s="89">
        <v>-4500000</v>
      </c>
      <c r="X34" s="147">
        <f t="shared" si="15"/>
        <v>0.26052791052729307</v>
      </c>
      <c r="Y34" s="1"/>
    </row>
    <row r="35" spans="2:25" ht="12.75" customHeight="1" x14ac:dyDescent="0.25">
      <c r="B35" s="37" t="s">
        <v>94</v>
      </c>
      <c r="C35" s="64"/>
      <c r="D35" s="91">
        <f>SUM(D32:D34)</f>
        <v>6110537.4486370757</v>
      </c>
      <c r="E35" s="91">
        <f t="shared" ref="E35:V35" si="16">SUM(E32:E34)</f>
        <v>6099523.0982000008</v>
      </c>
      <c r="F35" s="91">
        <f t="shared" ref="F35" si="17">SUM(F32:F34)</f>
        <v>4677675.8650000002</v>
      </c>
      <c r="G35" s="91">
        <f t="shared" si="16"/>
        <v>4401059.5464999992</v>
      </c>
      <c r="H35" s="91">
        <f t="shared" si="16"/>
        <v>195168.08590000001</v>
      </c>
      <c r="I35" s="91">
        <f t="shared" si="16"/>
        <v>213116.03340000001</v>
      </c>
      <c r="J35" s="91">
        <f t="shared" si="16"/>
        <v>264862.658</v>
      </c>
      <c r="K35" s="91">
        <f t="shared" si="16"/>
        <v>-624.92230000000563</v>
      </c>
      <c r="L35" s="91">
        <f t="shared" si="16"/>
        <v>682679.51790000009</v>
      </c>
      <c r="M35" s="91">
        <f t="shared" si="16"/>
        <v>295122.31</v>
      </c>
      <c r="N35" s="91">
        <f t="shared" si="16"/>
        <v>318784.06</v>
      </c>
      <c r="O35" s="91">
        <f t="shared" si="16"/>
        <v>397551.03110000002</v>
      </c>
      <c r="P35" s="91">
        <f t="shared" si="16"/>
        <v>899161.21989999991</v>
      </c>
      <c r="Q35" s="91">
        <f t="shared" si="16"/>
        <v>304464.44</v>
      </c>
      <c r="R35" s="91">
        <f t="shared" si="16"/>
        <v>339783.2488</v>
      </c>
      <c r="S35" s="91">
        <f t="shared" si="16"/>
        <v>1048984.9958000001</v>
      </c>
      <c r="T35" s="91">
        <f t="shared" si="16"/>
        <v>4959052.6785000004</v>
      </c>
      <c r="U35" s="91">
        <f t="shared" si="16"/>
        <v>26247848.636837073</v>
      </c>
      <c r="V35" s="91">
        <f t="shared" si="16"/>
        <v>70649324.865400001</v>
      </c>
      <c r="W35" s="154"/>
      <c r="X35" s="148">
        <f>U17/SUM(V17:W17)</f>
        <v>0.89465610323648692</v>
      </c>
      <c r="Y35" s="1"/>
    </row>
    <row r="36" spans="2:25" ht="12.75" customHeight="1" x14ac:dyDescent="0.25">
      <c r="B36" s="1"/>
      <c r="C36" s="1"/>
      <c r="D36" s="86"/>
      <c r="E36" s="86"/>
      <c r="F36" s="86"/>
      <c r="G36" s="86"/>
      <c r="H36" s="86"/>
      <c r="I36" s="86"/>
      <c r="J36" s="86"/>
      <c r="K36" s="86"/>
      <c r="L36" s="86"/>
      <c r="M36" s="86"/>
      <c r="N36" s="86"/>
      <c r="O36" s="86"/>
      <c r="P36" s="86"/>
      <c r="Q36" s="86"/>
      <c r="R36" s="86"/>
      <c r="S36" s="86"/>
      <c r="T36" s="86"/>
      <c r="U36" s="86"/>
      <c r="V36" s="86"/>
      <c r="W36" s="155"/>
      <c r="X36" s="149"/>
      <c r="Y36" s="1"/>
    </row>
    <row r="37" spans="2:25" ht="12.75" customHeight="1" x14ac:dyDescent="0.25">
      <c r="B37" s="30" t="s">
        <v>95</v>
      </c>
      <c r="C37" s="1"/>
      <c r="D37" s="86"/>
      <c r="E37" s="86"/>
      <c r="F37" s="86"/>
      <c r="G37" s="86"/>
      <c r="H37" s="86"/>
      <c r="I37" s="86"/>
      <c r="J37" s="86"/>
      <c r="K37" s="86"/>
      <c r="L37" s="86"/>
      <c r="M37" s="86"/>
      <c r="N37" s="86"/>
      <c r="O37" s="86"/>
      <c r="P37" s="86"/>
      <c r="Q37" s="86"/>
      <c r="R37" s="86"/>
      <c r="S37" s="86"/>
      <c r="T37" s="86"/>
      <c r="U37" s="86"/>
      <c r="V37" s="86"/>
      <c r="W37" s="155"/>
      <c r="X37" s="149"/>
      <c r="Y37" s="1"/>
    </row>
    <row r="38" spans="2:25" ht="12.75" customHeight="1" x14ac:dyDescent="0.25">
      <c r="B38" s="34" t="str">
        <f>CBPR</f>
        <v>CBP Residential Pilot</v>
      </c>
      <c r="C38" s="58"/>
      <c r="D38" s="107">
        <v>0</v>
      </c>
      <c r="E38" s="107">
        <v>0</v>
      </c>
      <c r="F38" s="107">
        <v>0</v>
      </c>
      <c r="G38" s="107">
        <v>0</v>
      </c>
      <c r="H38" s="83">
        <v>0</v>
      </c>
      <c r="I38" s="83">
        <v>0</v>
      </c>
      <c r="J38" s="83">
        <v>0</v>
      </c>
      <c r="K38" s="83">
        <v>0</v>
      </c>
      <c r="L38" s="83">
        <v>0</v>
      </c>
      <c r="M38" s="83">
        <v>0</v>
      </c>
      <c r="N38" s="83">
        <v>0</v>
      </c>
      <c r="O38" s="83">
        <v>0</v>
      </c>
      <c r="P38" s="83">
        <v>0</v>
      </c>
      <c r="Q38" s="83">
        <v>0</v>
      </c>
      <c r="R38" s="83">
        <v>0</v>
      </c>
      <c r="S38" s="83">
        <v>0</v>
      </c>
      <c r="T38" s="107">
        <f>SUM(H38:S38)</f>
        <v>0</v>
      </c>
      <c r="U38" s="107">
        <f t="shared" ref="U38:U48" si="18">SUM(D38:G38,T38)</f>
        <v>0</v>
      </c>
      <c r="V38" s="82">
        <v>1005000</v>
      </c>
      <c r="W38" s="151"/>
      <c r="X38" s="145">
        <f t="shared" ref="X38:X48" si="19">U38/SUM(V38:W38)</f>
        <v>0</v>
      </c>
      <c r="Y38" s="1"/>
    </row>
    <row r="39" spans="2:25" ht="12.75" customHeight="1" x14ac:dyDescent="0.25">
      <c r="B39" s="38" t="str">
        <f>CHARG</f>
        <v>Charge Ready Pilot</v>
      </c>
      <c r="C39" s="39"/>
      <c r="D39" s="93">
        <v>113768.68496779082</v>
      </c>
      <c r="E39" s="93">
        <v>60240.33</v>
      </c>
      <c r="F39" s="93">
        <v>28528.137600000005</v>
      </c>
      <c r="G39" s="136">
        <v>4694.67</v>
      </c>
      <c r="H39" s="137">
        <v>0</v>
      </c>
      <c r="I39" s="137">
        <v>0</v>
      </c>
      <c r="J39" s="137">
        <v>0</v>
      </c>
      <c r="K39" s="137">
        <v>0</v>
      </c>
      <c r="L39" s="137">
        <v>0</v>
      </c>
      <c r="M39" s="137">
        <v>0</v>
      </c>
      <c r="N39" s="137">
        <v>0</v>
      </c>
      <c r="O39" s="137">
        <v>0</v>
      </c>
      <c r="P39" s="137">
        <v>0</v>
      </c>
      <c r="Q39" s="137">
        <v>0</v>
      </c>
      <c r="R39" s="137">
        <v>0</v>
      </c>
      <c r="S39" s="137">
        <v>0</v>
      </c>
      <c r="T39" s="136">
        <f t="shared" ref="T39:T48" si="20">SUM(H39:S39)</f>
        <v>0</v>
      </c>
      <c r="U39" s="136">
        <f t="shared" si="18"/>
        <v>207231.82256779083</v>
      </c>
      <c r="V39" s="138">
        <v>369953.21840000001</v>
      </c>
      <c r="W39" s="152"/>
      <c r="X39" s="146">
        <f t="shared" si="19"/>
        <v>0.56015683135300665</v>
      </c>
      <c r="Y39" s="1"/>
    </row>
    <row r="40" spans="2:25" ht="12.75" customHeight="1" x14ac:dyDescent="0.25">
      <c r="B40" s="38" t="s">
        <v>215</v>
      </c>
      <c r="C40" s="39"/>
      <c r="D40" s="93">
        <v>0</v>
      </c>
      <c r="E40" s="93">
        <v>1527.68</v>
      </c>
      <c r="F40" s="93">
        <v>0</v>
      </c>
      <c r="G40" s="136">
        <v>1562.65</v>
      </c>
      <c r="H40" s="137">
        <f>IF(Incentives!H11="","",(Incentives!H11))</f>
        <v>0</v>
      </c>
      <c r="I40" s="137">
        <f>IF(Incentives!I11="","",(Incentives!I11))</f>
        <v>0</v>
      </c>
      <c r="J40" s="137">
        <f>IF(Incentives!J11="","",(Incentives!J11))</f>
        <v>0</v>
      </c>
      <c r="K40" s="137">
        <f>IF(Incentives!K11="","",(Incentives!K11))</f>
        <v>0</v>
      </c>
      <c r="L40" s="137">
        <f>IF(Incentives!L11="","",(Incentives!L11))</f>
        <v>0</v>
      </c>
      <c r="M40" s="137">
        <f>IF(Incentives!M11="","",(Incentives!M11))</f>
        <v>0</v>
      </c>
      <c r="N40" s="137">
        <f>IF(Incentives!N11="","",(Incentives!N11))</f>
        <v>0</v>
      </c>
      <c r="O40" s="137">
        <f>IF(Incentives!O11="","",(Incentives!O11))</f>
        <v>0</v>
      </c>
      <c r="P40" s="137">
        <f>IF(Incentives!P11="","",(Incentives!P11))</f>
        <v>0</v>
      </c>
      <c r="Q40" s="137">
        <f>IF(Incentives!Q11="","",(Incentives!Q11))</f>
        <v>0</v>
      </c>
      <c r="R40" s="137">
        <f>IF(Incentives!R11="","",(Incentives!R11))</f>
        <v>0</v>
      </c>
      <c r="S40" s="137">
        <f>IF(Incentives!S11="","",(Incentives!S11))</f>
        <v>0</v>
      </c>
      <c r="T40" s="136">
        <f t="shared" si="20"/>
        <v>0</v>
      </c>
      <c r="U40" s="136">
        <f t="shared" si="18"/>
        <v>3090.33</v>
      </c>
      <c r="V40" s="138">
        <v>60000</v>
      </c>
      <c r="W40" s="152"/>
      <c r="X40" s="146">
        <f t="shared" si="19"/>
        <v>5.1505499999999996E-2</v>
      </c>
      <c r="Y40" s="1"/>
    </row>
    <row r="41" spans="2:25" ht="27.75" customHeight="1" x14ac:dyDescent="0.25">
      <c r="B41" s="120" t="str">
        <f>CLCP</f>
        <v>Constrained Local Capacity Planning Areas &amp; Disadvantaged Communities Pilot</v>
      </c>
      <c r="C41" s="39"/>
      <c r="D41" s="93">
        <v>0</v>
      </c>
      <c r="E41" s="93">
        <v>0</v>
      </c>
      <c r="F41" s="93">
        <v>11976</v>
      </c>
      <c r="G41" s="136">
        <v>85.3900000000001</v>
      </c>
      <c r="H41" s="137">
        <v>0</v>
      </c>
      <c r="I41" s="137">
        <v>0</v>
      </c>
      <c r="J41" s="137">
        <v>248.03</v>
      </c>
      <c r="K41" s="137">
        <v>258.38</v>
      </c>
      <c r="L41" s="137">
        <v>0</v>
      </c>
      <c r="M41" s="137">
        <v>1179.8499999999999</v>
      </c>
      <c r="N41" s="137">
        <v>338.39</v>
      </c>
      <c r="O41" s="137">
        <v>-7.15</v>
      </c>
      <c r="P41" s="137">
        <v>2352.17</v>
      </c>
      <c r="Q41" s="137">
        <v>1884.75</v>
      </c>
      <c r="R41" s="137">
        <v>409.29</v>
      </c>
      <c r="S41" s="137">
        <v>6018.49</v>
      </c>
      <c r="T41" s="136">
        <f t="shared" si="20"/>
        <v>12682.2</v>
      </c>
      <c r="U41" s="136">
        <f t="shared" si="18"/>
        <v>24743.59</v>
      </c>
      <c r="V41" s="138">
        <v>895350</v>
      </c>
      <c r="W41" s="152"/>
      <c r="X41" s="146">
        <f t="shared" si="19"/>
        <v>2.7635662031607753E-2</v>
      </c>
      <c r="Y41" s="1"/>
    </row>
    <row r="42" spans="2:25" ht="26.25" x14ac:dyDescent="0.25">
      <c r="B42" s="119" t="str">
        <f>CLCP_I</f>
        <v>Constrained Local Capacity Planning Areas &amp; Disadvantaged Communities Pilot Incentives</v>
      </c>
      <c r="C42" s="39"/>
      <c r="D42" s="93">
        <v>0</v>
      </c>
      <c r="E42" s="93">
        <v>0</v>
      </c>
      <c r="F42" s="93">
        <v>0</v>
      </c>
      <c r="G42" s="136">
        <v>0</v>
      </c>
      <c r="H42" s="137">
        <f>IF(Incentives!H12="","",(Incentives!H12))</f>
        <v>0</v>
      </c>
      <c r="I42" s="137">
        <f>IF(Incentives!I12="","",(Incentives!I12))</f>
        <v>0</v>
      </c>
      <c r="J42" s="137">
        <f>IF(Incentives!J12="","",(Incentives!J12))</f>
        <v>0</v>
      </c>
      <c r="K42" s="137">
        <f>IF(Incentives!K12="","",(Incentives!K12))</f>
        <v>0</v>
      </c>
      <c r="L42" s="137">
        <f>IF(Incentives!L12="","",(Incentives!L12))</f>
        <v>0</v>
      </c>
      <c r="M42" s="137">
        <f>IF(Incentives!M12="","",(Incentives!M12))</f>
        <v>0</v>
      </c>
      <c r="N42" s="137">
        <f>IF(Incentives!N12="","",(Incentives!N12))</f>
        <v>0</v>
      </c>
      <c r="O42" s="137">
        <f>IF(Incentives!O12="","",(Incentives!O12))</f>
        <v>0</v>
      </c>
      <c r="P42" s="137">
        <f>IF(Incentives!P12="","",(Incentives!P12))</f>
        <v>0</v>
      </c>
      <c r="Q42" s="137">
        <f>IF(Incentives!Q12="","",(Incentives!Q12))</f>
        <v>0</v>
      </c>
      <c r="R42" s="137">
        <f>IF(Incentives!R12="","",(Incentives!R12))</f>
        <v>0</v>
      </c>
      <c r="S42" s="137">
        <f>IF(Incentives!S12="","",(Incentives!S12))</f>
        <v>0</v>
      </c>
      <c r="T42" s="136">
        <f t="shared" si="20"/>
        <v>0</v>
      </c>
      <c r="U42" s="136">
        <f t="shared" si="18"/>
        <v>0</v>
      </c>
      <c r="V42" s="138">
        <v>104650</v>
      </c>
      <c r="W42" s="152"/>
      <c r="X42" s="146">
        <f t="shared" si="19"/>
        <v>0</v>
      </c>
      <c r="Y42" s="1"/>
    </row>
    <row r="43" spans="2:25" ht="12.75" customHeight="1" x14ac:dyDescent="0.25">
      <c r="B43" s="120" t="s">
        <v>213</v>
      </c>
      <c r="C43" s="39"/>
      <c r="D43" s="93">
        <v>0</v>
      </c>
      <c r="E43" s="93">
        <v>0</v>
      </c>
      <c r="F43" s="93">
        <v>0</v>
      </c>
      <c r="G43" s="136">
        <f>278119.59+15691</f>
        <v>293810.59000000003</v>
      </c>
      <c r="H43" s="137">
        <v>16251.05</v>
      </c>
      <c r="I43" s="137">
        <v>19975.830000000002</v>
      </c>
      <c r="J43" s="137">
        <v>21676.91</v>
      </c>
      <c r="K43" s="137">
        <v>82741.149999999994</v>
      </c>
      <c r="L43" s="137">
        <v>88701.13</v>
      </c>
      <c r="M43" s="137">
        <v>183212.65</v>
      </c>
      <c r="N43" s="137">
        <v>253421.46</v>
      </c>
      <c r="O43" s="137">
        <v>195018.89</v>
      </c>
      <c r="P43" s="137">
        <v>482253.6</v>
      </c>
      <c r="Q43" s="137">
        <v>251785.28</v>
      </c>
      <c r="R43" s="137">
        <v>272854.81</v>
      </c>
      <c r="S43" s="137">
        <v>5095844.87</v>
      </c>
      <c r="T43" s="136">
        <f t="shared" si="20"/>
        <v>6963737.6299999999</v>
      </c>
      <c r="U43" s="136">
        <f t="shared" si="18"/>
        <v>7257548.2199999997</v>
      </c>
      <c r="V43" s="138">
        <v>21100000</v>
      </c>
      <c r="W43" s="152"/>
      <c r="X43" s="146">
        <f t="shared" si="19"/>
        <v>0.34395963127962081</v>
      </c>
      <c r="Y43" s="1"/>
    </row>
    <row r="44" spans="2:25" ht="12.75" customHeight="1" x14ac:dyDescent="0.25">
      <c r="B44" s="59" t="s">
        <v>214</v>
      </c>
      <c r="C44" s="39"/>
      <c r="D44" s="93">
        <v>0</v>
      </c>
      <c r="E44" s="93">
        <v>0</v>
      </c>
      <c r="F44" s="93">
        <v>0</v>
      </c>
      <c r="G44" s="136">
        <v>0</v>
      </c>
      <c r="H44" s="137">
        <f>IF(Incentives!H13="","",(Incentives!H13))</f>
        <v>0</v>
      </c>
      <c r="I44" s="137">
        <f>IF(Incentives!I13="","",(Incentives!I13))</f>
        <v>43440.61</v>
      </c>
      <c r="J44" s="137">
        <f>IF(Incentives!J13="","",(Incentives!J13))</f>
        <v>0</v>
      </c>
      <c r="K44" s="137">
        <f>IF(Incentives!K13="","",(Incentives!K13))</f>
        <v>0</v>
      </c>
      <c r="L44" s="137">
        <f>IF(Incentives!L13="","",(Incentives!L13))</f>
        <v>0</v>
      </c>
      <c r="M44" s="137">
        <f>IF(Incentives!M13="","",(Incentives!M13))</f>
        <v>0</v>
      </c>
      <c r="N44" s="137">
        <f>IF(Incentives!N13="","",(Incentives!N13))</f>
        <v>0</v>
      </c>
      <c r="O44" s="137">
        <f>IF(Incentives!O13="","",(Incentives!O13))</f>
        <v>0</v>
      </c>
      <c r="P44" s="137">
        <f>IF(Incentives!P13="","",(Incentives!P13))</f>
        <v>0</v>
      </c>
      <c r="Q44" s="137">
        <f>IF(Incentives!Q13="","",(Incentives!Q13))</f>
        <v>0</v>
      </c>
      <c r="R44" s="137">
        <f>IF(Incentives!R13="","",(Incentives!R13))</f>
        <v>0</v>
      </c>
      <c r="S44" s="137">
        <f>IF(Incentives!S13="","",(Incentives!S13))</f>
        <v>112108065.91</v>
      </c>
      <c r="T44" s="136">
        <f t="shared" si="20"/>
        <v>112151506.52</v>
      </c>
      <c r="U44" s="136">
        <f t="shared" si="18"/>
        <v>112151506.52</v>
      </c>
      <c r="V44" s="138">
        <v>110400000</v>
      </c>
      <c r="W44" s="152"/>
      <c r="X44" s="146">
        <f t="shared" si="19"/>
        <v>1.0158650952898551</v>
      </c>
      <c r="Y44" s="1"/>
    </row>
    <row r="45" spans="2:25" x14ac:dyDescent="0.25">
      <c r="B45" s="38" t="str">
        <f>IDSM_NR</f>
        <v>IDSM Non Residential</v>
      </c>
      <c r="C45" s="39"/>
      <c r="D45" s="93">
        <v>1056381.6777358048</v>
      </c>
      <c r="E45" s="93">
        <v>969397.83330000006</v>
      </c>
      <c r="F45" s="93">
        <v>613363.49639999995</v>
      </c>
      <c r="G45" s="136">
        <v>515674.26820000005</v>
      </c>
      <c r="H45" s="137">
        <v>41083.027099999999</v>
      </c>
      <c r="I45" s="137">
        <v>47352.266499999998</v>
      </c>
      <c r="J45" s="137">
        <v>60092.119200000001</v>
      </c>
      <c r="K45" s="137">
        <v>49697.783300000003</v>
      </c>
      <c r="L45" s="137">
        <v>64878.270100000002</v>
      </c>
      <c r="M45" s="137">
        <v>46465.97</v>
      </c>
      <c r="N45" s="137">
        <v>37593.360000000001</v>
      </c>
      <c r="O45" s="137">
        <v>61407.291899999997</v>
      </c>
      <c r="P45" s="137">
        <v>49923.072999999997</v>
      </c>
      <c r="Q45" s="137">
        <v>43423.16</v>
      </c>
      <c r="R45" s="137">
        <v>28788.325199999999</v>
      </c>
      <c r="S45" s="137">
        <v>30263.451799999999</v>
      </c>
      <c r="T45" s="136">
        <f t="shared" si="20"/>
        <v>560968.09809999994</v>
      </c>
      <c r="U45" s="136">
        <f t="shared" si="18"/>
        <v>3715785.373735805</v>
      </c>
      <c r="V45" s="138">
        <v>42650000</v>
      </c>
      <c r="W45" s="152"/>
      <c r="X45" s="146">
        <f t="shared" si="19"/>
        <v>8.7122752021941502E-2</v>
      </c>
      <c r="Y45" s="1"/>
    </row>
    <row r="46" spans="2:25" ht="12.75" customHeight="1" x14ac:dyDescent="0.25">
      <c r="B46" s="38" t="str">
        <f>IDSM_R</f>
        <v>IDSM Residential</v>
      </c>
      <c r="C46" s="39"/>
      <c r="D46" s="93">
        <v>69365.638984438745</v>
      </c>
      <c r="E46" s="93">
        <v>95473.488999999987</v>
      </c>
      <c r="F46" s="93">
        <v>87616.801399999997</v>
      </c>
      <c r="G46" s="136">
        <v>439233.36049999995</v>
      </c>
      <c r="H46" s="137">
        <v>179225.74679999999</v>
      </c>
      <c r="I46" s="137">
        <v>6276.6725999999999</v>
      </c>
      <c r="J46" s="137">
        <v>8037.3186999999998</v>
      </c>
      <c r="K46" s="137">
        <v>220152.8247</v>
      </c>
      <c r="L46" s="137">
        <v>8707.1672999999992</v>
      </c>
      <c r="M46" s="137">
        <v>6053.65</v>
      </c>
      <c r="N46" s="137">
        <v>5024.95</v>
      </c>
      <c r="O46" s="137">
        <v>171340.8651</v>
      </c>
      <c r="P46" s="137">
        <v>6566.4323999999997</v>
      </c>
      <c r="Q46" s="137">
        <v>122823.17</v>
      </c>
      <c r="R46" s="137">
        <v>61188.671600000001</v>
      </c>
      <c r="S46" s="137">
        <v>248873.66200000001</v>
      </c>
      <c r="T46" s="136">
        <f t="shared" si="20"/>
        <v>1044271.1312000001</v>
      </c>
      <c r="U46" s="136">
        <f t="shared" si="18"/>
        <v>1735960.4210844389</v>
      </c>
      <c r="V46" s="138">
        <v>5000000</v>
      </c>
      <c r="W46" s="152"/>
      <c r="X46" s="146">
        <f t="shared" si="19"/>
        <v>0.3471920842168878</v>
      </c>
      <c r="Y46" s="1"/>
    </row>
    <row r="47" spans="2:25" ht="12.75" customHeight="1" x14ac:dyDescent="0.25">
      <c r="B47" s="120" t="s">
        <v>211</v>
      </c>
      <c r="C47" s="39"/>
      <c r="D47" s="93">
        <v>0</v>
      </c>
      <c r="E47" s="93">
        <v>0</v>
      </c>
      <c r="F47" s="93">
        <v>0</v>
      </c>
      <c r="G47" s="136">
        <v>78035.37</v>
      </c>
      <c r="H47" s="137">
        <v>127248.03</v>
      </c>
      <c r="I47" s="137">
        <v>23344.59</v>
      </c>
      <c r="J47" s="137">
        <v>17163.04</v>
      </c>
      <c r="K47" s="137">
        <v>12179.25</v>
      </c>
      <c r="L47" s="137">
        <v>15829.65</v>
      </c>
      <c r="M47" s="137">
        <v>46471.65</v>
      </c>
      <c r="N47" s="137">
        <v>12908.13</v>
      </c>
      <c r="O47" s="137">
        <v>12167.27</v>
      </c>
      <c r="P47" s="137">
        <v>25968.92</v>
      </c>
      <c r="Q47" s="137">
        <v>14401.82</v>
      </c>
      <c r="R47" s="137">
        <v>13711.06</v>
      </c>
      <c r="S47" s="137">
        <v>9430.5</v>
      </c>
      <c r="T47" s="136">
        <f t="shared" si="20"/>
        <v>330823.90999999997</v>
      </c>
      <c r="U47" s="136">
        <f t="shared" si="18"/>
        <v>408859.27999999997</v>
      </c>
      <c r="V47" s="138">
        <v>955953.71307035105</v>
      </c>
      <c r="W47" s="152"/>
      <c r="X47" s="146">
        <f t="shared" si="19"/>
        <v>0.42769777909729295</v>
      </c>
      <c r="Y47" s="1"/>
    </row>
    <row r="48" spans="2:25" ht="12.75" customHeight="1" x14ac:dyDescent="0.25">
      <c r="B48" s="59" t="s">
        <v>212</v>
      </c>
      <c r="C48" s="36"/>
      <c r="D48" s="93">
        <v>0</v>
      </c>
      <c r="E48" s="93">
        <v>0</v>
      </c>
      <c r="F48" s="93">
        <v>0</v>
      </c>
      <c r="G48" s="108">
        <v>0</v>
      </c>
      <c r="H48" s="90">
        <f>IF(Incentives!H17="","",(Incentives!H17))</f>
        <v>144702</v>
      </c>
      <c r="I48" s="90">
        <f>IF(Incentives!I17="","",(Incentives!I17))</f>
        <v>-9000</v>
      </c>
      <c r="J48" s="90">
        <f>IF(Incentives!J17="","",(Incentives!J17))</f>
        <v>30708.11</v>
      </c>
      <c r="K48" s="90">
        <f>IF(Incentives!K17="","",(Incentives!K17))</f>
        <v>0</v>
      </c>
      <c r="L48" s="90">
        <f>IF(Incentives!L17="","",(Incentives!L17))</f>
        <v>0</v>
      </c>
      <c r="M48" s="90">
        <f>IF(Incentives!M17="","",(Incentives!M17))</f>
        <v>-30708.11</v>
      </c>
      <c r="N48" s="90">
        <f>IF(Incentives!N17="","",(Incentives!N17))</f>
        <v>0</v>
      </c>
      <c r="O48" s="90">
        <f>IF(Incentives!O17="","",(Incentives!O17))</f>
        <v>0</v>
      </c>
      <c r="P48" s="90">
        <f>IF(Incentives!P17="","",(Incentives!P17))</f>
        <v>19098.8</v>
      </c>
      <c r="Q48" s="90">
        <f>IF(Incentives!Q17="","",(Incentives!Q17))</f>
        <v>2000</v>
      </c>
      <c r="R48" s="90">
        <f>IF(Incentives!R17="","",(Incentives!R17))</f>
        <v>0</v>
      </c>
      <c r="S48" s="90">
        <f>IF(Incentives!S17="","",(Incentives!S17))</f>
        <v>10.4</v>
      </c>
      <c r="T48" s="108">
        <f t="shared" si="20"/>
        <v>156811.19999999998</v>
      </c>
      <c r="U48" s="108">
        <f t="shared" si="18"/>
        <v>156811.19999999998</v>
      </c>
      <c r="V48" s="89">
        <v>375000</v>
      </c>
      <c r="W48" s="153"/>
      <c r="X48" s="147">
        <f t="shared" si="19"/>
        <v>0.41816319999999996</v>
      </c>
      <c r="Y48" s="1"/>
    </row>
    <row r="49" spans="2:25" ht="12.75" customHeight="1" x14ac:dyDescent="0.25">
      <c r="B49" s="37" t="s">
        <v>96</v>
      </c>
      <c r="C49" s="64"/>
      <c r="D49" s="91">
        <f>SUM(D38:D48)</f>
        <v>1239516.0016880343</v>
      </c>
      <c r="E49" s="91">
        <f t="shared" ref="E49:V49" si="21">SUM(E38:E48)</f>
        <v>1126639.3323000001</v>
      </c>
      <c r="F49" s="91">
        <f t="shared" si="21"/>
        <v>741484.43539999996</v>
      </c>
      <c r="G49" s="91">
        <f t="shared" si="21"/>
        <v>1333096.2987000002</v>
      </c>
      <c r="H49" s="91">
        <f t="shared" si="21"/>
        <v>508509.85389999999</v>
      </c>
      <c r="I49" s="91">
        <f t="shared" si="21"/>
        <v>131389.96910000002</v>
      </c>
      <c r="J49" s="91">
        <f t="shared" si="21"/>
        <v>137925.52789999999</v>
      </c>
      <c r="K49" s="91">
        <f t="shared" si="21"/>
        <v>365029.38800000004</v>
      </c>
      <c r="L49" s="91">
        <f t="shared" si="21"/>
        <v>178116.21739999999</v>
      </c>
      <c r="M49" s="91">
        <f t="shared" si="21"/>
        <v>252675.66000000003</v>
      </c>
      <c r="N49" s="91">
        <f t="shared" si="21"/>
        <v>309286.29000000004</v>
      </c>
      <c r="O49" s="91">
        <f t="shared" si="21"/>
        <v>439927.16700000002</v>
      </c>
      <c r="P49" s="91">
        <f t="shared" si="21"/>
        <v>586162.99540000013</v>
      </c>
      <c r="Q49" s="91">
        <f t="shared" si="21"/>
        <v>436318.18</v>
      </c>
      <c r="R49" s="91">
        <f t="shared" si="21"/>
        <v>376952.1568</v>
      </c>
      <c r="S49" s="91">
        <f t="shared" si="21"/>
        <v>117498507.28380001</v>
      </c>
      <c r="T49" s="91">
        <f t="shared" si="21"/>
        <v>121220800.6893</v>
      </c>
      <c r="U49" s="91">
        <f t="shared" si="21"/>
        <v>125661536.75738803</v>
      </c>
      <c r="V49" s="91">
        <f t="shared" si="21"/>
        <v>182915906.93147036</v>
      </c>
      <c r="W49" s="154"/>
      <c r="X49" s="148">
        <f>U17/SUM(V17:W17)</f>
        <v>0.89465610323648692</v>
      </c>
      <c r="Y49" s="1"/>
    </row>
    <row r="50" spans="2:25" ht="12.75" customHeight="1" x14ac:dyDescent="0.25">
      <c r="B50" s="1"/>
      <c r="C50" s="1"/>
      <c r="D50" s="86"/>
      <c r="E50" s="86"/>
      <c r="F50" s="86"/>
      <c r="G50" s="86"/>
      <c r="H50" s="86"/>
      <c r="I50" s="86"/>
      <c r="J50" s="86"/>
      <c r="K50" s="86"/>
      <c r="L50" s="86"/>
      <c r="M50" s="86"/>
      <c r="N50" s="86"/>
      <c r="O50" s="86"/>
      <c r="P50" s="86"/>
      <c r="Q50" s="86"/>
      <c r="R50" s="86"/>
      <c r="S50" s="86"/>
      <c r="T50" s="86"/>
      <c r="U50" s="86"/>
      <c r="V50" s="86"/>
      <c r="W50" s="155"/>
      <c r="X50" s="149"/>
      <c r="Y50" s="1"/>
    </row>
    <row r="51" spans="2:25" ht="29.25" customHeight="1" x14ac:dyDescent="0.25">
      <c r="B51" s="57" t="s">
        <v>97</v>
      </c>
      <c r="C51" s="1"/>
      <c r="D51" s="86"/>
      <c r="E51" s="86"/>
      <c r="F51" s="86"/>
      <c r="G51" s="86"/>
      <c r="H51" s="86"/>
      <c r="I51" s="86"/>
      <c r="J51" s="86"/>
      <c r="K51" s="86"/>
      <c r="L51" s="86"/>
      <c r="M51" s="86"/>
      <c r="N51" s="86"/>
      <c r="O51" s="86"/>
      <c r="P51" s="86"/>
      <c r="Q51" s="86"/>
      <c r="R51" s="86"/>
      <c r="S51" s="86"/>
      <c r="T51" s="86"/>
      <c r="U51" s="86"/>
      <c r="V51" s="86"/>
      <c r="W51" s="155"/>
      <c r="X51" s="149"/>
      <c r="Y51" s="1"/>
    </row>
    <row r="52" spans="2:25" ht="12.75" customHeight="1" x14ac:dyDescent="0.25">
      <c r="B52" s="34" t="str">
        <f>OLM</f>
        <v>Other Local Marketing</v>
      </c>
      <c r="C52" s="58"/>
      <c r="D52" s="107">
        <v>1850891.9325486962</v>
      </c>
      <c r="E52" s="107">
        <v>2069308.5575999999</v>
      </c>
      <c r="F52" s="107">
        <v>1096042.8700000001</v>
      </c>
      <c r="G52" s="107">
        <v>1631073</v>
      </c>
      <c r="H52" s="83">
        <v>70409.490000000005</v>
      </c>
      <c r="I52" s="83">
        <v>8970.61</v>
      </c>
      <c r="J52" s="83">
        <v>485820.61</v>
      </c>
      <c r="K52" s="83">
        <v>97009.37</v>
      </c>
      <c r="L52" s="83">
        <v>1008433.26</v>
      </c>
      <c r="M52" s="83">
        <v>782320.5</v>
      </c>
      <c r="N52" s="83">
        <v>101941.7</v>
      </c>
      <c r="O52" s="83">
        <v>-34402.32</v>
      </c>
      <c r="P52" s="83">
        <v>195009.69</v>
      </c>
      <c r="Q52" s="83">
        <v>24807.84</v>
      </c>
      <c r="R52" s="83">
        <v>195982.76</v>
      </c>
      <c r="S52" s="83">
        <v>385582.77</v>
      </c>
      <c r="T52" s="107">
        <f>SUM(H52:S52)</f>
        <v>3321886.28</v>
      </c>
      <c r="U52" s="107">
        <f t="shared" ref="U52:U54" si="22">SUM(D52:G52,T52)</f>
        <v>9969202.6401486956</v>
      </c>
      <c r="V52" s="82">
        <v>15546949.874550164</v>
      </c>
      <c r="W52" s="151"/>
      <c r="X52" s="145">
        <f t="shared" ref="X52:X54" si="23">U52/SUM(V52:W52)</f>
        <v>0.64123205648639459</v>
      </c>
      <c r="Y52" s="1"/>
    </row>
    <row r="53" spans="2:25" ht="12.75" customHeight="1" x14ac:dyDescent="0.25">
      <c r="B53" s="38" t="str">
        <f>SWMEO</f>
        <v>Statewide ME&amp;O</v>
      </c>
      <c r="C53" s="39"/>
      <c r="D53" s="93">
        <v>2019832.63</v>
      </c>
      <c r="E53" s="93">
        <v>1763624.8798000002</v>
      </c>
      <c r="F53" s="93">
        <v>908974.63000000012</v>
      </c>
      <c r="G53" s="136">
        <v>5885303.3699999982</v>
      </c>
      <c r="H53" s="137">
        <v>145135.26</v>
      </c>
      <c r="I53" s="137">
        <v>772119.22</v>
      </c>
      <c r="J53" s="137">
        <v>799130.4</v>
      </c>
      <c r="K53" s="137">
        <v>258548.6</v>
      </c>
      <c r="L53" s="137">
        <v>1222249.3899999999</v>
      </c>
      <c r="M53" s="137">
        <v>390566.04</v>
      </c>
      <c r="N53" s="137">
        <v>556475.56999999995</v>
      </c>
      <c r="O53" s="137">
        <v>950888.8</v>
      </c>
      <c r="P53" s="137">
        <v>1150877.3799999999</v>
      </c>
      <c r="Q53" s="137">
        <v>2437919.6800000002</v>
      </c>
      <c r="R53" s="137">
        <v>5670.31</v>
      </c>
      <c r="S53" s="137">
        <v>736731.83</v>
      </c>
      <c r="T53" s="136">
        <f t="shared" ref="T53:T54" si="24">SUM(H53:S53)</f>
        <v>9426312.4800000004</v>
      </c>
      <c r="U53" s="136">
        <f t="shared" si="22"/>
        <v>20004047.989799999</v>
      </c>
      <c r="V53" s="138">
        <v>22181055.75</v>
      </c>
      <c r="W53" s="152"/>
      <c r="X53" s="146">
        <f t="shared" si="23"/>
        <v>0.90185283402481864</v>
      </c>
      <c r="Y53" s="1"/>
    </row>
    <row r="54" spans="2:25" ht="12.75" customHeight="1" x14ac:dyDescent="0.25">
      <c r="B54" s="35" t="str">
        <f>CPP</f>
        <v>Critical Peak Pricing (CPP)</v>
      </c>
      <c r="C54" s="36"/>
      <c r="D54" s="108">
        <v>0</v>
      </c>
      <c r="E54" s="108">
        <v>0</v>
      </c>
      <c r="F54" s="108">
        <v>0</v>
      </c>
      <c r="G54" s="108">
        <v>471517.74</v>
      </c>
      <c r="H54" s="90">
        <v>0</v>
      </c>
      <c r="I54" s="90">
        <v>-25477.55</v>
      </c>
      <c r="J54" s="90">
        <v>822.63</v>
      </c>
      <c r="K54" s="90">
        <v>0</v>
      </c>
      <c r="L54" s="90">
        <v>20916.82</v>
      </c>
      <c r="M54" s="90">
        <v>415287.9</v>
      </c>
      <c r="N54" s="90">
        <v>7464.75</v>
      </c>
      <c r="O54" s="90">
        <v>-21278.57</v>
      </c>
      <c r="P54" s="90">
        <v>-65610.41</v>
      </c>
      <c r="Q54" s="90">
        <v>4734.93</v>
      </c>
      <c r="R54" s="90">
        <v>12161.41</v>
      </c>
      <c r="S54" s="90">
        <v>688.56</v>
      </c>
      <c r="T54" s="108">
        <f t="shared" si="24"/>
        <v>349710.47000000003</v>
      </c>
      <c r="U54" s="108">
        <f t="shared" si="22"/>
        <v>821228.21</v>
      </c>
      <c r="V54" s="89">
        <v>1000000</v>
      </c>
      <c r="W54" s="153"/>
      <c r="X54" s="147">
        <f t="shared" si="23"/>
        <v>0.82122821000000001</v>
      </c>
      <c r="Y54" s="1"/>
    </row>
    <row r="55" spans="2:25" ht="12.75" customHeight="1" x14ac:dyDescent="0.25">
      <c r="B55" s="37" t="s">
        <v>98</v>
      </c>
      <c r="C55" s="64"/>
      <c r="D55" s="91">
        <f>SUM(D52:D54)</f>
        <v>3870724.5625486961</v>
      </c>
      <c r="E55" s="91">
        <f t="shared" ref="E55:V55" si="25">SUM(E52:E54)</f>
        <v>3832933.4374000002</v>
      </c>
      <c r="F55" s="91">
        <f t="shared" ref="F55" si="26">SUM(F52:F54)</f>
        <v>2005017.5000000002</v>
      </c>
      <c r="G55" s="91">
        <f t="shared" si="25"/>
        <v>7987894.1099999985</v>
      </c>
      <c r="H55" s="91">
        <f t="shared" si="25"/>
        <v>215544.75</v>
      </c>
      <c r="I55" s="91">
        <f t="shared" si="25"/>
        <v>755612.27999999991</v>
      </c>
      <c r="J55" s="91">
        <f t="shared" si="25"/>
        <v>1285773.6399999999</v>
      </c>
      <c r="K55" s="91">
        <f t="shared" si="25"/>
        <v>355557.97</v>
      </c>
      <c r="L55" s="91">
        <f t="shared" si="25"/>
        <v>2251599.4699999997</v>
      </c>
      <c r="M55" s="91">
        <f t="shared" si="25"/>
        <v>1588174.44</v>
      </c>
      <c r="N55" s="91">
        <f t="shared" si="25"/>
        <v>665882.0199999999</v>
      </c>
      <c r="O55" s="91">
        <f t="shared" si="25"/>
        <v>895207.91000000015</v>
      </c>
      <c r="P55" s="91">
        <f t="shared" si="25"/>
        <v>1280276.6599999999</v>
      </c>
      <c r="Q55" s="91">
        <f t="shared" si="25"/>
        <v>2467462.4500000002</v>
      </c>
      <c r="R55" s="91">
        <f t="shared" si="25"/>
        <v>213814.48</v>
      </c>
      <c r="S55" s="91">
        <f t="shared" si="25"/>
        <v>1123003.1600000001</v>
      </c>
      <c r="T55" s="91">
        <f t="shared" si="25"/>
        <v>13097909.23</v>
      </c>
      <c r="U55" s="91">
        <f t="shared" si="25"/>
        <v>30794478.839948695</v>
      </c>
      <c r="V55" s="91">
        <f t="shared" si="25"/>
        <v>38728005.624550164</v>
      </c>
      <c r="W55" s="154"/>
      <c r="X55" s="148">
        <f>U17/SUM(V17:W17)</f>
        <v>0.89465610323648692</v>
      </c>
      <c r="Y55" s="1"/>
    </row>
    <row r="56" spans="2:25" ht="12.75" customHeight="1" x14ac:dyDescent="0.25">
      <c r="B56" s="1"/>
      <c r="C56" s="1"/>
      <c r="D56" s="86"/>
      <c r="E56" s="86"/>
      <c r="F56" s="86"/>
      <c r="G56" s="86"/>
      <c r="H56" s="86"/>
      <c r="I56" s="86"/>
      <c r="J56" s="86"/>
      <c r="K56" s="86"/>
      <c r="L56" s="86"/>
      <c r="M56" s="86"/>
      <c r="N56" s="86"/>
      <c r="O56" s="86"/>
      <c r="P56" s="86"/>
      <c r="Q56" s="86"/>
      <c r="R56" s="86"/>
      <c r="S56" s="86"/>
      <c r="T56" s="86"/>
      <c r="U56" s="86"/>
      <c r="V56" s="86"/>
      <c r="W56" s="155"/>
      <c r="X56" s="149"/>
      <c r="Y56" s="1"/>
    </row>
    <row r="57" spans="2:25" ht="25.5" customHeight="1" x14ac:dyDescent="0.25">
      <c r="B57" s="57" t="s">
        <v>289</v>
      </c>
      <c r="C57" s="1"/>
      <c r="D57" s="86"/>
      <c r="E57" s="86"/>
      <c r="F57" s="86"/>
      <c r="G57" s="86"/>
      <c r="H57" s="86"/>
      <c r="I57" s="86"/>
      <c r="J57" s="86"/>
      <c r="K57" s="86"/>
      <c r="L57" s="86"/>
      <c r="M57" s="86"/>
      <c r="N57" s="86"/>
      <c r="O57" s="86"/>
      <c r="P57" s="86"/>
      <c r="Q57" s="86"/>
      <c r="R57" s="86"/>
      <c r="S57" s="86"/>
      <c r="T57" s="86"/>
      <c r="U57" s="86"/>
      <c r="V57" s="86"/>
      <c r="W57" s="155"/>
      <c r="X57" s="149"/>
      <c r="Y57" s="1"/>
    </row>
    <row r="58" spans="2:25" ht="12.75" customHeight="1" x14ac:dyDescent="0.25">
      <c r="B58" s="34" t="str">
        <f>DRPS</f>
        <v>DR Potential Study</v>
      </c>
      <c r="C58" s="58"/>
      <c r="D58" s="107">
        <v>0</v>
      </c>
      <c r="E58" s="107">
        <v>0</v>
      </c>
      <c r="F58" s="107">
        <v>0</v>
      </c>
      <c r="G58" s="107">
        <v>0</v>
      </c>
      <c r="H58" s="83">
        <v>0</v>
      </c>
      <c r="I58" s="83">
        <v>0</v>
      </c>
      <c r="J58" s="83">
        <v>0</v>
      </c>
      <c r="K58" s="83">
        <v>0</v>
      </c>
      <c r="L58" s="83">
        <v>0</v>
      </c>
      <c r="M58" s="83">
        <v>0</v>
      </c>
      <c r="N58" s="83">
        <v>0</v>
      </c>
      <c r="O58" s="83">
        <v>0</v>
      </c>
      <c r="P58" s="83">
        <v>0</v>
      </c>
      <c r="Q58" s="83">
        <v>0</v>
      </c>
      <c r="R58" s="83">
        <v>0</v>
      </c>
      <c r="S58" s="83">
        <v>1071218.33</v>
      </c>
      <c r="T58" s="107">
        <f>SUM(H58:S58)</f>
        <v>1071218.33</v>
      </c>
      <c r="U58" s="107">
        <f t="shared" ref="U58:U60" si="27">SUM(D58:G58,T58)</f>
        <v>1071218.33</v>
      </c>
      <c r="V58" s="82">
        <v>2000000</v>
      </c>
      <c r="W58" s="151"/>
      <c r="X58" s="145">
        <f t="shared" ref="X58:X60" si="28">U58/SUM(V58:W58)</f>
        <v>0.535609165</v>
      </c>
      <c r="Y58" s="1"/>
    </row>
    <row r="59" spans="2:25" ht="12.75" customHeight="1" x14ac:dyDescent="0.25">
      <c r="B59" s="38" t="str">
        <f>DRST</f>
        <v>DR Systems &amp; Technology Support</v>
      </c>
      <c r="C59" s="39"/>
      <c r="D59" s="136">
        <v>3848821.152902707</v>
      </c>
      <c r="E59" s="136">
        <v>4555422.1940000001</v>
      </c>
      <c r="F59" s="136">
        <v>3848217.5084999995</v>
      </c>
      <c r="G59" s="136">
        <f>3785698.1917-44561</f>
        <v>3741137.1916999999</v>
      </c>
      <c r="H59" s="137">
        <v>290658.47159999999</v>
      </c>
      <c r="I59" s="137">
        <v>311954.74410000001</v>
      </c>
      <c r="J59" s="137">
        <v>375320.0588</v>
      </c>
      <c r="K59" s="137">
        <v>275395.30420000001</v>
      </c>
      <c r="L59" s="137">
        <v>316272.32770000002</v>
      </c>
      <c r="M59" s="137">
        <v>537321.66</v>
      </c>
      <c r="N59" s="137">
        <f>331215.06+10236.8</f>
        <v>341451.86</v>
      </c>
      <c r="O59" s="137">
        <v>333656.70569999999</v>
      </c>
      <c r="P59" s="137">
        <v>533966.65009999997</v>
      </c>
      <c r="Q59" s="137">
        <v>230107.14</v>
      </c>
      <c r="R59" s="137">
        <v>299865.34989999997</v>
      </c>
      <c r="S59" s="137">
        <v>990810.06070000003</v>
      </c>
      <c r="T59" s="136">
        <f t="shared" ref="T59:T60" si="29">SUM(H59:S59)</f>
        <v>4836780.332799999</v>
      </c>
      <c r="U59" s="136">
        <f t="shared" si="27"/>
        <v>20830378.379902706</v>
      </c>
      <c r="V59" s="138">
        <v>29316482.145</v>
      </c>
      <c r="W59" s="152"/>
      <c r="X59" s="146">
        <f t="shared" si="28"/>
        <v>0.71053471821329628</v>
      </c>
      <c r="Y59" s="1"/>
    </row>
    <row r="60" spans="2:25" ht="12.75" customHeight="1" x14ac:dyDescent="0.25">
      <c r="B60" s="35" t="str">
        <f>EMV</f>
        <v>Evaluation, Measurement &amp; Verification (EM&amp;V)</v>
      </c>
      <c r="C60" s="36"/>
      <c r="D60" s="108">
        <v>354536.32437277015</v>
      </c>
      <c r="E60" s="108">
        <v>675951.53110000002</v>
      </c>
      <c r="F60" s="108">
        <v>783798.3628</v>
      </c>
      <c r="G60" s="108">
        <v>1184142.3001999999</v>
      </c>
      <c r="H60" s="90">
        <v>48681.518799999998</v>
      </c>
      <c r="I60" s="90">
        <v>206445.5042</v>
      </c>
      <c r="J60" s="90">
        <v>118894.5036</v>
      </c>
      <c r="K60" s="90">
        <v>74631.047300000006</v>
      </c>
      <c r="L60" s="90">
        <v>27258.372100000001</v>
      </c>
      <c r="M60" s="90">
        <v>144679.22</v>
      </c>
      <c r="N60" s="90">
        <v>48283.66</v>
      </c>
      <c r="O60" s="90">
        <v>23033.297999999999</v>
      </c>
      <c r="P60" s="90">
        <v>22710.231</v>
      </c>
      <c r="Q60" s="90">
        <v>37281.26</v>
      </c>
      <c r="R60" s="90">
        <v>28863.766100000001</v>
      </c>
      <c r="S60" s="90">
        <v>128055.988</v>
      </c>
      <c r="T60" s="108">
        <f t="shared" si="29"/>
        <v>908818.36910000001</v>
      </c>
      <c r="U60" s="108">
        <f t="shared" si="27"/>
        <v>3907246.88757277</v>
      </c>
      <c r="V60" s="89">
        <v>6090136.0561999995</v>
      </c>
      <c r="W60" s="153"/>
      <c r="X60" s="147">
        <f t="shared" si="28"/>
        <v>0.64156972053112638</v>
      </c>
      <c r="Y60" s="1"/>
    </row>
    <row r="61" spans="2:25" ht="12.75" customHeight="1" x14ac:dyDescent="0.25">
      <c r="B61" s="37" t="s">
        <v>81</v>
      </c>
      <c r="C61" s="64"/>
      <c r="D61" s="91">
        <f>SUM(D58:D60)</f>
        <v>4203357.4772754768</v>
      </c>
      <c r="E61" s="91">
        <f t="shared" ref="E61:V61" si="30">SUM(E58:E60)</f>
        <v>5231373.7251000004</v>
      </c>
      <c r="F61" s="91">
        <f t="shared" ref="F61" si="31">SUM(F58:F60)</f>
        <v>4632015.8712999998</v>
      </c>
      <c r="G61" s="91">
        <f t="shared" si="30"/>
        <v>4925279.4918999998</v>
      </c>
      <c r="H61" s="91">
        <f t="shared" si="30"/>
        <v>339339.99040000001</v>
      </c>
      <c r="I61" s="91">
        <f t="shared" si="30"/>
        <v>518400.24829999998</v>
      </c>
      <c r="J61" s="91">
        <f t="shared" si="30"/>
        <v>494214.5624</v>
      </c>
      <c r="K61" s="91">
        <f t="shared" si="30"/>
        <v>350026.35149999999</v>
      </c>
      <c r="L61" s="91">
        <f t="shared" si="30"/>
        <v>343530.6998</v>
      </c>
      <c r="M61" s="91">
        <f t="shared" si="30"/>
        <v>682000.88</v>
      </c>
      <c r="N61" s="91">
        <f t="shared" si="30"/>
        <v>389735.52</v>
      </c>
      <c r="O61" s="91">
        <f t="shared" si="30"/>
        <v>356690.0037</v>
      </c>
      <c r="P61" s="91">
        <f t="shared" si="30"/>
        <v>556676.8811</v>
      </c>
      <c r="Q61" s="91">
        <f t="shared" si="30"/>
        <v>267388.40000000002</v>
      </c>
      <c r="R61" s="91">
        <f t="shared" si="30"/>
        <v>328729.11599999998</v>
      </c>
      <c r="S61" s="91">
        <f t="shared" si="30"/>
        <v>2190084.3787000002</v>
      </c>
      <c r="T61" s="91">
        <f t="shared" si="30"/>
        <v>6816817.0318999989</v>
      </c>
      <c r="U61" s="91">
        <f t="shared" si="30"/>
        <v>25808843.597475473</v>
      </c>
      <c r="V61" s="91">
        <f t="shared" si="30"/>
        <v>37406618.201200001</v>
      </c>
      <c r="W61" s="154"/>
      <c r="X61" s="148">
        <f>U60/SUM(V60:W60)</f>
        <v>0.64156972053112638</v>
      </c>
      <c r="Y61" s="1"/>
    </row>
    <row r="62" spans="2:25" ht="12.75" customHeight="1" x14ac:dyDescent="0.25">
      <c r="B62" s="1"/>
      <c r="C62" s="1"/>
      <c r="D62" s="139"/>
      <c r="E62" s="139"/>
      <c r="F62" s="139"/>
      <c r="G62" s="139"/>
      <c r="H62" s="86"/>
      <c r="I62" s="86"/>
      <c r="J62" s="86"/>
      <c r="K62" s="86"/>
      <c r="L62" s="86"/>
      <c r="M62" s="86"/>
      <c r="N62" s="86"/>
      <c r="O62" s="86"/>
      <c r="P62" s="86"/>
      <c r="Q62" s="86"/>
      <c r="R62" s="86"/>
      <c r="S62" s="86"/>
      <c r="T62" s="86"/>
      <c r="U62" s="86"/>
      <c r="V62" s="86"/>
      <c r="W62" s="155"/>
      <c r="X62" s="149"/>
      <c r="Y62" s="1"/>
    </row>
    <row r="63" spans="2:25" ht="12.75" customHeight="1" x14ac:dyDescent="0.25">
      <c r="B63" s="37" t="s">
        <v>99</v>
      </c>
      <c r="C63" s="64"/>
      <c r="D63" s="65">
        <f>SUM(D18,D24,D29,D35,D49,D55,D61)</f>
        <v>157824727.85272518</v>
      </c>
      <c r="E63" s="65">
        <f t="shared" ref="E63:F63" si="32">SUM(E18,E24,E29,E35,E49,E55,E61)</f>
        <v>138292835.4341</v>
      </c>
      <c r="F63" s="65">
        <f t="shared" si="32"/>
        <v>109219774.71539997</v>
      </c>
      <c r="G63" s="65">
        <f>SUM(G18,G24,G29,G35,G49,G55,G61)</f>
        <v>130899516.399</v>
      </c>
      <c r="H63" s="65">
        <f t="shared" ref="H63:V63" si="33">SUM(H18,H24,H29,H35,H49,H55,H61)</f>
        <v>4294867.7507000007</v>
      </c>
      <c r="I63" s="65">
        <f t="shared" si="33"/>
        <v>5209054.8642999995</v>
      </c>
      <c r="J63" s="65">
        <f t="shared" si="33"/>
        <v>7103539.4998000003</v>
      </c>
      <c r="K63" s="65">
        <f t="shared" si="33"/>
        <v>6842894.3522000005</v>
      </c>
      <c r="L63" s="65">
        <f t="shared" si="33"/>
        <v>8499271.3872000016</v>
      </c>
      <c r="M63" s="65">
        <f t="shared" si="33"/>
        <v>12243078.400000002</v>
      </c>
      <c r="N63" s="65">
        <f t="shared" si="33"/>
        <v>19190390.129999995</v>
      </c>
      <c r="O63" s="65">
        <f t="shared" si="33"/>
        <v>24407888.673500005</v>
      </c>
      <c r="P63" s="65">
        <f t="shared" si="33"/>
        <v>22280069.644199997</v>
      </c>
      <c r="Q63" s="65">
        <f t="shared" si="33"/>
        <v>17706441.850000001</v>
      </c>
      <c r="R63" s="65">
        <f t="shared" si="33"/>
        <v>7793733.2169000013</v>
      </c>
      <c r="S63" s="65">
        <f t="shared" si="33"/>
        <v>128013124.1884</v>
      </c>
      <c r="T63" s="65">
        <f t="shared" si="33"/>
        <v>263584353.95719999</v>
      </c>
      <c r="U63" s="65">
        <f t="shared" si="33"/>
        <v>799821208.35842514</v>
      </c>
      <c r="V63" s="65">
        <f t="shared" si="33"/>
        <v>1036458695.4329207</v>
      </c>
      <c r="W63" s="154"/>
      <c r="X63" s="148">
        <f>U60/SUM(V60:W60)</f>
        <v>0.64156972053112638</v>
      </c>
      <c r="Y63" s="1"/>
    </row>
    <row r="65" spans="2:23" ht="30" customHeight="1" x14ac:dyDescent="0.25">
      <c r="B65" s="239" t="s">
        <v>317</v>
      </c>
      <c r="C65" s="240"/>
      <c r="D65" s="241"/>
    </row>
    <row r="66" spans="2:23" x14ac:dyDescent="0.25">
      <c r="B66" s="78" t="s">
        <v>266</v>
      </c>
      <c r="C66" s="79"/>
      <c r="D66" s="223">
        <v>1511844.25</v>
      </c>
    </row>
    <row r="67" spans="2:23" x14ac:dyDescent="0.25">
      <c r="B67" s="78" t="s">
        <v>267</v>
      </c>
      <c r="C67" s="79"/>
      <c r="D67" s="223">
        <v>521220</v>
      </c>
    </row>
    <row r="68" spans="2:23" x14ac:dyDescent="0.25">
      <c r="B68" s="77" t="s">
        <v>66</v>
      </c>
      <c r="C68" s="12"/>
      <c r="D68" s="174">
        <f>SUM(D66:D67)</f>
        <v>2033064.25</v>
      </c>
    </row>
    <row r="70" spans="2:23" x14ac:dyDescent="0.25">
      <c r="B70" s="22" t="s">
        <v>131</v>
      </c>
    </row>
    <row r="71" spans="2:23" x14ac:dyDescent="0.25">
      <c r="B71" t="s">
        <v>241</v>
      </c>
    </row>
    <row r="72" spans="2:23" x14ac:dyDescent="0.25">
      <c r="B72" t="s">
        <v>242</v>
      </c>
    </row>
    <row r="73" spans="2:23" x14ac:dyDescent="0.25">
      <c r="B73" t="s">
        <v>243</v>
      </c>
    </row>
    <row r="74" spans="2:23" x14ac:dyDescent="0.25">
      <c r="B74" s="230" t="s">
        <v>244</v>
      </c>
      <c r="C74" s="230"/>
      <c r="D74" s="230"/>
      <c r="E74" s="230"/>
      <c r="F74" s="230"/>
      <c r="G74" s="230"/>
      <c r="H74" s="230"/>
      <c r="I74" s="230"/>
      <c r="J74" s="230"/>
      <c r="K74" s="230"/>
      <c r="L74" s="230"/>
      <c r="M74" s="230"/>
      <c r="N74" s="230"/>
      <c r="O74" s="230"/>
      <c r="P74" s="230"/>
      <c r="Q74" s="230"/>
      <c r="R74" s="230"/>
      <c r="S74" s="230"/>
      <c r="T74" s="230"/>
      <c r="U74" s="230"/>
      <c r="V74" s="230"/>
      <c r="W74" s="230"/>
    </row>
    <row r="75" spans="2:23" x14ac:dyDescent="0.25">
      <c r="B75" t="s">
        <v>249</v>
      </c>
    </row>
    <row r="76" spans="2:23" x14ac:dyDescent="0.25">
      <c r="B76" s="230" t="s">
        <v>245</v>
      </c>
      <c r="C76" s="230"/>
      <c r="D76" s="230"/>
      <c r="E76" s="230"/>
      <c r="F76" s="230"/>
      <c r="G76" s="230"/>
      <c r="H76" s="230"/>
      <c r="I76" s="230"/>
      <c r="J76" s="230"/>
      <c r="K76" s="230"/>
      <c r="L76" s="230"/>
      <c r="M76" s="230"/>
      <c r="N76" s="230"/>
      <c r="O76" s="230"/>
      <c r="P76" s="230"/>
      <c r="Q76" s="230"/>
      <c r="R76" s="230"/>
      <c r="S76" s="230"/>
      <c r="T76" s="230"/>
      <c r="U76" s="230"/>
      <c r="V76" s="230"/>
      <c r="W76" s="230"/>
    </row>
    <row r="77" spans="2:23" x14ac:dyDescent="0.25">
      <c r="B77" t="s">
        <v>246</v>
      </c>
    </row>
    <row r="78" spans="2:23" x14ac:dyDescent="0.25">
      <c r="B78" t="s">
        <v>247</v>
      </c>
    </row>
    <row r="79" spans="2:23" x14ac:dyDescent="0.25">
      <c r="B79" t="s">
        <v>248</v>
      </c>
    </row>
    <row r="80" spans="2:23" x14ac:dyDescent="0.25">
      <c r="B80" t="s">
        <v>294</v>
      </c>
    </row>
    <row r="81" spans="2:2" x14ac:dyDescent="0.25">
      <c r="B81" s="201" t="s">
        <v>301</v>
      </c>
    </row>
    <row r="82" spans="2:2" x14ac:dyDescent="0.25">
      <c r="B82" s="67" t="s">
        <v>322</v>
      </c>
    </row>
    <row r="83" spans="2:2" x14ac:dyDescent="0.25">
      <c r="B83" s="67" t="s">
        <v>323</v>
      </c>
    </row>
  </sheetData>
  <mergeCells count="14">
    <mergeCell ref="B74:W74"/>
    <mergeCell ref="B76:W76"/>
    <mergeCell ref="B65:D65"/>
    <mergeCell ref="B1:X1"/>
    <mergeCell ref="D5:D6"/>
    <mergeCell ref="E5:E6"/>
    <mergeCell ref="G5:G6"/>
    <mergeCell ref="H5:S5"/>
    <mergeCell ref="T5:T6"/>
    <mergeCell ref="U5:U6"/>
    <mergeCell ref="V5:V6"/>
    <mergeCell ref="W5:W6"/>
    <mergeCell ref="X5:X6"/>
    <mergeCell ref="F5:F6"/>
  </mergeCells>
  <pageMargins left="0.7" right="0.7" top="0.75" bottom="0.75" header="0.3" footer="0.3"/>
  <pageSetup paperSize="5" scale="34" orientation="landscape" r:id="rId1"/>
  <headerFooter>
    <oddFooter>&amp;L&amp;F&amp;C-Public-&amp;RA-&amp;P</oddFooter>
  </headerFooter>
  <ignoredErrors>
    <ignoredError sqref="T8:T17 T38:T48 T21:U23 T27:U28 U38:U41 U8:U16 U43:U47 T52:U54 T58:U60 T34:U34 T32:U32 L17 N17 S17" formulaRange="1"/>
    <ignoredError sqref="H9 H44 H11 H13 H15 I9 I40 I11 I13 I15 I42 I44 J9 J40 J11 J13 J15 J42 J44 K9 K40 K11 K13 K15 K42 K44 L9 L40 L11 L13 L15 L42 L44 M9 M40 M11 M13 M15 M42 M44 N9 N40 N11 N13 N15 N42 N44 O9 O40 O11 O13 O15 O42 O44 P9 P40 P11 P13 P15 P42 P44 Q9 Q40 Q11 Q13 Q15 Q42 Q44 R9 R40 R11 R13:R15 R42 R44 S9 S40 S44 S11 S13 S15 S42" formula="1"/>
    <ignoredError sqref="H17:K17 M17 O17:R17" formula="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E345E-88DB-41B9-B4D6-396A59D8BF4F}">
  <sheetPr>
    <pageSetUpPr fitToPage="1"/>
  </sheetPr>
  <dimension ref="B1:V77"/>
  <sheetViews>
    <sheetView showGridLines="0" view="pageBreakPreview" topLeftCell="B1" zoomScale="60" zoomScaleNormal="70" workbookViewId="0">
      <selection activeCell="D43" sqref="D43:U44"/>
    </sheetView>
  </sheetViews>
  <sheetFormatPr defaultRowHeight="15" x14ac:dyDescent="0.25"/>
  <cols>
    <col min="1" max="1" width="1.85546875" customWidth="1"/>
    <col min="2" max="2" width="55" customWidth="1"/>
    <col min="4" max="4" width="25.85546875" customWidth="1"/>
    <col min="5" max="7" width="25" customWidth="1"/>
    <col min="8" max="19" width="17.7109375" customWidth="1"/>
    <col min="20" max="20" width="19.7109375" customWidth="1"/>
    <col min="21" max="21" width="18.7109375" customWidth="1"/>
  </cols>
  <sheetData>
    <row r="1" spans="2:22" ht="55.5" customHeight="1" x14ac:dyDescent="0.25">
      <c r="B1" s="231" t="s">
        <v>199</v>
      </c>
      <c r="C1" s="232"/>
      <c r="D1" s="232"/>
      <c r="E1" s="232"/>
      <c r="F1" s="232"/>
      <c r="G1" s="232"/>
      <c r="H1" s="232"/>
      <c r="I1" s="232"/>
      <c r="J1" s="232"/>
      <c r="K1" s="232"/>
      <c r="L1" s="232"/>
      <c r="M1" s="232"/>
      <c r="N1" s="232"/>
      <c r="O1" s="232"/>
      <c r="P1" s="232"/>
      <c r="Q1" s="232"/>
      <c r="R1" s="232"/>
      <c r="S1" s="232"/>
      <c r="T1" s="232"/>
      <c r="U1" s="232"/>
      <c r="V1" s="1"/>
    </row>
    <row r="2" spans="2:22" ht="12.75" customHeight="1" x14ac:dyDescent="0.25">
      <c r="B2" s="2" t="s">
        <v>58</v>
      </c>
      <c r="C2" s="1"/>
      <c r="D2" s="1"/>
      <c r="E2" s="1"/>
      <c r="F2" s="1"/>
      <c r="G2" s="1"/>
      <c r="H2" s="1"/>
      <c r="I2" s="1"/>
      <c r="J2" s="1"/>
      <c r="K2" s="1"/>
      <c r="L2" s="1"/>
      <c r="M2" s="1"/>
      <c r="N2" s="1"/>
      <c r="O2" s="1"/>
      <c r="P2" s="1"/>
      <c r="Q2" s="1"/>
      <c r="R2" s="1"/>
      <c r="S2" s="1"/>
      <c r="T2" s="1"/>
      <c r="U2" s="1"/>
      <c r="V2" s="1"/>
    </row>
    <row r="3" spans="2:22" ht="12.75" customHeight="1" x14ac:dyDescent="0.25">
      <c r="B3" s="2" t="s">
        <v>73</v>
      </c>
      <c r="C3" s="1"/>
      <c r="D3" s="1"/>
      <c r="E3" s="1"/>
      <c r="F3" s="1"/>
      <c r="G3" s="1"/>
      <c r="H3" s="1"/>
      <c r="I3" s="1"/>
      <c r="J3" s="1"/>
      <c r="K3" s="1"/>
      <c r="L3" s="1"/>
      <c r="M3" s="1"/>
      <c r="N3" s="1"/>
      <c r="O3" s="1"/>
      <c r="P3" s="1"/>
      <c r="Q3" s="1"/>
      <c r="R3" s="1"/>
      <c r="S3" s="1"/>
      <c r="T3" s="1"/>
      <c r="U3" s="1"/>
      <c r="V3" s="1"/>
    </row>
    <row r="4" spans="2:22" ht="12.75" customHeight="1" x14ac:dyDescent="0.25">
      <c r="B4" s="1"/>
      <c r="C4" s="1"/>
      <c r="D4" s="1"/>
      <c r="E4" s="1"/>
      <c r="F4" s="1"/>
      <c r="G4" s="1"/>
      <c r="H4" s="1"/>
      <c r="I4" s="1"/>
      <c r="J4" s="1"/>
      <c r="K4" s="1"/>
      <c r="L4" s="1"/>
      <c r="M4" s="1"/>
      <c r="N4" s="1"/>
      <c r="O4" s="1"/>
      <c r="P4" s="1"/>
      <c r="Q4" s="1"/>
      <c r="R4" s="1"/>
      <c r="S4" s="1"/>
      <c r="T4" s="1"/>
      <c r="U4" s="1"/>
      <c r="V4" s="1"/>
    </row>
    <row r="5" spans="2:22" ht="18" customHeight="1" x14ac:dyDescent="0.25">
      <c r="B5" s="1"/>
      <c r="C5" s="1"/>
      <c r="D5" s="242" t="s">
        <v>193</v>
      </c>
      <c r="E5" s="242" t="s">
        <v>194</v>
      </c>
      <c r="F5" s="242" t="s">
        <v>195</v>
      </c>
      <c r="G5" s="242" t="s">
        <v>196</v>
      </c>
      <c r="H5" s="233" t="s">
        <v>192</v>
      </c>
      <c r="I5" s="234"/>
      <c r="J5" s="234"/>
      <c r="K5" s="234"/>
      <c r="L5" s="234"/>
      <c r="M5" s="234"/>
      <c r="N5" s="234"/>
      <c r="O5" s="234"/>
      <c r="P5" s="234"/>
      <c r="Q5" s="234"/>
      <c r="R5" s="234"/>
      <c r="S5" s="235"/>
      <c r="T5" s="244" t="s">
        <v>200</v>
      </c>
      <c r="U5" s="253" t="s">
        <v>201</v>
      </c>
      <c r="V5" s="1"/>
    </row>
    <row r="6" spans="2:22" ht="40.5" customHeight="1" x14ac:dyDescent="0.25">
      <c r="B6" s="46" t="s">
        <v>74</v>
      </c>
      <c r="C6" s="1"/>
      <c r="D6" s="243"/>
      <c r="E6" s="243"/>
      <c r="F6" s="243"/>
      <c r="G6" s="243"/>
      <c r="H6" s="180" t="s">
        <v>44</v>
      </c>
      <c r="I6" s="181" t="s">
        <v>45</v>
      </c>
      <c r="J6" s="181" t="s">
        <v>46</v>
      </c>
      <c r="K6" s="181" t="s">
        <v>47</v>
      </c>
      <c r="L6" s="181" t="s">
        <v>48</v>
      </c>
      <c r="M6" s="181" t="s">
        <v>49</v>
      </c>
      <c r="N6" s="181" t="s">
        <v>52</v>
      </c>
      <c r="O6" s="181" t="s">
        <v>53</v>
      </c>
      <c r="P6" s="181" t="s">
        <v>54</v>
      </c>
      <c r="Q6" s="181" t="s">
        <v>55</v>
      </c>
      <c r="R6" s="181" t="s">
        <v>56</v>
      </c>
      <c r="S6" s="182" t="s">
        <v>57</v>
      </c>
      <c r="T6" s="245"/>
      <c r="U6" s="254"/>
      <c r="V6" s="1"/>
    </row>
    <row r="7" spans="2:22" ht="29.25" customHeight="1" x14ac:dyDescent="0.25">
      <c r="B7" s="63" t="s">
        <v>75</v>
      </c>
      <c r="C7" s="31"/>
      <c r="D7" s="31"/>
      <c r="E7" s="31"/>
      <c r="F7" s="31"/>
      <c r="G7" s="31"/>
      <c r="H7" s="31"/>
      <c r="I7" s="31"/>
      <c r="J7" s="31"/>
      <c r="K7" s="31"/>
      <c r="L7" s="31"/>
      <c r="M7" s="31"/>
      <c r="N7" s="31"/>
      <c r="O7" s="31"/>
      <c r="P7" s="31"/>
      <c r="Q7" s="31"/>
      <c r="R7" s="31"/>
      <c r="S7" s="31"/>
      <c r="T7" s="31"/>
      <c r="U7" s="31"/>
      <c r="V7" s="1"/>
    </row>
    <row r="8" spans="2:22" ht="12.75" customHeight="1" x14ac:dyDescent="0.25">
      <c r="B8" s="34" t="s">
        <v>76</v>
      </c>
      <c r="C8" s="58"/>
      <c r="D8" s="107">
        <v>11053.474148538615</v>
      </c>
      <c r="E8" s="107">
        <v>83.521600000000007</v>
      </c>
      <c r="F8" s="107">
        <v>6.0000000000000497E-2</v>
      </c>
      <c r="G8" s="107">
        <v>0</v>
      </c>
      <c r="H8" s="83">
        <v>0</v>
      </c>
      <c r="I8" s="83">
        <v>0</v>
      </c>
      <c r="J8" s="83">
        <v>0</v>
      </c>
      <c r="K8" s="83">
        <v>0</v>
      </c>
      <c r="L8" s="83">
        <v>0</v>
      </c>
      <c r="M8" s="83">
        <v>0</v>
      </c>
      <c r="N8" s="83">
        <v>0</v>
      </c>
      <c r="O8" s="83">
        <v>0</v>
      </c>
      <c r="P8" s="83">
        <v>0</v>
      </c>
      <c r="Q8" s="83">
        <v>0</v>
      </c>
      <c r="R8" s="83">
        <v>0</v>
      </c>
      <c r="S8" s="83">
        <v>0</v>
      </c>
      <c r="T8" s="107">
        <f>SUM(H8:S8)</f>
        <v>0</v>
      </c>
      <c r="U8" s="175">
        <f>SUM(D8,E8,F8,G8,T8)</f>
        <v>11137.055748538614</v>
      </c>
      <c r="V8" s="1"/>
    </row>
    <row r="9" spans="2:22" ht="12.75" customHeight="1" x14ac:dyDescent="0.25">
      <c r="B9" s="38" t="str">
        <f>BIPG</f>
        <v>Base Interruptible Program (BIP)</v>
      </c>
      <c r="C9" s="39"/>
      <c r="D9" s="136">
        <v>7196.8006186360417</v>
      </c>
      <c r="E9" s="136">
        <v>20.231700000000203</v>
      </c>
      <c r="F9" s="136">
        <v>-201.78999999999996</v>
      </c>
      <c r="G9" s="136">
        <v>343.12</v>
      </c>
      <c r="H9" s="137">
        <v>0</v>
      </c>
      <c r="I9" s="137">
        <v>0</v>
      </c>
      <c r="J9" s="137">
        <v>0</v>
      </c>
      <c r="K9" s="137">
        <v>0</v>
      </c>
      <c r="L9" s="137">
        <v>0</v>
      </c>
      <c r="M9" s="137">
        <v>0</v>
      </c>
      <c r="N9" s="137">
        <v>0</v>
      </c>
      <c r="O9" s="137">
        <v>0</v>
      </c>
      <c r="P9" s="137">
        <v>0</v>
      </c>
      <c r="Q9" s="137">
        <v>0</v>
      </c>
      <c r="R9" s="137">
        <v>0</v>
      </c>
      <c r="S9" s="137">
        <v>0</v>
      </c>
      <c r="T9" s="136">
        <f t="shared" ref="T9:T12" si="0">SUM(H9:S9)</f>
        <v>0</v>
      </c>
      <c r="U9" s="176">
        <f t="shared" ref="U9:U12" si="1">SUM(D9,E9,F9,G9,T9)</f>
        <v>7358.3623186360419</v>
      </c>
      <c r="V9" s="1"/>
    </row>
    <row r="10" spans="2:22" ht="12.75" customHeight="1" x14ac:dyDescent="0.25">
      <c r="B10" s="38" t="str">
        <f>OBMC</f>
        <v>Optional Binding Mandatory Curtailment (OBMC)</v>
      </c>
      <c r="C10" s="39"/>
      <c r="D10" s="136">
        <v>-8.3863670073524581</v>
      </c>
      <c r="E10" s="136">
        <v>6.1637999999999993</v>
      </c>
      <c r="F10" s="136">
        <v>0</v>
      </c>
      <c r="G10" s="136">
        <v>0</v>
      </c>
      <c r="H10" s="137">
        <v>0</v>
      </c>
      <c r="I10" s="137">
        <v>0</v>
      </c>
      <c r="J10" s="137">
        <v>0</v>
      </c>
      <c r="K10" s="137">
        <v>0</v>
      </c>
      <c r="L10" s="137">
        <v>0</v>
      </c>
      <c r="M10" s="137">
        <v>0</v>
      </c>
      <c r="N10" s="137">
        <v>0</v>
      </c>
      <c r="O10" s="137">
        <v>0</v>
      </c>
      <c r="P10" s="137">
        <v>0</v>
      </c>
      <c r="Q10" s="137">
        <v>0</v>
      </c>
      <c r="R10" s="137">
        <v>0</v>
      </c>
      <c r="S10" s="137">
        <v>0</v>
      </c>
      <c r="T10" s="136">
        <f t="shared" si="0"/>
        <v>0</v>
      </c>
      <c r="U10" s="176">
        <f t="shared" si="1"/>
        <v>-2.2225670073524588</v>
      </c>
      <c r="V10" s="1"/>
    </row>
    <row r="11" spans="2:22" ht="12.75" customHeight="1" x14ac:dyDescent="0.25">
      <c r="B11" s="59" t="str">
        <f>ROTO</f>
        <v>Rotating Outages</v>
      </c>
      <c r="C11" s="39"/>
      <c r="D11" s="136">
        <v>5.6127449188572456</v>
      </c>
      <c r="E11" s="136">
        <v>107.926</v>
      </c>
      <c r="F11" s="136">
        <v>0.57999999999998408</v>
      </c>
      <c r="G11" s="136">
        <v>170.98</v>
      </c>
      <c r="H11" s="137">
        <v>0</v>
      </c>
      <c r="I11" s="137">
        <v>0</v>
      </c>
      <c r="J11" s="137">
        <v>0</v>
      </c>
      <c r="K11" s="137">
        <v>0</v>
      </c>
      <c r="L11" s="137">
        <v>0</v>
      </c>
      <c r="M11" s="137">
        <v>0</v>
      </c>
      <c r="N11" s="137">
        <v>327.06</v>
      </c>
      <c r="O11" s="137">
        <v>0</v>
      </c>
      <c r="P11" s="137">
        <v>0</v>
      </c>
      <c r="Q11" s="137">
        <v>2.13</v>
      </c>
      <c r="R11" s="137">
        <v>-2.11</v>
      </c>
      <c r="S11" s="137">
        <v>2.2999999999999998</v>
      </c>
      <c r="T11" s="136">
        <f t="shared" si="0"/>
        <v>329.38</v>
      </c>
      <c r="U11" s="176">
        <f t="shared" si="1"/>
        <v>614.47874491885727</v>
      </c>
      <c r="V11" s="1"/>
    </row>
    <row r="12" spans="2:22" ht="12.75" customHeight="1" x14ac:dyDescent="0.25">
      <c r="B12" s="38" t="str">
        <f>SLRP</f>
        <v>Scheduled Load Reduction Program (SLRP)</v>
      </c>
      <c r="C12" s="39"/>
      <c r="D12" s="136">
        <v>-6.5051848168758326</v>
      </c>
      <c r="E12" s="136">
        <v>0.5242</v>
      </c>
      <c r="F12" s="136">
        <v>0</v>
      </c>
      <c r="G12" s="136">
        <v>0</v>
      </c>
      <c r="H12" s="137">
        <v>0</v>
      </c>
      <c r="I12" s="137">
        <v>0</v>
      </c>
      <c r="J12" s="137">
        <v>0</v>
      </c>
      <c r="K12" s="137">
        <v>0</v>
      </c>
      <c r="L12" s="137">
        <v>0</v>
      </c>
      <c r="M12" s="137">
        <v>0</v>
      </c>
      <c r="N12" s="137">
        <v>0</v>
      </c>
      <c r="O12" s="137">
        <v>0</v>
      </c>
      <c r="P12" s="137">
        <v>0</v>
      </c>
      <c r="Q12" s="137">
        <v>0</v>
      </c>
      <c r="R12" s="137">
        <v>0</v>
      </c>
      <c r="S12" s="137">
        <v>0</v>
      </c>
      <c r="T12" s="136">
        <f t="shared" si="0"/>
        <v>0</v>
      </c>
      <c r="U12" s="176">
        <f t="shared" si="1"/>
        <v>-5.9809848168758322</v>
      </c>
      <c r="V12" s="1"/>
    </row>
    <row r="13" spans="2:22" ht="12.75" customHeight="1" x14ac:dyDescent="0.25">
      <c r="B13" s="37" t="s">
        <v>287</v>
      </c>
      <c r="C13" s="64"/>
      <c r="D13" s="91">
        <f t="shared" ref="D13:U13" si="2">SUM(D8:D12)</f>
        <v>18240.995960269283</v>
      </c>
      <c r="E13" s="91">
        <f t="shared" si="2"/>
        <v>218.36730000000023</v>
      </c>
      <c r="F13" s="91">
        <f t="shared" si="2"/>
        <v>-201.14999999999998</v>
      </c>
      <c r="G13" s="91">
        <f t="shared" si="2"/>
        <v>514.1</v>
      </c>
      <c r="H13" s="91">
        <f t="shared" si="2"/>
        <v>0</v>
      </c>
      <c r="I13" s="91">
        <f t="shared" si="2"/>
        <v>0</v>
      </c>
      <c r="J13" s="91">
        <f t="shared" si="2"/>
        <v>0</v>
      </c>
      <c r="K13" s="91">
        <f t="shared" si="2"/>
        <v>0</v>
      </c>
      <c r="L13" s="91">
        <f t="shared" si="2"/>
        <v>0</v>
      </c>
      <c r="M13" s="91">
        <f t="shared" si="2"/>
        <v>0</v>
      </c>
      <c r="N13" s="91">
        <f t="shared" si="2"/>
        <v>327.06</v>
      </c>
      <c r="O13" s="91">
        <f t="shared" si="2"/>
        <v>0</v>
      </c>
      <c r="P13" s="91">
        <f t="shared" si="2"/>
        <v>0</v>
      </c>
      <c r="Q13" s="91">
        <f t="shared" si="2"/>
        <v>2.13</v>
      </c>
      <c r="R13" s="91">
        <f t="shared" si="2"/>
        <v>-2.11</v>
      </c>
      <c r="S13" s="91">
        <f t="shared" si="2"/>
        <v>2.2999999999999998</v>
      </c>
      <c r="T13" s="91">
        <f t="shared" si="2"/>
        <v>329.38</v>
      </c>
      <c r="U13" s="92">
        <f t="shared" si="2"/>
        <v>19101.693260269287</v>
      </c>
      <c r="V13" s="1"/>
    </row>
    <row r="14" spans="2:22" ht="12.75" customHeight="1" x14ac:dyDescent="0.25">
      <c r="B14" s="1"/>
      <c r="C14" s="1"/>
      <c r="D14" s="86"/>
      <c r="E14" s="86"/>
      <c r="F14" s="86"/>
      <c r="G14" s="86"/>
      <c r="H14" s="86"/>
      <c r="I14" s="86"/>
      <c r="J14" s="86"/>
      <c r="K14" s="86"/>
      <c r="L14" s="86"/>
      <c r="M14" s="86"/>
      <c r="N14" s="86"/>
      <c r="O14" s="86"/>
      <c r="P14" s="86"/>
      <c r="Q14" s="86"/>
      <c r="R14" s="86"/>
      <c r="S14" s="86"/>
      <c r="T14" s="150"/>
      <c r="U14" s="86"/>
      <c r="V14" s="1"/>
    </row>
    <row r="15" spans="2:22" ht="25.5" customHeight="1" x14ac:dyDescent="0.25">
      <c r="B15" s="57" t="s">
        <v>77</v>
      </c>
      <c r="C15" s="1"/>
      <c r="D15" s="86"/>
      <c r="E15" s="86"/>
      <c r="F15" s="86"/>
      <c r="G15" s="86"/>
      <c r="H15" s="86"/>
      <c r="I15" s="86"/>
      <c r="J15" s="86"/>
      <c r="K15" s="86"/>
      <c r="L15" s="86"/>
      <c r="M15" s="86"/>
      <c r="N15" s="86"/>
      <c r="O15" s="86"/>
      <c r="P15" s="86"/>
      <c r="Q15" s="86"/>
      <c r="R15" s="86"/>
      <c r="S15" s="86"/>
      <c r="T15" s="150"/>
      <c r="U15" s="86"/>
      <c r="V15" s="1"/>
    </row>
    <row r="16" spans="2:22" ht="12.75" customHeight="1" x14ac:dyDescent="0.25">
      <c r="B16" s="34" t="s">
        <v>78</v>
      </c>
      <c r="C16" s="58"/>
      <c r="D16" s="107">
        <v>204019.30283646184</v>
      </c>
      <c r="E16" s="107">
        <v>9705.8613000000005</v>
      </c>
      <c r="F16" s="107">
        <v>-10435.750000000002</v>
      </c>
      <c r="G16" s="82">
        <v>27.330000000000084</v>
      </c>
      <c r="H16" s="83">
        <v>0</v>
      </c>
      <c r="I16" s="83">
        <v>0</v>
      </c>
      <c r="J16" s="83">
        <v>0</v>
      </c>
      <c r="K16" s="83">
        <v>35.03</v>
      </c>
      <c r="L16" s="83">
        <v>-32.56</v>
      </c>
      <c r="M16" s="83">
        <v>789.32</v>
      </c>
      <c r="N16" s="83">
        <v>-781.83</v>
      </c>
      <c r="O16" s="83">
        <v>0</v>
      </c>
      <c r="P16" s="83">
        <v>1113.82</v>
      </c>
      <c r="Q16" s="83">
        <v>191.8</v>
      </c>
      <c r="R16" s="83">
        <v>-190.75</v>
      </c>
      <c r="S16" s="83">
        <v>-209599.7</v>
      </c>
      <c r="T16" s="107">
        <f t="shared" ref="T16:T19" si="3">SUM(H16:S16)</f>
        <v>-208474.87000000002</v>
      </c>
      <c r="U16" s="175">
        <f>SUM(D16,E16,F16,G16,T16)</f>
        <v>-5158.125863538211</v>
      </c>
      <c r="V16" s="1"/>
    </row>
    <row r="17" spans="2:22" ht="12.75" customHeight="1" x14ac:dyDescent="0.25">
      <c r="B17" s="38" t="str">
        <f>CBPG</f>
        <v>Capacity Bidding Program (CBP)</v>
      </c>
      <c r="C17" s="39"/>
      <c r="D17" s="136">
        <v>362.68974437868201</v>
      </c>
      <c r="E17" s="136">
        <v>62.964100000000059</v>
      </c>
      <c r="F17" s="136">
        <v>2.0000000000000018E-2</v>
      </c>
      <c r="G17" s="138">
        <v>0</v>
      </c>
      <c r="H17" s="137">
        <v>0</v>
      </c>
      <c r="I17" s="137">
        <v>0</v>
      </c>
      <c r="J17" s="137">
        <v>0</v>
      </c>
      <c r="K17" s="137">
        <v>0</v>
      </c>
      <c r="L17" s="137">
        <v>0</v>
      </c>
      <c r="M17" s="137">
        <v>0</v>
      </c>
      <c r="N17" s="137">
        <v>0</v>
      </c>
      <c r="O17" s="137">
        <v>0</v>
      </c>
      <c r="P17" s="137">
        <v>0</v>
      </c>
      <c r="Q17" s="137">
        <v>0</v>
      </c>
      <c r="R17" s="137"/>
      <c r="S17" s="137">
        <v>0</v>
      </c>
      <c r="T17" s="136">
        <f t="shared" si="3"/>
        <v>0</v>
      </c>
      <c r="U17" s="176">
        <f t="shared" ref="U17:U19" si="4">SUM(D17,E17,F17,G17,T17)</f>
        <v>425.67384437868202</v>
      </c>
      <c r="V17" s="1"/>
    </row>
    <row r="18" spans="2:22" ht="12.75" customHeight="1" x14ac:dyDescent="0.25">
      <c r="B18" s="38" t="str">
        <f>DBP</f>
        <v>Demand Bidding Program (DBP)</v>
      </c>
      <c r="C18" s="39"/>
      <c r="D18" s="136">
        <v>1257.1297999999999</v>
      </c>
      <c r="E18" s="136">
        <v>-100.6801</v>
      </c>
      <c r="F18" s="136">
        <v>5.0000000000000266E-2</v>
      </c>
      <c r="G18" s="138">
        <v>0</v>
      </c>
      <c r="H18" s="137">
        <v>0</v>
      </c>
      <c r="I18" s="137">
        <v>0</v>
      </c>
      <c r="J18" s="137">
        <v>0</v>
      </c>
      <c r="K18" s="137">
        <v>0</v>
      </c>
      <c r="L18" s="137">
        <v>0</v>
      </c>
      <c r="M18" s="137">
        <v>0</v>
      </c>
      <c r="N18" s="137">
        <v>0</v>
      </c>
      <c r="O18" s="137">
        <v>0</v>
      </c>
      <c r="P18" s="137">
        <v>0</v>
      </c>
      <c r="Q18" s="137">
        <v>0</v>
      </c>
      <c r="R18" s="137"/>
      <c r="S18" s="137">
        <v>0</v>
      </c>
      <c r="T18" s="136">
        <f t="shared" si="3"/>
        <v>0</v>
      </c>
      <c r="U18" s="176">
        <f t="shared" si="4"/>
        <v>1156.4996999999998</v>
      </c>
      <c r="V18" s="1"/>
    </row>
    <row r="19" spans="2:22" ht="12.75" customHeight="1" x14ac:dyDescent="0.25">
      <c r="B19" s="35" t="s">
        <v>79</v>
      </c>
      <c r="C19" s="36"/>
      <c r="D19" s="108">
        <v>237450.2904734718</v>
      </c>
      <c r="E19" s="108">
        <v>5784.6454999999996</v>
      </c>
      <c r="F19" s="108">
        <v>2.8200000000001637</v>
      </c>
      <c r="G19" s="89">
        <v>0</v>
      </c>
      <c r="H19" s="90">
        <v>0</v>
      </c>
      <c r="I19" s="90">
        <v>0</v>
      </c>
      <c r="J19" s="90">
        <v>0</v>
      </c>
      <c r="K19" s="90">
        <v>0</v>
      </c>
      <c r="L19" s="90">
        <v>0</v>
      </c>
      <c r="M19" s="90">
        <v>0</v>
      </c>
      <c r="N19" s="90">
        <v>0</v>
      </c>
      <c r="O19" s="90">
        <v>0</v>
      </c>
      <c r="P19" s="90">
        <v>0</v>
      </c>
      <c r="Q19" s="90">
        <v>10.1</v>
      </c>
      <c r="R19" s="90">
        <v>-10</v>
      </c>
      <c r="S19" s="90">
        <v>10.89</v>
      </c>
      <c r="T19" s="108">
        <f t="shared" si="3"/>
        <v>10.99</v>
      </c>
      <c r="U19" s="177">
        <f t="shared" si="4"/>
        <v>243248.74597347181</v>
      </c>
      <c r="V19" s="1"/>
    </row>
    <row r="20" spans="2:22" ht="12.75" customHeight="1" x14ac:dyDescent="0.25">
      <c r="B20" s="37" t="s">
        <v>80</v>
      </c>
      <c r="C20" s="64"/>
      <c r="D20" s="91">
        <f>SUM(D16:D19)</f>
        <v>443089.41285431234</v>
      </c>
      <c r="E20" s="91">
        <f t="shared" ref="E20:U20" si="5">SUM(E16:E19)</f>
        <v>15452.790799999999</v>
      </c>
      <c r="F20" s="91">
        <f t="shared" si="5"/>
        <v>-10432.860000000002</v>
      </c>
      <c r="G20" s="91">
        <f t="shared" si="5"/>
        <v>27.330000000000084</v>
      </c>
      <c r="H20" s="91">
        <f t="shared" si="5"/>
        <v>0</v>
      </c>
      <c r="I20" s="91">
        <f t="shared" si="5"/>
        <v>0</v>
      </c>
      <c r="J20" s="91">
        <f t="shared" si="5"/>
        <v>0</v>
      </c>
      <c r="K20" s="91">
        <f t="shared" si="5"/>
        <v>35.03</v>
      </c>
      <c r="L20" s="91">
        <f t="shared" si="5"/>
        <v>-32.56</v>
      </c>
      <c r="M20" s="91">
        <f t="shared" si="5"/>
        <v>789.32</v>
      </c>
      <c r="N20" s="91">
        <f t="shared" si="5"/>
        <v>-781.83</v>
      </c>
      <c r="O20" s="91">
        <f t="shared" si="5"/>
        <v>0</v>
      </c>
      <c r="P20" s="91">
        <f t="shared" si="5"/>
        <v>1113.82</v>
      </c>
      <c r="Q20" s="91">
        <f t="shared" si="5"/>
        <v>201.9</v>
      </c>
      <c r="R20" s="91">
        <f t="shared" si="5"/>
        <v>-200.75</v>
      </c>
      <c r="S20" s="91">
        <f t="shared" si="5"/>
        <v>-209588.81</v>
      </c>
      <c r="T20" s="91">
        <f t="shared" si="5"/>
        <v>-208463.88000000003</v>
      </c>
      <c r="U20" s="92">
        <f t="shared" si="5"/>
        <v>239672.79365431229</v>
      </c>
      <c r="V20" s="1"/>
    </row>
    <row r="21" spans="2:22" ht="12.75" customHeight="1" x14ac:dyDescent="0.25">
      <c r="B21" s="1"/>
      <c r="C21" s="1"/>
      <c r="D21" s="86"/>
      <c r="E21" s="86"/>
      <c r="F21" s="86"/>
      <c r="G21" s="86"/>
      <c r="H21" s="86"/>
      <c r="I21" s="86"/>
      <c r="J21" s="86"/>
      <c r="K21" s="86"/>
      <c r="L21" s="86"/>
      <c r="M21" s="86"/>
      <c r="N21" s="86"/>
      <c r="O21" s="86"/>
      <c r="P21" s="86"/>
      <c r="Q21" s="86"/>
      <c r="R21" s="86"/>
      <c r="S21" s="86"/>
      <c r="T21" s="150"/>
      <c r="U21" s="86"/>
      <c r="V21" s="1"/>
    </row>
    <row r="22" spans="2:22" ht="40.5" customHeight="1" x14ac:dyDescent="0.25">
      <c r="B22" s="57" t="s">
        <v>290</v>
      </c>
      <c r="C22" s="1"/>
      <c r="D22" s="86"/>
      <c r="E22" s="86"/>
      <c r="F22" s="86"/>
      <c r="G22" s="86"/>
      <c r="H22" s="86"/>
      <c r="I22" s="86"/>
      <c r="J22" s="86"/>
      <c r="K22" s="86"/>
      <c r="L22" s="86"/>
      <c r="M22" s="86"/>
      <c r="N22" s="86"/>
      <c r="O22" s="86"/>
      <c r="P22" s="86"/>
      <c r="Q22" s="86"/>
      <c r="R22" s="86"/>
      <c r="S22" s="86"/>
      <c r="T22" s="150"/>
      <c r="U22" s="86"/>
      <c r="V22" s="1"/>
    </row>
    <row r="23" spans="2:22" ht="12.75" customHeight="1" x14ac:dyDescent="0.25">
      <c r="B23" s="34" t="s">
        <v>100</v>
      </c>
      <c r="C23" s="58"/>
      <c r="D23" s="107">
        <v>13.969500000122935</v>
      </c>
      <c r="E23" s="107">
        <v>-8718.3100000000013</v>
      </c>
      <c r="F23" s="107">
        <v>0</v>
      </c>
      <c r="G23" s="82">
        <v>0</v>
      </c>
      <c r="H23" s="83">
        <v>0</v>
      </c>
      <c r="I23" s="83">
        <v>0</v>
      </c>
      <c r="J23" s="83">
        <v>0</v>
      </c>
      <c r="K23" s="83">
        <v>0</v>
      </c>
      <c r="L23" s="83">
        <v>0</v>
      </c>
      <c r="M23" s="83">
        <v>0</v>
      </c>
      <c r="N23" s="83">
        <v>0</v>
      </c>
      <c r="O23" s="83">
        <v>0</v>
      </c>
      <c r="P23" s="83">
        <v>0</v>
      </c>
      <c r="Q23" s="83">
        <v>0</v>
      </c>
      <c r="R23" s="83">
        <v>0</v>
      </c>
      <c r="S23" s="83">
        <v>0</v>
      </c>
      <c r="T23" s="107">
        <f t="shared" ref="T23" si="6">SUM(H23:S23)</f>
        <v>0</v>
      </c>
      <c r="U23" s="175">
        <f t="shared" ref="U23" si="7">SUM(D23,E23,F23,G23,T23)</f>
        <v>-8704.3404999998784</v>
      </c>
      <c r="V23" s="1"/>
    </row>
    <row r="24" spans="2:22" ht="12.75" customHeight="1" x14ac:dyDescent="0.25">
      <c r="B24" s="37" t="s">
        <v>90</v>
      </c>
      <c r="C24" s="64"/>
      <c r="D24" s="91">
        <f t="shared" ref="D24:U24" si="8">SUM(D23:D23)</f>
        <v>13.969500000122935</v>
      </c>
      <c r="E24" s="91">
        <f t="shared" si="8"/>
        <v>-8718.3100000000013</v>
      </c>
      <c r="F24" s="91">
        <f t="shared" si="8"/>
        <v>0</v>
      </c>
      <c r="G24" s="91">
        <f t="shared" si="8"/>
        <v>0</v>
      </c>
      <c r="H24" s="91">
        <f t="shared" si="8"/>
        <v>0</v>
      </c>
      <c r="I24" s="91">
        <f t="shared" si="8"/>
        <v>0</v>
      </c>
      <c r="J24" s="91">
        <f t="shared" si="8"/>
        <v>0</v>
      </c>
      <c r="K24" s="91">
        <f t="shared" si="8"/>
        <v>0</v>
      </c>
      <c r="L24" s="91">
        <f t="shared" si="8"/>
        <v>0</v>
      </c>
      <c r="M24" s="91">
        <f t="shared" si="8"/>
        <v>0</v>
      </c>
      <c r="N24" s="91">
        <f t="shared" si="8"/>
        <v>0</v>
      </c>
      <c r="O24" s="91">
        <f t="shared" si="8"/>
        <v>0</v>
      </c>
      <c r="P24" s="91">
        <f t="shared" si="8"/>
        <v>0</v>
      </c>
      <c r="Q24" s="91">
        <f t="shared" si="8"/>
        <v>0</v>
      </c>
      <c r="R24" s="91">
        <f t="shared" si="8"/>
        <v>0</v>
      </c>
      <c r="S24" s="91">
        <f t="shared" si="8"/>
        <v>0</v>
      </c>
      <c r="T24" s="91">
        <f t="shared" si="8"/>
        <v>0</v>
      </c>
      <c r="U24" s="92">
        <f t="shared" si="8"/>
        <v>-8704.3404999998784</v>
      </c>
      <c r="V24" s="1"/>
    </row>
    <row r="25" spans="2:22" ht="12.75" customHeight="1" x14ac:dyDescent="0.25">
      <c r="B25" s="1"/>
      <c r="C25" s="1"/>
      <c r="D25" s="86"/>
      <c r="E25" s="86"/>
      <c r="F25" s="86"/>
      <c r="G25" s="86"/>
      <c r="H25" s="86"/>
      <c r="I25" s="86"/>
      <c r="J25" s="86"/>
      <c r="K25" s="86"/>
      <c r="L25" s="86"/>
      <c r="M25" s="86"/>
      <c r="N25" s="86"/>
      <c r="O25" s="86"/>
      <c r="P25" s="86"/>
      <c r="Q25" s="86"/>
      <c r="R25" s="86"/>
      <c r="S25" s="86"/>
      <c r="T25" s="150"/>
      <c r="U25" s="86"/>
      <c r="V25" s="1"/>
    </row>
    <row r="26" spans="2:22" ht="27" customHeight="1" x14ac:dyDescent="0.25">
      <c r="B26" s="57" t="s">
        <v>101</v>
      </c>
      <c r="C26" s="1"/>
      <c r="D26" s="86"/>
      <c r="E26" s="86"/>
      <c r="F26" s="86"/>
      <c r="G26" s="86"/>
      <c r="H26" s="86"/>
      <c r="I26" s="86"/>
      <c r="J26" s="86"/>
      <c r="K26" s="86"/>
      <c r="L26" s="86"/>
      <c r="M26" s="86"/>
      <c r="N26" s="86"/>
      <c r="O26" s="86"/>
      <c r="P26" s="86"/>
      <c r="Q26" s="86"/>
      <c r="R26" s="86"/>
      <c r="S26" s="86"/>
      <c r="T26" s="150"/>
      <c r="U26" s="86"/>
      <c r="V26" s="1"/>
    </row>
    <row r="27" spans="2:22" ht="12.75" customHeight="1" x14ac:dyDescent="0.25">
      <c r="B27" s="34" t="s">
        <v>102</v>
      </c>
      <c r="C27" s="58"/>
      <c r="D27" s="107">
        <v>-407409.5131198857</v>
      </c>
      <c r="E27" s="107">
        <v>148457.47099999999</v>
      </c>
      <c r="F27" s="107">
        <v>37353.910000000003</v>
      </c>
      <c r="G27" s="82">
        <v>11180.220000000001</v>
      </c>
      <c r="H27" s="83">
        <v>0</v>
      </c>
      <c r="I27" s="83">
        <v>0</v>
      </c>
      <c r="J27" s="83">
        <v>0</v>
      </c>
      <c r="K27" s="83">
        <v>0</v>
      </c>
      <c r="L27" s="83">
        <v>0</v>
      </c>
      <c r="M27" s="83">
        <v>0</v>
      </c>
      <c r="N27" s="83">
        <v>0</v>
      </c>
      <c r="O27" s="83">
        <v>0</v>
      </c>
      <c r="P27" s="83">
        <v>0</v>
      </c>
      <c r="Q27" s="83">
        <v>0</v>
      </c>
      <c r="R27" s="83">
        <v>0</v>
      </c>
      <c r="S27" s="83">
        <v>0</v>
      </c>
      <c r="T27" s="107">
        <f t="shared" ref="T27:T28" si="9">SUM(H27:S27)</f>
        <v>0</v>
      </c>
      <c r="U27" s="175">
        <f t="shared" ref="U27:U28" si="10">SUM(D27,E27,F27,G27,T27)</f>
        <v>-210417.9121198857</v>
      </c>
      <c r="V27" s="1"/>
    </row>
    <row r="28" spans="2:22" ht="12.75" customHeight="1" x14ac:dyDescent="0.25">
      <c r="B28" s="35" t="s">
        <v>103</v>
      </c>
      <c r="C28" s="36"/>
      <c r="D28" s="108">
        <v>2325253.7578633721</v>
      </c>
      <c r="E28" s="108">
        <v>563003.64970000007</v>
      </c>
      <c r="F28" s="108">
        <v>-395236.81000000006</v>
      </c>
      <c r="G28" s="89">
        <v>-153962.17000000004</v>
      </c>
      <c r="H28" s="90">
        <v>20116.73</v>
      </c>
      <c r="I28" s="90">
        <v>-20063.25</v>
      </c>
      <c r="J28" s="90">
        <v>23781</v>
      </c>
      <c r="K28" s="90">
        <v>48244.76</v>
      </c>
      <c r="L28" s="90">
        <v>-44313.84</v>
      </c>
      <c r="M28" s="90">
        <v>-27316.17</v>
      </c>
      <c r="N28" s="90">
        <v>-390.77</v>
      </c>
      <c r="O28" s="222">
        <v>0</v>
      </c>
      <c r="P28" s="222">
        <v>0.41</v>
      </c>
      <c r="Q28" s="222">
        <v>40.19</v>
      </c>
      <c r="R28" s="222">
        <v>87.68</v>
      </c>
      <c r="S28" s="222">
        <v>59621.3</v>
      </c>
      <c r="T28" s="108">
        <f t="shared" si="9"/>
        <v>59808.040000000015</v>
      </c>
      <c r="U28" s="177">
        <f t="shared" si="10"/>
        <v>2398866.4675633721</v>
      </c>
      <c r="V28" s="1"/>
    </row>
    <row r="29" spans="2:22" ht="12.75" customHeight="1" x14ac:dyDescent="0.25">
      <c r="B29" s="37" t="s">
        <v>94</v>
      </c>
      <c r="C29" s="64"/>
      <c r="D29" s="91">
        <f>SUM(D27:D28)</f>
        <v>1917844.2447434864</v>
      </c>
      <c r="E29" s="91">
        <f t="shared" ref="E29:U29" si="11">SUM(E27:E28)</f>
        <v>711461.12070000009</v>
      </c>
      <c r="F29" s="91">
        <f t="shared" si="11"/>
        <v>-357882.9</v>
      </c>
      <c r="G29" s="91">
        <f t="shared" si="11"/>
        <v>-142781.95000000004</v>
      </c>
      <c r="H29" s="91">
        <f t="shared" si="11"/>
        <v>20116.73</v>
      </c>
      <c r="I29" s="91">
        <f t="shared" si="11"/>
        <v>-20063.25</v>
      </c>
      <c r="J29" s="91">
        <f t="shared" si="11"/>
        <v>23781</v>
      </c>
      <c r="K29" s="91">
        <f t="shared" si="11"/>
        <v>48244.76</v>
      </c>
      <c r="L29" s="91">
        <f t="shared" si="11"/>
        <v>-44313.84</v>
      </c>
      <c r="M29" s="91">
        <f t="shared" si="11"/>
        <v>-27316.17</v>
      </c>
      <c r="N29" s="91">
        <f t="shared" si="11"/>
        <v>-390.77</v>
      </c>
      <c r="O29" s="91">
        <f t="shared" si="11"/>
        <v>0</v>
      </c>
      <c r="P29" s="91">
        <f t="shared" si="11"/>
        <v>0.41</v>
      </c>
      <c r="Q29" s="91">
        <f t="shared" si="11"/>
        <v>40.19</v>
      </c>
      <c r="R29" s="91">
        <f t="shared" si="11"/>
        <v>87.68</v>
      </c>
      <c r="S29" s="91">
        <f t="shared" si="11"/>
        <v>59621.3</v>
      </c>
      <c r="T29" s="91">
        <f t="shared" si="11"/>
        <v>59808.040000000015</v>
      </c>
      <c r="U29" s="92">
        <f t="shared" si="11"/>
        <v>2188448.5554434862</v>
      </c>
      <c r="V29" s="1"/>
    </row>
    <row r="30" spans="2:22" ht="12.75" customHeight="1" x14ac:dyDescent="0.25">
      <c r="B30" s="1"/>
      <c r="C30" s="1"/>
      <c r="D30" s="86"/>
      <c r="E30" s="86"/>
      <c r="F30" s="86"/>
      <c r="G30" s="86"/>
      <c r="H30" s="86"/>
      <c r="I30" s="86"/>
      <c r="J30" s="86"/>
      <c r="K30" s="86"/>
      <c r="L30" s="86"/>
      <c r="M30" s="86"/>
      <c r="N30" s="86"/>
      <c r="O30" s="86"/>
      <c r="P30" s="86"/>
      <c r="Q30" s="86"/>
      <c r="R30" s="86"/>
      <c r="S30" s="86"/>
      <c r="T30" s="150"/>
      <c r="U30" s="86"/>
      <c r="V30" s="1"/>
    </row>
    <row r="31" spans="2:22" ht="12.75" customHeight="1" x14ac:dyDescent="0.25">
      <c r="B31" s="30" t="s">
        <v>95</v>
      </c>
      <c r="C31" s="1"/>
      <c r="D31" s="86"/>
      <c r="E31" s="86"/>
      <c r="F31" s="86"/>
      <c r="G31" s="86"/>
      <c r="H31" s="86"/>
      <c r="I31" s="86"/>
      <c r="J31" s="86"/>
      <c r="K31" s="86"/>
      <c r="L31" s="86"/>
      <c r="M31" s="86"/>
      <c r="N31" s="86"/>
      <c r="O31" s="86"/>
      <c r="P31" s="86"/>
      <c r="Q31" s="86"/>
      <c r="R31" s="86"/>
      <c r="S31" s="86"/>
      <c r="T31" s="150"/>
      <c r="U31" s="86"/>
      <c r="V31" s="1"/>
    </row>
    <row r="32" spans="2:22" ht="12.75" customHeight="1" x14ac:dyDescent="0.25">
      <c r="B32" s="34" t="s">
        <v>104</v>
      </c>
      <c r="C32" s="58"/>
      <c r="D32" s="82">
        <v>376621.74911719584</v>
      </c>
      <c r="E32" s="82">
        <v>409827.58260000002</v>
      </c>
      <c r="F32" s="82">
        <v>-5772.3600000000006</v>
      </c>
      <c r="G32" s="82">
        <v>0</v>
      </c>
      <c r="H32" s="83">
        <v>0</v>
      </c>
      <c r="I32" s="83">
        <v>0</v>
      </c>
      <c r="J32" s="83">
        <v>0</v>
      </c>
      <c r="K32" s="83">
        <v>0</v>
      </c>
      <c r="L32" s="83">
        <v>0</v>
      </c>
      <c r="M32" s="83">
        <v>0</v>
      </c>
      <c r="N32" s="83">
        <v>0</v>
      </c>
      <c r="O32" s="83">
        <v>0</v>
      </c>
      <c r="P32" s="83">
        <v>0</v>
      </c>
      <c r="Q32" s="83">
        <v>0</v>
      </c>
      <c r="R32" s="83">
        <v>0</v>
      </c>
      <c r="S32" s="83">
        <v>0</v>
      </c>
      <c r="T32" s="107">
        <f t="shared" ref="T32" si="12">SUM(H32:S32)</f>
        <v>0</v>
      </c>
      <c r="U32" s="175">
        <f t="shared" ref="U32" si="13">SUM(D32,E32,F32,G32,T32)</f>
        <v>780676.97171719593</v>
      </c>
      <c r="V32" s="1"/>
    </row>
    <row r="33" spans="2:22" ht="12.75" customHeight="1" x14ac:dyDescent="0.25">
      <c r="B33" s="37" t="s">
        <v>96</v>
      </c>
      <c r="C33" s="64"/>
      <c r="D33" s="91">
        <f t="shared" ref="D33:U33" si="14">SUM(D32:D32)</f>
        <v>376621.74911719584</v>
      </c>
      <c r="E33" s="91">
        <f t="shared" si="14"/>
        <v>409827.58260000002</v>
      </c>
      <c r="F33" s="91">
        <f t="shared" si="14"/>
        <v>-5772.3600000000006</v>
      </c>
      <c r="G33" s="91">
        <f t="shared" si="14"/>
        <v>0</v>
      </c>
      <c r="H33" s="91">
        <f t="shared" si="14"/>
        <v>0</v>
      </c>
      <c r="I33" s="91">
        <f t="shared" si="14"/>
        <v>0</v>
      </c>
      <c r="J33" s="91">
        <f t="shared" si="14"/>
        <v>0</v>
      </c>
      <c r="K33" s="91">
        <f t="shared" si="14"/>
        <v>0</v>
      </c>
      <c r="L33" s="91">
        <f t="shared" si="14"/>
        <v>0</v>
      </c>
      <c r="M33" s="91">
        <f t="shared" si="14"/>
        <v>0</v>
      </c>
      <c r="N33" s="91">
        <f t="shared" si="14"/>
        <v>0</v>
      </c>
      <c r="O33" s="91">
        <f t="shared" si="14"/>
        <v>0</v>
      </c>
      <c r="P33" s="91">
        <f t="shared" si="14"/>
        <v>0</v>
      </c>
      <c r="Q33" s="91">
        <f t="shared" si="14"/>
        <v>0</v>
      </c>
      <c r="R33" s="91">
        <f t="shared" si="14"/>
        <v>0</v>
      </c>
      <c r="S33" s="91">
        <f t="shared" si="14"/>
        <v>0</v>
      </c>
      <c r="T33" s="91">
        <f t="shared" si="14"/>
        <v>0</v>
      </c>
      <c r="U33" s="92">
        <f t="shared" si="14"/>
        <v>780676.97171719593</v>
      </c>
      <c r="V33" s="1"/>
    </row>
    <row r="34" spans="2:22" ht="12.75" customHeight="1" x14ac:dyDescent="0.25">
      <c r="B34" s="1"/>
      <c r="C34" s="1"/>
      <c r="D34" s="86"/>
      <c r="E34" s="86"/>
      <c r="F34" s="86"/>
      <c r="G34" s="86"/>
      <c r="H34" s="86"/>
      <c r="I34" s="86"/>
      <c r="J34" s="86"/>
      <c r="K34" s="86"/>
      <c r="L34" s="86"/>
      <c r="M34" s="86"/>
      <c r="N34" s="86"/>
      <c r="O34" s="86"/>
      <c r="P34" s="86"/>
      <c r="Q34" s="86"/>
      <c r="R34" s="86"/>
      <c r="S34" s="86"/>
      <c r="T34" s="150"/>
      <c r="U34" s="86"/>
      <c r="V34" s="1"/>
    </row>
    <row r="35" spans="2:22" ht="29.25" customHeight="1" x14ac:dyDescent="0.25">
      <c r="B35" s="57" t="s">
        <v>105</v>
      </c>
      <c r="C35" s="1"/>
      <c r="D35" s="86"/>
      <c r="E35" s="86"/>
      <c r="F35" s="86"/>
      <c r="G35" s="86"/>
      <c r="H35" s="86"/>
      <c r="I35" s="86"/>
      <c r="J35" s="86"/>
      <c r="K35" s="86"/>
      <c r="L35" s="86"/>
      <c r="M35" s="86"/>
      <c r="N35" s="86"/>
      <c r="O35" s="86"/>
      <c r="P35" s="86"/>
      <c r="Q35" s="86"/>
      <c r="R35" s="86"/>
      <c r="S35" s="86"/>
      <c r="T35" s="150"/>
      <c r="U35" s="86"/>
      <c r="V35" s="1"/>
    </row>
    <row r="36" spans="2:22" ht="12.75" customHeight="1" x14ac:dyDescent="0.25">
      <c r="B36" s="34" t="s">
        <v>106</v>
      </c>
      <c r="C36" s="58"/>
      <c r="D36" s="82">
        <v>62370.329999999994</v>
      </c>
      <c r="E36" s="82">
        <v>200000</v>
      </c>
      <c r="F36" s="82">
        <v>240998.11</v>
      </c>
      <c r="G36" s="82">
        <v>720757.88</v>
      </c>
      <c r="H36" s="83">
        <v>0</v>
      </c>
      <c r="I36" s="83">
        <v>0</v>
      </c>
      <c r="J36" s="83">
        <v>71355.78</v>
      </c>
      <c r="K36" s="83">
        <v>0</v>
      </c>
      <c r="L36" s="83">
        <v>0</v>
      </c>
      <c r="M36" s="83">
        <v>126965.77</v>
      </c>
      <c r="N36" s="83">
        <v>95463.35</v>
      </c>
      <c r="O36" s="83">
        <v>0</v>
      </c>
      <c r="P36" s="83">
        <v>0</v>
      </c>
      <c r="Q36" s="83">
        <v>113324.36</v>
      </c>
      <c r="R36" s="83">
        <v>0</v>
      </c>
      <c r="S36" s="83">
        <v>-1071218.33</v>
      </c>
      <c r="T36" s="107">
        <f t="shared" ref="T36:T37" si="15">SUM(H36:S36)</f>
        <v>-664109.07000000007</v>
      </c>
      <c r="U36" s="175">
        <f t="shared" ref="U36:U37" si="16">SUM(D36,E36,F36,G36,T36)</f>
        <v>560017.25</v>
      </c>
      <c r="V36" s="1"/>
    </row>
    <row r="37" spans="2:22" ht="12.75" customHeight="1" x14ac:dyDescent="0.25">
      <c r="B37" s="35" t="s">
        <v>107</v>
      </c>
      <c r="C37" s="36"/>
      <c r="D37" s="89">
        <v>494350.38662901608</v>
      </c>
      <c r="E37" s="89">
        <v>-43999.890000000014</v>
      </c>
      <c r="F37" s="89">
        <v>5432.33</v>
      </c>
      <c r="G37" s="89">
        <v>255175.99999999997</v>
      </c>
      <c r="H37" s="90">
        <v>0</v>
      </c>
      <c r="I37" s="90">
        <v>0</v>
      </c>
      <c r="J37" s="90">
        <v>27.08</v>
      </c>
      <c r="K37" s="90">
        <v>0</v>
      </c>
      <c r="L37" s="90">
        <v>0</v>
      </c>
      <c r="M37" s="90">
        <v>0</v>
      </c>
      <c r="N37" s="90">
        <v>64.48</v>
      </c>
      <c r="O37" s="90">
        <v>638.35</v>
      </c>
      <c r="P37" s="90">
        <v>-206.08</v>
      </c>
      <c r="Q37" s="90">
        <v>0</v>
      </c>
      <c r="R37" s="90">
        <v>1404.7</v>
      </c>
      <c r="S37" s="90">
        <v>-1312.25</v>
      </c>
      <c r="T37" s="108">
        <f t="shared" si="15"/>
        <v>616.2800000000002</v>
      </c>
      <c r="U37" s="177">
        <f t="shared" si="16"/>
        <v>711575.10662901611</v>
      </c>
      <c r="V37" s="1"/>
    </row>
    <row r="38" spans="2:22" ht="12.75" customHeight="1" x14ac:dyDescent="0.25">
      <c r="B38" s="37" t="s">
        <v>98</v>
      </c>
      <c r="C38" s="64"/>
      <c r="D38" s="91">
        <f>SUM(D36:D37)</f>
        <v>556720.7166290161</v>
      </c>
      <c r="E38" s="91">
        <f t="shared" ref="E38:U38" si="17">SUM(E36:E37)</f>
        <v>156000.10999999999</v>
      </c>
      <c r="F38" s="91">
        <f t="shared" si="17"/>
        <v>246430.43999999997</v>
      </c>
      <c r="G38" s="91">
        <f t="shared" si="17"/>
        <v>975933.88</v>
      </c>
      <c r="H38" s="91">
        <f t="shared" si="17"/>
        <v>0</v>
      </c>
      <c r="I38" s="91">
        <f t="shared" si="17"/>
        <v>0</v>
      </c>
      <c r="J38" s="91">
        <f t="shared" si="17"/>
        <v>71382.86</v>
      </c>
      <c r="K38" s="91">
        <f t="shared" si="17"/>
        <v>0</v>
      </c>
      <c r="L38" s="91">
        <f t="shared" si="17"/>
        <v>0</v>
      </c>
      <c r="M38" s="91">
        <f t="shared" si="17"/>
        <v>126965.77</v>
      </c>
      <c r="N38" s="91">
        <f t="shared" si="17"/>
        <v>95527.83</v>
      </c>
      <c r="O38" s="91">
        <f t="shared" si="17"/>
        <v>638.35</v>
      </c>
      <c r="P38" s="91">
        <f t="shared" si="17"/>
        <v>-206.08</v>
      </c>
      <c r="Q38" s="91">
        <f t="shared" si="17"/>
        <v>113324.36</v>
      </c>
      <c r="R38" s="91">
        <f t="shared" si="17"/>
        <v>1404.7</v>
      </c>
      <c r="S38" s="91">
        <f t="shared" si="17"/>
        <v>-1072530.58</v>
      </c>
      <c r="T38" s="91">
        <f t="shared" si="17"/>
        <v>-663492.79</v>
      </c>
      <c r="U38" s="92">
        <f t="shared" si="17"/>
        <v>1271592.3566290161</v>
      </c>
      <c r="V38" s="1"/>
    </row>
    <row r="39" spans="2:22" ht="12.75" customHeight="1" x14ac:dyDescent="0.25">
      <c r="B39" s="1"/>
      <c r="C39" s="1"/>
      <c r="D39" s="86"/>
      <c r="E39" s="86"/>
      <c r="F39" s="86"/>
      <c r="G39" s="86"/>
      <c r="H39" s="86"/>
      <c r="I39" s="86"/>
      <c r="J39" s="86"/>
      <c r="K39" s="86"/>
      <c r="L39" s="86"/>
      <c r="M39" s="86"/>
      <c r="N39" s="86"/>
      <c r="O39" s="86"/>
      <c r="P39" s="86"/>
      <c r="Q39" s="86"/>
      <c r="R39" s="86"/>
      <c r="S39" s="86"/>
      <c r="T39" s="86"/>
      <c r="U39" s="86"/>
      <c r="V39" s="1"/>
    </row>
    <row r="40" spans="2:22" ht="25.5" customHeight="1" x14ac:dyDescent="0.25">
      <c r="B40" s="57" t="s">
        <v>108</v>
      </c>
      <c r="C40" s="1"/>
      <c r="D40" s="86"/>
      <c r="E40" s="86"/>
      <c r="F40" s="86"/>
      <c r="G40" s="86"/>
      <c r="H40" s="86"/>
      <c r="I40" s="86"/>
      <c r="J40" s="86"/>
      <c r="K40" s="86"/>
      <c r="L40" s="86"/>
      <c r="M40" s="86"/>
      <c r="N40" s="86"/>
      <c r="O40" s="86"/>
      <c r="P40" s="86"/>
      <c r="Q40" s="86"/>
      <c r="R40" s="86"/>
      <c r="S40" s="86"/>
      <c r="T40" s="86"/>
      <c r="U40" s="86"/>
      <c r="V40" s="1"/>
    </row>
    <row r="41" spans="2:22" ht="12.75" customHeight="1" x14ac:dyDescent="0.25">
      <c r="B41" s="34" t="str">
        <f>OLM</f>
        <v>Other Local Marketing</v>
      </c>
      <c r="C41" s="58"/>
      <c r="D41" s="82">
        <v>-15568.61</v>
      </c>
      <c r="E41" s="82">
        <v>-463.38000000000011</v>
      </c>
      <c r="F41" s="82">
        <v>0</v>
      </c>
      <c r="G41" s="82">
        <v>0</v>
      </c>
      <c r="H41" s="83">
        <v>0</v>
      </c>
      <c r="I41" s="83">
        <v>0</v>
      </c>
      <c r="J41" s="83">
        <v>0</v>
      </c>
      <c r="K41" s="83">
        <v>0</v>
      </c>
      <c r="L41" s="83">
        <v>0</v>
      </c>
      <c r="M41" s="83">
        <v>0</v>
      </c>
      <c r="N41" s="83">
        <v>0</v>
      </c>
      <c r="O41" s="83">
        <v>0</v>
      </c>
      <c r="P41" s="83">
        <v>0</v>
      </c>
      <c r="Q41" s="83">
        <v>0</v>
      </c>
      <c r="R41" s="83">
        <v>0</v>
      </c>
      <c r="S41" s="83">
        <v>-92.69</v>
      </c>
      <c r="T41" s="82">
        <f t="shared" ref="T41" si="18">SUM(H41:S41)</f>
        <v>-92.69</v>
      </c>
      <c r="U41" s="84">
        <f t="shared" ref="U41" si="19">SUM(D41,E41,F41,G41,T41)</f>
        <v>-16124.680000000002</v>
      </c>
      <c r="V41" s="1"/>
    </row>
    <row r="42" spans="2:22" ht="12.75" customHeight="1" x14ac:dyDescent="0.25">
      <c r="B42" s="37" t="s">
        <v>81</v>
      </c>
      <c r="C42" s="64"/>
      <c r="D42" s="91">
        <f t="shared" ref="D42:U42" si="20">SUM(D41:D41)</f>
        <v>-15568.61</v>
      </c>
      <c r="E42" s="91">
        <f t="shared" si="20"/>
        <v>-463.38000000000011</v>
      </c>
      <c r="F42" s="91">
        <f t="shared" si="20"/>
        <v>0</v>
      </c>
      <c r="G42" s="91">
        <f t="shared" si="20"/>
        <v>0</v>
      </c>
      <c r="H42" s="91">
        <f t="shared" si="20"/>
        <v>0</v>
      </c>
      <c r="I42" s="91">
        <f t="shared" si="20"/>
        <v>0</v>
      </c>
      <c r="J42" s="91">
        <f t="shared" si="20"/>
        <v>0</v>
      </c>
      <c r="K42" s="91">
        <f t="shared" si="20"/>
        <v>0</v>
      </c>
      <c r="L42" s="91">
        <f t="shared" si="20"/>
        <v>0</v>
      </c>
      <c r="M42" s="91">
        <f t="shared" si="20"/>
        <v>0</v>
      </c>
      <c r="N42" s="91">
        <f t="shared" si="20"/>
        <v>0</v>
      </c>
      <c r="O42" s="91">
        <f t="shared" si="20"/>
        <v>0</v>
      </c>
      <c r="P42" s="91">
        <f t="shared" si="20"/>
        <v>0</v>
      </c>
      <c r="Q42" s="91">
        <f t="shared" si="20"/>
        <v>0</v>
      </c>
      <c r="R42" s="91">
        <f t="shared" si="20"/>
        <v>0</v>
      </c>
      <c r="S42" s="91">
        <f t="shared" si="20"/>
        <v>-92.69</v>
      </c>
      <c r="T42" s="91">
        <f t="shared" si="20"/>
        <v>-92.69</v>
      </c>
      <c r="U42" s="92">
        <f t="shared" si="20"/>
        <v>-16124.680000000002</v>
      </c>
      <c r="V42" s="1"/>
    </row>
    <row r="43" spans="2:22" ht="12.75" customHeight="1" x14ac:dyDescent="0.25">
      <c r="B43" s="1"/>
      <c r="C43" s="1"/>
      <c r="D43" s="86"/>
      <c r="E43" s="86"/>
      <c r="F43" s="86"/>
      <c r="G43" s="86"/>
      <c r="H43" s="86"/>
      <c r="I43" s="86"/>
      <c r="J43" s="86"/>
      <c r="K43" s="86"/>
      <c r="L43" s="86"/>
      <c r="M43" s="86"/>
      <c r="N43" s="86"/>
      <c r="O43" s="86"/>
      <c r="P43" s="86"/>
      <c r="Q43" s="86"/>
      <c r="R43" s="86"/>
      <c r="S43" s="86"/>
      <c r="T43" s="86"/>
      <c r="U43" s="86"/>
      <c r="V43" s="1"/>
    </row>
    <row r="44" spans="2:22" x14ac:dyDescent="0.25">
      <c r="B44" s="57" t="s">
        <v>109</v>
      </c>
      <c r="C44" s="1"/>
      <c r="D44" s="139"/>
      <c r="E44" s="139"/>
      <c r="F44" s="139"/>
      <c r="G44" s="139"/>
      <c r="H44" s="86"/>
      <c r="I44" s="86"/>
      <c r="J44" s="86"/>
      <c r="K44" s="86"/>
      <c r="L44" s="86"/>
      <c r="M44" s="86"/>
      <c r="N44" s="86"/>
      <c r="O44" s="86"/>
      <c r="P44" s="86"/>
      <c r="Q44" s="86"/>
      <c r="R44" s="86"/>
      <c r="S44" s="86"/>
      <c r="T44" s="86"/>
      <c r="U44" s="86"/>
      <c r="V44" s="1"/>
    </row>
    <row r="45" spans="2:22" ht="12.75" customHeight="1" x14ac:dyDescent="0.25">
      <c r="B45" s="34" t="s">
        <v>110</v>
      </c>
      <c r="C45" s="58"/>
      <c r="D45" s="82">
        <v>6637.1507273812376</v>
      </c>
      <c r="E45" s="82">
        <v>-1189.3386999999998</v>
      </c>
      <c r="F45" s="82">
        <v>231852.66</v>
      </c>
      <c r="G45" s="82">
        <v>440</v>
      </c>
      <c r="H45" s="83">
        <v>0</v>
      </c>
      <c r="I45" s="83">
        <v>0</v>
      </c>
      <c r="J45" s="83">
        <v>792.22</v>
      </c>
      <c r="K45" s="83">
        <v>188.7</v>
      </c>
      <c r="L45" s="83">
        <v>0</v>
      </c>
      <c r="M45" s="83">
        <v>66.25</v>
      </c>
      <c r="N45" s="83">
        <v>0</v>
      </c>
      <c r="O45" s="83">
        <v>0</v>
      </c>
      <c r="P45" s="83">
        <v>0</v>
      </c>
      <c r="Q45" s="83">
        <v>0</v>
      </c>
      <c r="R45" s="83">
        <v>345.26</v>
      </c>
      <c r="S45" s="83">
        <v>-1460.94</v>
      </c>
      <c r="T45" s="107">
        <f t="shared" ref="T45:T46" si="21">SUM(H45:S45)</f>
        <v>-68.509999999999991</v>
      </c>
      <c r="U45" s="175">
        <f t="shared" ref="U45:U46" si="22">SUM(D45,E45,F45,G45,T45)</f>
        <v>237671.96202738123</v>
      </c>
      <c r="V45" s="1"/>
    </row>
    <row r="46" spans="2:22" ht="12.75" customHeight="1" x14ac:dyDescent="0.25">
      <c r="B46" s="35" t="str">
        <f>DRR_24</f>
        <v>DR Rule 24</v>
      </c>
      <c r="C46" s="36"/>
      <c r="D46" s="89">
        <v>727391.22409999999</v>
      </c>
      <c r="E46" s="89">
        <v>-57633.749900000046</v>
      </c>
      <c r="F46" s="89">
        <v>173105.19</v>
      </c>
      <c r="G46" s="89">
        <v>272444.11</v>
      </c>
      <c r="H46" s="90">
        <v>17732.919999999998</v>
      </c>
      <c r="I46" s="90">
        <v>20429.490000000002</v>
      </c>
      <c r="J46" s="90">
        <v>38358.559999999998</v>
      </c>
      <c r="K46" s="90">
        <v>48860.75</v>
      </c>
      <c r="L46" s="90">
        <v>49349.43</v>
      </c>
      <c r="M46" s="90">
        <v>48158.11</v>
      </c>
      <c r="N46" s="90">
        <v>43825.04</v>
      </c>
      <c r="O46" s="90">
        <v>49063.89</v>
      </c>
      <c r="P46" s="90">
        <v>56173.72</v>
      </c>
      <c r="Q46" s="90">
        <v>48831.06</v>
      </c>
      <c r="R46" s="90">
        <v>35571.129999999997</v>
      </c>
      <c r="S46" s="90">
        <v>41730.379999999997</v>
      </c>
      <c r="T46" s="108">
        <f t="shared" si="21"/>
        <v>498084.48000000004</v>
      </c>
      <c r="U46" s="177">
        <f t="shared" si="22"/>
        <v>1613391.2541999999</v>
      </c>
      <c r="V46" s="1"/>
    </row>
    <row r="47" spans="2:22" ht="12.75" customHeight="1" x14ac:dyDescent="0.25">
      <c r="B47" s="37" t="s">
        <v>111</v>
      </c>
      <c r="C47" s="64"/>
      <c r="D47" s="91">
        <f>SUM(D45:D46)</f>
        <v>734028.37482738122</v>
      </c>
      <c r="E47" s="91">
        <f t="shared" ref="E47:U47" si="23">SUM(E45:E46)</f>
        <v>-58823.088600000046</v>
      </c>
      <c r="F47" s="91">
        <f t="shared" si="23"/>
        <v>404957.85</v>
      </c>
      <c r="G47" s="91">
        <f t="shared" si="23"/>
        <v>272884.11</v>
      </c>
      <c r="H47" s="91">
        <f t="shared" si="23"/>
        <v>17732.919999999998</v>
      </c>
      <c r="I47" s="91">
        <f t="shared" si="23"/>
        <v>20429.490000000002</v>
      </c>
      <c r="J47" s="91">
        <f t="shared" si="23"/>
        <v>39150.78</v>
      </c>
      <c r="K47" s="91">
        <f t="shared" si="23"/>
        <v>49049.45</v>
      </c>
      <c r="L47" s="91">
        <f t="shared" si="23"/>
        <v>49349.43</v>
      </c>
      <c r="M47" s="91">
        <f t="shared" si="23"/>
        <v>48224.36</v>
      </c>
      <c r="N47" s="91">
        <f t="shared" si="23"/>
        <v>43825.04</v>
      </c>
      <c r="O47" s="91">
        <f t="shared" si="23"/>
        <v>49063.89</v>
      </c>
      <c r="P47" s="91">
        <f t="shared" si="23"/>
        <v>56173.72</v>
      </c>
      <c r="Q47" s="91">
        <f t="shared" si="23"/>
        <v>48831.06</v>
      </c>
      <c r="R47" s="91">
        <f t="shared" si="23"/>
        <v>35916.39</v>
      </c>
      <c r="S47" s="91">
        <f t="shared" si="23"/>
        <v>40269.439999999995</v>
      </c>
      <c r="T47" s="91">
        <f t="shared" si="23"/>
        <v>498015.97000000003</v>
      </c>
      <c r="U47" s="92">
        <f t="shared" si="23"/>
        <v>1851063.216227381</v>
      </c>
      <c r="V47" s="1"/>
    </row>
    <row r="48" spans="2:22" ht="12.75" customHeight="1" x14ac:dyDescent="0.25">
      <c r="B48" s="1"/>
      <c r="C48" s="1"/>
      <c r="D48" s="86"/>
      <c r="E48" s="86"/>
      <c r="F48" s="86"/>
      <c r="G48" s="86"/>
      <c r="H48" s="86"/>
      <c r="I48" s="86"/>
      <c r="J48" s="86"/>
      <c r="K48" s="86"/>
      <c r="L48" s="86"/>
      <c r="M48" s="86"/>
      <c r="N48" s="86"/>
      <c r="O48" s="86"/>
      <c r="P48" s="86"/>
      <c r="Q48" s="86"/>
      <c r="R48" s="86"/>
      <c r="S48" s="86"/>
      <c r="T48" s="86"/>
      <c r="U48" s="86"/>
      <c r="V48" s="1"/>
    </row>
    <row r="49" spans="2:22" ht="26.25" x14ac:dyDescent="0.25">
      <c r="B49" s="57" t="s">
        <v>112</v>
      </c>
      <c r="C49" s="1"/>
      <c r="D49" s="139"/>
      <c r="E49" s="139"/>
      <c r="F49" s="139"/>
      <c r="G49" s="139"/>
      <c r="H49" s="86"/>
      <c r="I49" s="86"/>
      <c r="J49" s="86"/>
      <c r="K49" s="86"/>
      <c r="L49" s="86"/>
      <c r="M49" s="86"/>
      <c r="N49" s="86"/>
      <c r="O49" s="86"/>
      <c r="P49" s="86"/>
      <c r="Q49" s="86"/>
      <c r="R49" s="86"/>
      <c r="S49" s="86"/>
      <c r="T49" s="86"/>
      <c r="U49" s="86"/>
      <c r="V49" s="1"/>
    </row>
    <row r="50" spans="2:22" ht="12.75" customHeight="1" x14ac:dyDescent="0.25">
      <c r="B50" s="34" t="s">
        <v>113</v>
      </c>
      <c r="C50" s="58"/>
      <c r="D50" s="107">
        <v>-25725.319108699434</v>
      </c>
      <c r="E50" s="107">
        <v>-10.33</v>
      </c>
      <c r="F50" s="107">
        <v>0</v>
      </c>
      <c r="G50" s="82">
        <v>0</v>
      </c>
      <c r="H50" s="83">
        <v>0</v>
      </c>
      <c r="I50" s="83">
        <v>0</v>
      </c>
      <c r="J50" s="83">
        <v>0</v>
      </c>
      <c r="K50" s="83">
        <v>0</v>
      </c>
      <c r="L50" s="83">
        <v>0</v>
      </c>
      <c r="M50" s="83">
        <v>0</v>
      </c>
      <c r="N50" s="83">
        <v>0</v>
      </c>
      <c r="O50" s="83">
        <v>0</v>
      </c>
      <c r="P50" s="83">
        <v>0</v>
      </c>
      <c r="Q50" s="83">
        <v>0</v>
      </c>
      <c r="R50" s="83">
        <v>0</v>
      </c>
      <c r="S50" s="83">
        <v>0</v>
      </c>
      <c r="T50" s="107">
        <f t="shared" ref="T50:T61" si="24">SUM(H50:S50)</f>
        <v>0</v>
      </c>
      <c r="U50" s="175">
        <f t="shared" ref="U50:U61" si="25">SUM(D50,E50,F50,G50,T50)</f>
        <v>-25735.649108699436</v>
      </c>
      <c r="V50" s="1"/>
    </row>
    <row r="51" spans="2:22" ht="12.75" customHeight="1" x14ac:dyDescent="0.25">
      <c r="B51" s="38" t="s">
        <v>114</v>
      </c>
      <c r="C51" s="39"/>
      <c r="D51" s="136">
        <v>128.46303755262636</v>
      </c>
      <c r="E51" s="136">
        <v>-76.490100000000012</v>
      </c>
      <c r="F51" s="136">
        <v>5.0000000000000266E-2</v>
      </c>
      <c r="G51" s="138">
        <v>0</v>
      </c>
      <c r="H51" s="137">
        <v>0</v>
      </c>
      <c r="I51" s="137">
        <v>0</v>
      </c>
      <c r="J51" s="137">
        <v>0</v>
      </c>
      <c r="K51" s="137">
        <v>0</v>
      </c>
      <c r="L51" s="137">
        <v>0</v>
      </c>
      <c r="M51" s="137">
        <v>0</v>
      </c>
      <c r="N51" s="137">
        <v>0</v>
      </c>
      <c r="O51" s="137">
        <v>0</v>
      </c>
      <c r="P51" s="137">
        <v>0</v>
      </c>
      <c r="Q51" s="137">
        <v>0</v>
      </c>
      <c r="R51" s="137">
        <v>0</v>
      </c>
      <c r="S51" s="137">
        <v>0</v>
      </c>
      <c r="T51" s="136">
        <f t="shared" si="24"/>
        <v>0</v>
      </c>
      <c r="U51" s="176">
        <f t="shared" si="25"/>
        <v>52.022937552626345</v>
      </c>
      <c r="V51" s="1"/>
    </row>
    <row r="52" spans="2:22" ht="12.75" customHeight="1" x14ac:dyDescent="0.25">
      <c r="B52" s="38" t="s">
        <v>291</v>
      </c>
      <c r="C52" s="39"/>
      <c r="D52" s="136">
        <v>143.30993274397684</v>
      </c>
      <c r="E52" s="136">
        <v>-58.970000000000006</v>
      </c>
      <c r="F52" s="136">
        <v>4.0000000000000036E-2</v>
      </c>
      <c r="G52" s="138">
        <v>0</v>
      </c>
      <c r="H52" s="137">
        <v>0</v>
      </c>
      <c r="I52" s="137">
        <v>0</v>
      </c>
      <c r="J52" s="137">
        <v>0</v>
      </c>
      <c r="K52" s="137">
        <v>0</v>
      </c>
      <c r="L52" s="137">
        <v>0</v>
      </c>
      <c r="M52" s="137">
        <v>0</v>
      </c>
      <c r="N52" s="137">
        <v>0</v>
      </c>
      <c r="O52" s="137">
        <v>0</v>
      </c>
      <c r="P52" s="137">
        <v>0</v>
      </c>
      <c r="Q52" s="137">
        <v>0</v>
      </c>
      <c r="R52" s="137">
        <v>0</v>
      </c>
      <c r="S52" s="137">
        <v>0</v>
      </c>
      <c r="T52" s="136">
        <f t="shared" si="24"/>
        <v>0</v>
      </c>
      <c r="U52" s="176">
        <f t="shared" si="25"/>
        <v>84.379932743976852</v>
      </c>
      <c r="V52" s="1"/>
    </row>
    <row r="53" spans="2:22" ht="12.75" customHeight="1" x14ac:dyDescent="0.25">
      <c r="B53" s="38" t="s">
        <v>115</v>
      </c>
      <c r="C53" s="39"/>
      <c r="D53" s="136">
        <v>-169.4680062138832</v>
      </c>
      <c r="E53" s="136">
        <v>-21.060000000000002</v>
      </c>
      <c r="F53" s="136">
        <v>2.0000000000000018E-2</v>
      </c>
      <c r="G53" s="138">
        <v>0</v>
      </c>
      <c r="H53" s="137">
        <v>0</v>
      </c>
      <c r="I53" s="137">
        <v>0</v>
      </c>
      <c r="J53" s="137">
        <v>0</v>
      </c>
      <c r="K53" s="137">
        <v>0</v>
      </c>
      <c r="L53" s="137">
        <v>0</v>
      </c>
      <c r="M53" s="137">
        <v>0</v>
      </c>
      <c r="N53" s="137">
        <v>0</v>
      </c>
      <c r="O53" s="137">
        <v>0</v>
      </c>
      <c r="P53" s="137">
        <v>0</v>
      </c>
      <c r="Q53" s="137">
        <v>0</v>
      </c>
      <c r="R53" s="137">
        <v>0</v>
      </c>
      <c r="S53" s="137">
        <v>0</v>
      </c>
      <c r="T53" s="136">
        <f t="shared" si="24"/>
        <v>0</v>
      </c>
      <c r="U53" s="176">
        <f t="shared" si="25"/>
        <v>-190.50800621388319</v>
      </c>
      <c r="V53" s="1"/>
    </row>
    <row r="54" spans="2:22" ht="12.75" customHeight="1" x14ac:dyDescent="0.25">
      <c r="B54" s="38" t="s">
        <v>292</v>
      </c>
      <c r="C54" s="39"/>
      <c r="D54" s="136">
        <v>-69.538146710994084</v>
      </c>
      <c r="E54" s="136">
        <v>-23.200000000000003</v>
      </c>
      <c r="F54" s="136">
        <v>1.9999999999999907E-2</v>
      </c>
      <c r="G54" s="138">
        <v>0</v>
      </c>
      <c r="H54" s="137">
        <v>0</v>
      </c>
      <c r="I54" s="137">
        <v>0</v>
      </c>
      <c r="J54" s="137">
        <v>0</v>
      </c>
      <c r="K54" s="137">
        <v>0</v>
      </c>
      <c r="L54" s="137">
        <v>0</v>
      </c>
      <c r="M54" s="137">
        <v>0</v>
      </c>
      <c r="N54" s="137">
        <v>0</v>
      </c>
      <c r="O54" s="137">
        <v>0</v>
      </c>
      <c r="P54" s="137">
        <v>0</v>
      </c>
      <c r="Q54" s="137">
        <v>0</v>
      </c>
      <c r="R54" s="137">
        <v>0</v>
      </c>
      <c r="S54" s="137">
        <v>0</v>
      </c>
      <c r="T54" s="136">
        <f t="shared" si="24"/>
        <v>0</v>
      </c>
      <c r="U54" s="176">
        <f t="shared" si="25"/>
        <v>-92.718146710994091</v>
      </c>
      <c r="V54" s="1"/>
    </row>
    <row r="55" spans="2:22" ht="12.75" customHeight="1" x14ac:dyDescent="0.25">
      <c r="B55" s="38" t="s">
        <v>116</v>
      </c>
      <c r="C55" s="39"/>
      <c r="D55" s="136">
        <v>-5.6899999999999409</v>
      </c>
      <c r="E55" s="136">
        <v>0</v>
      </c>
      <c r="F55" s="136">
        <v>0</v>
      </c>
      <c r="G55" s="138">
        <v>0</v>
      </c>
      <c r="H55" s="137">
        <v>0</v>
      </c>
      <c r="I55" s="137">
        <v>0</v>
      </c>
      <c r="J55" s="137">
        <v>0</v>
      </c>
      <c r="K55" s="137">
        <v>0</v>
      </c>
      <c r="L55" s="137">
        <v>0</v>
      </c>
      <c r="M55" s="137">
        <v>0</v>
      </c>
      <c r="N55" s="137">
        <v>0</v>
      </c>
      <c r="O55" s="137">
        <v>0</v>
      </c>
      <c r="P55" s="137">
        <v>0</v>
      </c>
      <c r="Q55" s="137">
        <v>0</v>
      </c>
      <c r="R55" s="137">
        <v>0</v>
      </c>
      <c r="S55" s="137">
        <v>0</v>
      </c>
      <c r="T55" s="136">
        <f t="shared" si="24"/>
        <v>0</v>
      </c>
      <c r="U55" s="176">
        <f t="shared" si="25"/>
        <v>-5.6899999999999409</v>
      </c>
      <c r="V55" s="1"/>
    </row>
    <row r="56" spans="2:22" ht="12.75" customHeight="1" x14ac:dyDescent="0.25">
      <c r="B56" s="38" t="s">
        <v>117</v>
      </c>
      <c r="C56" s="39"/>
      <c r="D56" s="136">
        <v>916.45860518484369</v>
      </c>
      <c r="E56" s="136">
        <v>-4906.4400999999998</v>
      </c>
      <c r="F56" s="136">
        <v>1661.0499999999997</v>
      </c>
      <c r="G56" s="138">
        <v>121618.83</v>
      </c>
      <c r="H56" s="137">
        <v>0</v>
      </c>
      <c r="I56" s="137">
        <v>0</v>
      </c>
      <c r="J56" s="137">
        <v>0</v>
      </c>
      <c r="K56" s="137">
        <v>27.86</v>
      </c>
      <c r="L56" s="137">
        <v>308.89</v>
      </c>
      <c r="M56" s="137">
        <v>27.83</v>
      </c>
      <c r="N56" s="137">
        <v>-121252.31</v>
      </c>
      <c r="O56" s="137">
        <v>0</v>
      </c>
      <c r="P56" s="137">
        <v>0</v>
      </c>
      <c r="Q56" s="137">
        <v>224.9</v>
      </c>
      <c r="R56" s="137">
        <v>399.09</v>
      </c>
      <c r="S56" s="137">
        <v>-5.7</v>
      </c>
      <c r="T56" s="136">
        <f t="shared" si="24"/>
        <v>-120269.44</v>
      </c>
      <c r="U56" s="176">
        <f t="shared" si="25"/>
        <v>-979.54149481515924</v>
      </c>
      <c r="V56" s="1"/>
    </row>
    <row r="57" spans="2:22" ht="12.75" customHeight="1" x14ac:dyDescent="0.25">
      <c r="B57" s="38" t="s">
        <v>118</v>
      </c>
      <c r="C57" s="39"/>
      <c r="D57" s="136">
        <v>-38.95680372833003</v>
      </c>
      <c r="E57" s="136">
        <v>-12.649999999999999</v>
      </c>
      <c r="F57" s="136">
        <v>0</v>
      </c>
      <c r="G57" s="138">
        <v>0</v>
      </c>
      <c r="H57" s="137">
        <v>0</v>
      </c>
      <c r="I57" s="137">
        <v>0</v>
      </c>
      <c r="J57" s="137">
        <v>0</v>
      </c>
      <c r="K57" s="137">
        <v>0</v>
      </c>
      <c r="L57" s="137">
        <v>0</v>
      </c>
      <c r="M57" s="137">
        <v>0</v>
      </c>
      <c r="N57" s="137">
        <v>0</v>
      </c>
      <c r="O57" s="137">
        <v>0</v>
      </c>
      <c r="P57" s="137">
        <v>0</v>
      </c>
      <c r="Q57" s="137">
        <v>0</v>
      </c>
      <c r="R57" s="137">
        <v>0</v>
      </c>
      <c r="S57" s="137">
        <v>0</v>
      </c>
      <c r="T57" s="136">
        <f t="shared" si="24"/>
        <v>0</v>
      </c>
      <c r="U57" s="176">
        <f t="shared" si="25"/>
        <v>-51.606803728330028</v>
      </c>
      <c r="V57" s="1"/>
    </row>
    <row r="58" spans="2:22" ht="12.75" customHeight="1" x14ac:dyDescent="0.25">
      <c r="B58" s="38" t="s">
        <v>119</v>
      </c>
      <c r="C58" s="39"/>
      <c r="D58" s="136">
        <v>-111243.42800621387</v>
      </c>
      <c r="E58" s="136">
        <v>0</v>
      </c>
      <c r="F58" s="136">
        <v>0</v>
      </c>
      <c r="G58" s="138">
        <v>0</v>
      </c>
      <c r="H58" s="137">
        <v>0</v>
      </c>
      <c r="I58" s="137">
        <v>0</v>
      </c>
      <c r="J58" s="137">
        <v>0</v>
      </c>
      <c r="K58" s="137">
        <v>0</v>
      </c>
      <c r="L58" s="137">
        <v>0</v>
      </c>
      <c r="M58" s="137">
        <v>0</v>
      </c>
      <c r="N58" s="137">
        <v>0</v>
      </c>
      <c r="O58" s="137">
        <v>0</v>
      </c>
      <c r="P58" s="137">
        <v>0</v>
      </c>
      <c r="Q58" s="137">
        <v>0</v>
      </c>
      <c r="R58" s="137">
        <v>0</v>
      </c>
      <c r="S58" s="137">
        <v>0</v>
      </c>
      <c r="T58" s="136">
        <f t="shared" si="24"/>
        <v>0</v>
      </c>
      <c r="U58" s="176">
        <f t="shared" si="25"/>
        <v>-111243.42800621387</v>
      </c>
      <c r="V58" s="1"/>
    </row>
    <row r="59" spans="2:22" ht="12.75" customHeight="1" x14ac:dyDescent="0.25">
      <c r="B59" s="38" t="s">
        <v>120</v>
      </c>
      <c r="C59" s="39"/>
      <c r="D59" s="136">
        <v>-1103.7668183291885</v>
      </c>
      <c r="E59" s="136">
        <v>555.15649999999982</v>
      </c>
      <c r="F59" s="136">
        <v>7.0000000000000284E-2</v>
      </c>
      <c r="G59" s="138">
        <v>0</v>
      </c>
      <c r="H59" s="137">
        <v>0</v>
      </c>
      <c r="I59" s="137">
        <v>0</v>
      </c>
      <c r="J59" s="137">
        <v>0</v>
      </c>
      <c r="K59" s="137">
        <v>0</v>
      </c>
      <c r="L59" s="137">
        <v>0</v>
      </c>
      <c r="M59" s="137">
        <v>0</v>
      </c>
      <c r="N59" s="137">
        <v>0</v>
      </c>
      <c r="O59" s="137">
        <v>0</v>
      </c>
      <c r="P59" s="137">
        <v>0</v>
      </c>
      <c r="Q59" s="137">
        <v>0</v>
      </c>
      <c r="R59" s="137">
        <v>0</v>
      </c>
      <c r="S59" s="137">
        <v>0</v>
      </c>
      <c r="T59" s="136">
        <f t="shared" si="24"/>
        <v>0</v>
      </c>
      <c r="U59" s="176">
        <f t="shared" si="25"/>
        <v>-548.54031832918861</v>
      </c>
      <c r="V59" s="1"/>
    </row>
    <row r="60" spans="2:22" ht="12.75" customHeight="1" x14ac:dyDescent="0.25">
      <c r="B60" s="38" t="s">
        <v>121</v>
      </c>
      <c r="C60" s="39"/>
      <c r="D60" s="136">
        <v>-1303.9753538716993</v>
      </c>
      <c r="E60" s="136">
        <v>918.29840000000002</v>
      </c>
      <c r="F60" s="136">
        <v>0.12000000000000011</v>
      </c>
      <c r="G60" s="138">
        <v>0</v>
      </c>
      <c r="H60" s="137">
        <v>0</v>
      </c>
      <c r="I60" s="137">
        <v>0</v>
      </c>
      <c r="J60" s="137">
        <v>0</v>
      </c>
      <c r="K60" s="137">
        <v>0</v>
      </c>
      <c r="L60" s="137">
        <v>0</v>
      </c>
      <c r="M60" s="137">
        <v>0</v>
      </c>
      <c r="N60" s="137">
        <v>0</v>
      </c>
      <c r="O60" s="137">
        <v>0</v>
      </c>
      <c r="P60" s="137">
        <v>0</v>
      </c>
      <c r="Q60" s="137">
        <v>0</v>
      </c>
      <c r="R60" s="137">
        <v>0</v>
      </c>
      <c r="S60" s="137">
        <v>0</v>
      </c>
      <c r="T60" s="136">
        <f t="shared" si="24"/>
        <v>0</v>
      </c>
      <c r="U60" s="176">
        <f t="shared" si="25"/>
        <v>-385.55695387169931</v>
      </c>
      <c r="V60" s="1"/>
    </row>
    <row r="61" spans="2:22" ht="12.75" customHeight="1" x14ac:dyDescent="0.25">
      <c r="B61" s="35" t="s">
        <v>122</v>
      </c>
      <c r="C61" s="36"/>
      <c r="D61" s="108">
        <v>-552.68686337516624</v>
      </c>
      <c r="E61" s="108">
        <v>2.8324999999999854</v>
      </c>
      <c r="F61" s="108">
        <v>0.73000000000001819</v>
      </c>
      <c r="G61" s="89">
        <v>0</v>
      </c>
      <c r="H61" s="90">
        <v>0</v>
      </c>
      <c r="I61" s="90">
        <v>0</v>
      </c>
      <c r="J61" s="90">
        <v>0</v>
      </c>
      <c r="K61" s="90">
        <v>0</v>
      </c>
      <c r="L61" s="90">
        <v>0</v>
      </c>
      <c r="M61" s="90">
        <v>0</v>
      </c>
      <c r="N61" s="90">
        <v>0</v>
      </c>
      <c r="O61" s="90">
        <v>0</v>
      </c>
      <c r="P61" s="90">
        <v>0</v>
      </c>
      <c r="Q61" s="90">
        <v>2.56</v>
      </c>
      <c r="R61" s="137">
        <v>-2.54</v>
      </c>
      <c r="S61" s="137">
        <v>2.77</v>
      </c>
      <c r="T61" s="108">
        <f t="shared" si="24"/>
        <v>2.79</v>
      </c>
      <c r="U61" s="177">
        <f t="shared" si="25"/>
        <v>-546.33436337516628</v>
      </c>
      <c r="V61" s="1"/>
    </row>
    <row r="62" spans="2:22" ht="12.75" customHeight="1" x14ac:dyDescent="0.25">
      <c r="B62" s="37" t="s">
        <v>123</v>
      </c>
      <c r="C62" s="64"/>
      <c r="D62" s="91">
        <f>SUM(D50:D61)</f>
        <v>-139024.59753166113</v>
      </c>
      <c r="E62" s="91">
        <f t="shared" ref="E62:U62" si="26">SUM(E50:E61)</f>
        <v>-3632.8527999999997</v>
      </c>
      <c r="F62" s="91">
        <f t="shared" si="26"/>
        <v>1662.0999999999997</v>
      </c>
      <c r="G62" s="91">
        <f t="shared" si="26"/>
        <v>121618.83</v>
      </c>
      <c r="H62" s="91">
        <f t="shared" si="26"/>
        <v>0</v>
      </c>
      <c r="I62" s="91">
        <f t="shared" si="26"/>
        <v>0</v>
      </c>
      <c r="J62" s="91">
        <f t="shared" si="26"/>
        <v>0</v>
      </c>
      <c r="K62" s="91">
        <f t="shared" si="26"/>
        <v>27.86</v>
      </c>
      <c r="L62" s="91">
        <f t="shared" si="26"/>
        <v>308.89</v>
      </c>
      <c r="M62" s="91">
        <f t="shared" si="26"/>
        <v>27.83</v>
      </c>
      <c r="N62" s="91">
        <f t="shared" si="26"/>
        <v>-121252.31</v>
      </c>
      <c r="O62" s="91">
        <f t="shared" si="26"/>
        <v>0</v>
      </c>
      <c r="P62" s="91">
        <f t="shared" si="26"/>
        <v>0</v>
      </c>
      <c r="Q62" s="91">
        <f t="shared" si="26"/>
        <v>227.46</v>
      </c>
      <c r="R62" s="91">
        <f t="shared" si="26"/>
        <v>396.54999999999995</v>
      </c>
      <c r="S62" s="91">
        <f t="shared" si="26"/>
        <v>-2.93</v>
      </c>
      <c r="T62" s="91">
        <f t="shared" si="26"/>
        <v>-120266.65000000001</v>
      </c>
      <c r="U62" s="92">
        <f t="shared" si="26"/>
        <v>-139643.17033166112</v>
      </c>
      <c r="V62" s="1"/>
    </row>
    <row r="63" spans="2:22" s="70" customFormat="1" ht="12.75" customHeight="1" x14ac:dyDescent="0.25">
      <c r="B63" s="68"/>
      <c r="C63" s="69"/>
      <c r="D63" s="140"/>
      <c r="E63" s="140"/>
      <c r="F63" s="140"/>
      <c r="G63" s="140"/>
      <c r="H63" s="140"/>
      <c r="I63" s="140"/>
      <c r="J63" s="140"/>
      <c r="K63" s="140"/>
      <c r="L63" s="140"/>
      <c r="M63" s="140"/>
      <c r="N63" s="140"/>
      <c r="O63" s="140"/>
      <c r="P63" s="140"/>
      <c r="Q63" s="140"/>
      <c r="R63" s="140"/>
      <c r="S63" s="140"/>
      <c r="T63" s="140"/>
      <c r="U63" s="140"/>
      <c r="V63" s="69"/>
    </row>
    <row r="64" spans="2:22" s="9" customFormat="1" ht="12.75" customHeight="1" x14ac:dyDescent="0.25">
      <c r="B64" s="57" t="s">
        <v>124</v>
      </c>
      <c r="C64" s="69"/>
      <c r="D64" s="140"/>
      <c r="E64" s="140"/>
      <c r="F64" s="140"/>
      <c r="G64" s="140"/>
      <c r="H64" s="140"/>
      <c r="I64" s="140"/>
      <c r="J64" s="140"/>
      <c r="K64" s="140"/>
      <c r="L64" s="140"/>
      <c r="M64" s="140"/>
      <c r="N64" s="140"/>
      <c r="O64" s="140"/>
      <c r="P64" s="140"/>
      <c r="Q64" s="140"/>
      <c r="R64" s="140"/>
      <c r="S64" s="140"/>
      <c r="T64" s="140"/>
      <c r="U64" s="140"/>
      <c r="V64" s="39"/>
    </row>
    <row r="65" spans="2:22" s="9" customFormat="1" ht="12.75" customHeight="1" x14ac:dyDescent="0.25">
      <c r="B65" s="71" t="s">
        <v>126</v>
      </c>
      <c r="C65" s="72"/>
      <c r="D65" s="104">
        <v>1384229.1899000001</v>
      </c>
      <c r="E65" s="104">
        <v>491224.23989999999</v>
      </c>
      <c r="F65" s="104">
        <v>11133.130000000001</v>
      </c>
      <c r="G65" s="104">
        <v>-6815.0899999999992</v>
      </c>
      <c r="H65" s="142">
        <v>0</v>
      </c>
      <c r="I65" s="141">
        <v>0</v>
      </c>
      <c r="J65" s="141">
        <v>0</v>
      </c>
      <c r="K65" s="83">
        <v>8.77</v>
      </c>
      <c r="L65" s="83">
        <v>-8.15</v>
      </c>
      <c r="M65" s="83">
        <v>197.39</v>
      </c>
      <c r="N65" s="83">
        <v>-195.52</v>
      </c>
      <c r="O65" s="141">
        <v>0</v>
      </c>
      <c r="P65" s="83">
        <v>0.21</v>
      </c>
      <c r="Q65" s="83">
        <v>20.11</v>
      </c>
      <c r="R65" s="83">
        <v>-20.11</v>
      </c>
      <c r="S65" s="141">
        <v>0</v>
      </c>
      <c r="T65" s="141">
        <f t="shared" ref="T65" si="27">SUM(H65:S65)</f>
        <v>2.6999999999999815</v>
      </c>
      <c r="U65" s="178">
        <f t="shared" ref="U65" si="28">SUM(D65,E65,F65,G65,T65)</f>
        <v>1879774.1697999998</v>
      </c>
      <c r="V65" s="39"/>
    </row>
    <row r="66" spans="2:22" s="9" customFormat="1" ht="12.75" customHeight="1" x14ac:dyDescent="0.25">
      <c r="B66" s="37" t="s">
        <v>125</v>
      </c>
      <c r="C66" s="64"/>
      <c r="D66" s="91">
        <f>SUM(D65:D65)</f>
        <v>1384229.1899000001</v>
      </c>
      <c r="E66" s="91">
        <f t="shared" ref="E66:U66" si="29">SUM(E65:E65)</f>
        <v>491224.23989999999</v>
      </c>
      <c r="F66" s="91">
        <f t="shared" si="29"/>
        <v>11133.130000000001</v>
      </c>
      <c r="G66" s="91">
        <f t="shared" si="29"/>
        <v>-6815.0899999999992</v>
      </c>
      <c r="H66" s="91">
        <f t="shared" si="29"/>
        <v>0</v>
      </c>
      <c r="I66" s="91">
        <f t="shared" si="29"/>
        <v>0</v>
      </c>
      <c r="J66" s="91">
        <f t="shared" si="29"/>
        <v>0</v>
      </c>
      <c r="K66" s="91">
        <f t="shared" si="29"/>
        <v>8.77</v>
      </c>
      <c r="L66" s="91">
        <f t="shared" si="29"/>
        <v>-8.15</v>
      </c>
      <c r="M66" s="91">
        <f t="shared" si="29"/>
        <v>197.39</v>
      </c>
      <c r="N66" s="91">
        <f t="shared" si="29"/>
        <v>-195.52</v>
      </c>
      <c r="O66" s="91">
        <f t="shared" si="29"/>
        <v>0</v>
      </c>
      <c r="P66" s="91">
        <f t="shared" si="29"/>
        <v>0.21</v>
      </c>
      <c r="Q66" s="91">
        <f t="shared" si="29"/>
        <v>20.11</v>
      </c>
      <c r="R66" s="91">
        <f t="shared" si="29"/>
        <v>-20.11</v>
      </c>
      <c r="S66" s="91">
        <f t="shared" si="29"/>
        <v>0</v>
      </c>
      <c r="T66" s="91">
        <f t="shared" si="29"/>
        <v>2.6999999999999815</v>
      </c>
      <c r="U66" s="92">
        <f t="shared" si="29"/>
        <v>1879774.1697999998</v>
      </c>
      <c r="V66" s="39"/>
    </row>
    <row r="67" spans="2:22" s="9" customFormat="1" ht="12.75" customHeight="1" x14ac:dyDescent="0.25">
      <c r="B67" s="68"/>
      <c r="C67" s="69"/>
      <c r="D67" s="140"/>
      <c r="E67" s="140"/>
      <c r="F67" s="140"/>
      <c r="G67" s="140"/>
      <c r="H67" s="140"/>
      <c r="I67" s="140"/>
      <c r="J67" s="140"/>
      <c r="K67" s="140"/>
      <c r="L67" s="140"/>
      <c r="M67" s="140"/>
      <c r="N67" s="140"/>
      <c r="O67" s="140"/>
      <c r="P67" s="140"/>
      <c r="Q67" s="140"/>
      <c r="R67" s="140"/>
      <c r="S67" s="140"/>
      <c r="T67" s="140"/>
      <c r="U67" s="140"/>
      <c r="V67" s="39"/>
    </row>
    <row r="68" spans="2:22" s="67" customFormat="1" ht="12.75" customHeight="1" x14ac:dyDescent="0.25">
      <c r="B68" s="71" t="s">
        <v>127</v>
      </c>
      <c r="C68" s="72"/>
      <c r="D68" s="104">
        <v>4.3999999979860149E-3</v>
      </c>
      <c r="E68" s="104">
        <v>-31.110000000000582</v>
      </c>
      <c r="F68" s="104">
        <v>42.17</v>
      </c>
      <c r="G68" s="104">
        <v>60</v>
      </c>
      <c r="H68" s="142">
        <v>0</v>
      </c>
      <c r="I68" s="141">
        <v>0</v>
      </c>
      <c r="J68" s="141">
        <v>0</v>
      </c>
      <c r="K68" s="141">
        <v>0</v>
      </c>
      <c r="L68" s="141">
        <v>0</v>
      </c>
      <c r="M68" s="83">
        <v>0</v>
      </c>
      <c r="N68" s="141">
        <v>0</v>
      </c>
      <c r="O68" s="141">
        <v>0</v>
      </c>
      <c r="P68" s="141">
        <v>0</v>
      </c>
      <c r="Q68" s="141">
        <v>0</v>
      </c>
      <c r="R68" s="141">
        <v>0</v>
      </c>
      <c r="S68" s="141">
        <v>0</v>
      </c>
      <c r="T68" s="141">
        <f t="shared" ref="T68" si="30">SUM(H68:S68)</f>
        <v>0</v>
      </c>
      <c r="U68" s="178">
        <f t="shared" ref="U68" si="31">SUM(D68,E68,F68,G68,T68)</f>
        <v>71.064399999997406</v>
      </c>
      <c r="V68" s="66"/>
    </row>
    <row r="69" spans="2:22" ht="12.75" customHeight="1" x14ac:dyDescent="0.25">
      <c r="B69" s="37" t="s">
        <v>99</v>
      </c>
      <c r="C69" s="64"/>
      <c r="D69" s="91">
        <f>SUM(D13,D20,D24,D29,D33,D38,D42,D47,D62,D66,D68)</f>
        <v>5276195.4504000004</v>
      </c>
      <c r="E69" s="91">
        <f t="shared" ref="E69:U69" si="32">SUM(E13,E20,E24,E29,E33,E38,E42,E47,E62,E66,E68)</f>
        <v>1712515.4698999999</v>
      </c>
      <c r="F69" s="91">
        <f t="shared" si="32"/>
        <v>289936.41999999987</v>
      </c>
      <c r="G69" s="91">
        <f t="shared" si="32"/>
        <v>1221441.21</v>
      </c>
      <c r="H69" s="91">
        <f t="shared" si="32"/>
        <v>37849.649999999994</v>
      </c>
      <c r="I69" s="91">
        <f>SUM(I13,I20,I24,I29,I33,I38,I42,I47,I62,I66,I68)</f>
        <v>366.2400000000016</v>
      </c>
      <c r="J69" s="91">
        <f t="shared" si="32"/>
        <v>134314.64000000001</v>
      </c>
      <c r="K69" s="91">
        <f t="shared" si="32"/>
        <v>97365.87</v>
      </c>
      <c r="L69" s="91">
        <f t="shared" si="32"/>
        <v>5303.7700000000068</v>
      </c>
      <c r="M69" s="91">
        <f t="shared" si="32"/>
        <v>148888.50000000003</v>
      </c>
      <c r="N69" s="91">
        <f t="shared" si="32"/>
        <v>17059.500000000018</v>
      </c>
      <c r="O69" s="91">
        <f t="shared" si="32"/>
        <v>49702.239999999998</v>
      </c>
      <c r="P69" s="91">
        <f t="shared" si="32"/>
        <v>57082.080000000002</v>
      </c>
      <c r="Q69" s="91">
        <f t="shared" si="32"/>
        <v>162647.21</v>
      </c>
      <c r="R69" s="91">
        <f t="shared" si="32"/>
        <v>37582.35</v>
      </c>
      <c r="S69" s="91">
        <f t="shared" si="32"/>
        <v>-1182321.97</v>
      </c>
      <c r="T69" s="91">
        <f t="shared" si="32"/>
        <v>-434159.91999999993</v>
      </c>
      <c r="U69" s="92">
        <f t="shared" si="32"/>
        <v>8065928.6303000012</v>
      </c>
      <c r="V69" s="1"/>
    </row>
    <row r="71" spans="2:22" x14ac:dyDescent="0.25">
      <c r="B71" s="22" t="s">
        <v>67</v>
      </c>
    </row>
    <row r="72" spans="2:22" x14ac:dyDescent="0.25">
      <c r="B72" s="252" t="s">
        <v>250</v>
      </c>
      <c r="C72" s="252"/>
      <c r="D72" s="252"/>
      <c r="E72" s="252"/>
      <c r="F72" s="252"/>
      <c r="G72" s="252"/>
      <c r="H72" s="252"/>
      <c r="I72" s="252"/>
      <c r="J72" s="252"/>
      <c r="K72" s="252"/>
      <c r="L72" s="252"/>
      <c r="M72" s="252"/>
      <c r="N72" s="252"/>
      <c r="O72" s="252"/>
      <c r="P72" s="252"/>
      <c r="Q72" s="252"/>
      <c r="R72" s="252"/>
      <c r="S72" s="252"/>
      <c r="T72" s="252"/>
    </row>
    <row r="73" spans="2:22" x14ac:dyDescent="0.25">
      <c r="B73" t="s">
        <v>295</v>
      </c>
    </row>
    <row r="74" spans="2:22" x14ac:dyDescent="0.25">
      <c r="B74" t="s">
        <v>251</v>
      </c>
    </row>
    <row r="75" spans="2:22" x14ac:dyDescent="0.25">
      <c r="B75" t="s">
        <v>252</v>
      </c>
    </row>
    <row r="76" spans="2:22" x14ac:dyDescent="0.25">
      <c r="B76" t="s">
        <v>253</v>
      </c>
    </row>
    <row r="77" spans="2:22" x14ac:dyDescent="0.25">
      <c r="B77" s="201" t="s">
        <v>316</v>
      </c>
    </row>
  </sheetData>
  <mergeCells count="9">
    <mergeCell ref="B72:T72"/>
    <mergeCell ref="B1:U1"/>
    <mergeCell ref="D5:D6"/>
    <mergeCell ref="E5:E6"/>
    <mergeCell ref="G5:G6"/>
    <mergeCell ref="H5:S5"/>
    <mergeCell ref="T5:T6"/>
    <mergeCell ref="U5:U6"/>
    <mergeCell ref="F5:F6"/>
  </mergeCells>
  <pageMargins left="0.7" right="0.7" top="0.75" bottom="0.75" header="0.3" footer="0.3"/>
  <pageSetup paperSize="5" scale="38" orientation="landscape" r:id="rId1"/>
  <headerFooter>
    <oddFooter>&amp;L&amp;F&amp;C-Public-&amp;RA-&amp;P</oddFooter>
  </headerFooter>
  <ignoredErrors>
    <ignoredError sqref="T8:T12 T16:T19 T23 T27:T28 T32 T36:T37 T41 T45:T46 T50:T61 T65 T68"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484C9-3B29-4A87-B079-0E84B4BE3FE3}">
  <sheetPr>
    <pageSetUpPr fitToPage="1"/>
  </sheetPr>
  <dimension ref="B1:U36"/>
  <sheetViews>
    <sheetView showGridLines="0" view="pageBreakPreview" topLeftCell="B1" zoomScale="70" zoomScaleNormal="70" zoomScaleSheetLayoutView="70" zoomScalePageLayoutView="60" workbookViewId="0">
      <selection activeCell="D43" sqref="D43:U44"/>
    </sheetView>
  </sheetViews>
  <sheetFormatPr defaultRowHeight="15" x14ac:dyDescent="0.25"/>
  <cols>
    <col min="1" max="1" width="1.140625" customWidth="1"/>
    <col min="2" max="2" width="58" customWidth="1"/>
    <col min="3" max="3" width="10.5703125" customWidth="1"/>
    <col min="4" max="7" width="20" customWidth="1"/>
    <col min="8" max="19" width="16.85546875" customWidth="1"/>
    <col min="20" max="20" width="19.140625" customWidth="1"/>
    <col min="21" max="21" width="18.140625" customWidth="1"/>
  </cols>
  <sheetData>
    <row r="1" spans="2:21" ht="57" customHeight="1" x14ac:dyDescent="0.25">
      <c r="B1" s="231" t="s">
        <v>207</v>
      </c>
      <c r="C1" s="232"/>
      <c r="D1" s="232"/>
      <c r="E1" s="232"/>
      <c r="F1" s="232"/>
      <c r="G1" s="232"/>
      <c r="H1" s="232"/>
      <c r="I1" s="232"/>
      <c r="J1" s="232"/>
      <c r="K1" s="232"/>
      <c r="L1" s="232"/>
      <c r="M1" s="232"/>
      <c r="N1" s="232"/>
      <c r="O1" s="232"/>
      <c r="P1" s="232"/>
      <c r="Q1" s="232"/>
      <c r="R1" s="232"/>
      <c r="S1" s="232"/>
      <c r="T1" s="232"/>
      <c r="U1" s="232"/>
    </row>
    <row r="2" spans="2:21" ht="12.75" customHeight="1" x14ac:dyDescent="0.25">
      <c r="B2" s="2" t="s">
        <v>58</v>
      </c>
      <c r="C2" s="1"/>
      <c r="D2" s="1"/>
      <c r="E2" s="1"/>
      <c r="F2" s="1"/>
      <c r="G2" s="1"/>
      <c r="H2" s="1"/>
      <c r="I2" s="1"/>
      <c r="J2" s="1"/>
      <c r="K2" s="1"/>
      <c r="L2" s="1"/>
      <c r="M2" s="1"/>
      <c r="N2" s="1"/>
      <c r="O2" s="1"/>
      <c r="P2" s="1"/>
      <c r="Q2" s="1"/>
      <c r="R2" s="1"/>
      <c r="S2" s="1"/>
      <c r="T2" s="1"/>
      <c r="U2" s="1"/>
    </row>
    <row r="3" spans="2:21" ht="12.75" customHeight="1" x14ac:dyDescent="0.25">
      <c r="B3" s="2" t="s">
        <v>132</v>
      </c>
      <c r="C3" s="1"/>
      <c r="D3" s="1"/>
      <c r="E3" s="1"/>
      <c r="F3" s="1"/>
      <c r="G3" s="1"/>
      <c r="H3" s="1"/>
      <c r="I3" s="1"/>
      <c r="J3" s="1"/>
      <c r="K3" s="1"/>
      <c r="L3" s="1"/>
      <c r="M3" s="1"/>
      <c r="N3" s="1"/>
      <c r="O3" s="1"/>
      <c r="P3" s="1"/>
      <c r="Q3" s="1"/>
      <c r="R3" s="1"/>
      <c r="S3" s="1"/>
      <c r="T3" s="1"/>
      <c r="U3" s="1"/>
    </row>
    <row r="4" spans="2:21" ht="12.75" customHeight="1" x14ac:dyDescent="0.25">
      <c r="B4" s="1"/>
      <c r="C4" s="1"/>
      <c r="D4" s="1"/>
      <c r="E4" s="1"/>
      <c r="F4" s="1"/>
      <c r="G4" s="1"/>
      <c r="H4" s="1"/>
      <c r="I4" s="1"/>
      <c r="J4" s="1"/>
      <c r="K4" s="1"/>
      <c r="L4" s="1"/>
      <c r="M4" s="1"/>
      <c r="N4" s="1"/>
      <c r="O4" s="1"/>
      <c r="P4" s="1"/>
      <c r="Q4" s="1"/>
      <c r="R4" s="1"/>
      <c r="S4" s="1"/>
      <c r="T4" s="1"/>
      <c r="U4" s="1"/>
    </row>
    <row r="5" spans="2:21" ht="18" customHeight="1" x14ac:dyDescent="0.25">
      <c r="B5" s="1"/>
      <c r="C5" s="1"/>
      <c r="D5" s="242" t="s">
        <v>203</v>
      </c>
      <c r="E5" s="242" t="s">
        <v>204</v>
      </c>
      <c r="F5" s="242" t="s">
        <v>205</v>
      </c>
      <c r="G5" s="242" t="s">
        <v>206</v>
      </c>
      <c r="H5" s="255" t="s">
        <v>133</v>
      </c>
      <c r="I5" s="256"/>
      <c r="J5" s="256"/>
      <c r="K5" s="256"/>
      <c r="L5" s="256"/>
      <c r="M5" s="256"/>
      <c r="N5" s="256"/>
      <c r="O5" s="256"/>
      <c r="P5" s="256"/>
      <c r="Q5" s="256"/>
      <c r="R5" s="256"/>
      <c r="S5" s="257"/>
      <c r="T5" s="258" t="s">
        <v>134</v>
      </c>
      <c r="U5" s="260" t="s">
        <v>216</v>
      </c>
    </row>
    <row r="6" spans="2:21" ht="25.5" customHeight="1" x14ac:dyDescent="0.25">
      <c r="B6" s="2" t="s">
        <v>74</v>
      </c>
      <c r="C6" s="1"/>
      <c r="D6" s="243"/>
      <c r="E6" s="243"/>
      <c r="F6" s="243"/>
      <c r="G6" s="243"/>
      <c r="H6" s="180" t="s">
        <v>44</v>
      </c>
      <c r="I6" s="181" t="s">
        <v>45</v>
      </c>
      <c r="J6" s="181" t="s">
        <v>46</v>
      </c>
      <c r="K6" s="181" t="s">
        <v>47</v>
      </c>
      <c r="L6" s="181" t="s">
        <v>48</v>
      </c>
      <c r="M6" s="181" t="s">
        <v>49</v>
      </c>
      <c r="N6" s="181" t="s">
        <v>52</v>
      </c>
      <c r="O6" s="181" t="s">
        <v>53</v>
      </c>
      <c r="P6" s="181" t="s">
        <v>54</v>
      </c>
      <c r="Q6" s="181" t="s">
        <v>55</v>
      </c>
      <c r="R6" s="181" t="s">
        <v>56</v>
      </c>
      <c r="S6" s="182" t="s">
        <v>57</v>
      </c>
      <c r="T6" s="259"/>
      <c r="U6" s="261"/>
    </row>
    <row r="7" spans="2:21" ht="12.75" customHeight="1" x14ac:dyDescent="0.25">
      <c r="B7" s="40" t="s">
        <v>135</v>
      </c>
      <c r="C7" s="31"/>
      <c r="D7" s="31"/>
      <c r="E7" s="31"/>
      <c r="F7" s="31"/>
      <c r="G7" s="31"/>
      <c r="H7" s="31"/>
      <c r="I7" s="31"/>
      <c r="J7" s="31"/>
      <c r="K7" s="31"/>
      <c r="L7" s="31"/>
      <c r="M7" s="31"/>
      <c r="N7" s="31"/>
      <c r="O7" s="31"/>
      <c r="P7" s="31"/>
      <c r="Q7" s="31"/>
      <c r="R7" s="31"/>
      <c r="S7" s="31"/>
      <c r="T7" s="31"/>
      <c r="U7" s="31"/>
    </row>
    <row r="8" spans="2:21" ht="12.75" customHeight="1" x14ac:dyDescent="0.25">
      <c r="B8" s="34" t="s">
        <v>1</v>
      </c>
      <c r="C8" s="58"/>
      <c r="D8" s="107">
        <v>5669401.4000000004</v>
      </c>
      <c r="E8" s="107">
        <v>3337670.39</v>
      </c>
      <c r="F8" s="107">
        <v>4470894.1499999994</v>
      </c>
      <c r="G8" s="107">
        <v>4711146.2299999995</v>
      </c>
      <c r="H8" s="83">
        <v>155284.68</v>
      </c>
      <c r="I8" s="83">
        <v>159641.06</v>
      </c>
      <c r="J8" s="188">
        <v>-833877.29</v>
      </c>
      <c r="K8" s="188">
        <v>867568.33</v>
      </c>
      <c r="L8" s="83">
        <v>834726.98</v>
      </c>
      <c r="M8" s="83">
        <v>513310.04</v>
      </c>
      <c r="N8" s="188">
        <v>835734.76</v>
      </c>
      <c r="O8" s="188">
        <v>934772.62</v>
      </c>
      <c r="P8" s="83">
        <v>705775.21</v>
      </c>
      <c r="Q8" s="83">
        <v>406869.04</v>
      </c>
      <c r="R8" s="83">
        <v>303248.58</v>
      </c>
      <c r="S8" s="188">
        <v>152405.45000000001</v>
      </c>
      <c r="T8" s="84">
        <f>SUM(H8:S8)</f>
        <v>5035459.46</v>
      </c>
      <c r="U8" s="84">
        <f>SUM(D8:G8,T8)</f>
        <v>23224571.630000003</v>
      </c>
    </row>
    <row r="9" spans="2:21" ht="12.75" customHeight="1" x14ac:dyDescent="0.25">
      <c r="B9" s="38" t="s">
        <v>5</v>
      </c>
      <c r="C9" s="85" t="s">
        <v>136</v>
      </c>
      <c r="D9" s="93">
        <v>78140398.540000007</v>
      </c>
      <c r="E9" s="93">
        <v>60058312.459899999</v>
      </c>
      <c r="F9" s="93">
        <v>47075544.550000004</v>
      </c>
      <c r="G9" s="93">
        <v>60564397.100000001</v>
      </c>
      <c r="H9" s="87">
        <v>2315722.7000000002</v>
      </c>
      <c r="I9" s="87">
        <v>2165949.9500000002</v>
      </c>
      <c r="J9" s="87">
        <v>5396105.5899999999</v>
      </c>
      <c r="K9" s="87">
        <v>3970557.59</v>
      </c>
      <c r="L9" s="87">
        <v>3156215.08</v>
      </c>
      <c r="M9" s="87">
        <v>4215325.21</v>
      </c>
      <c r="N9" s="87">
        <v>8237892.5599999996</v>
      </c>
      <c r="O9" s="87">
        <v>10210179.9</v>
      </c>
      <c r="P9" s="87">
        <v>7392965.6600000001</v>
      </c>
      <c r="Q9" s="87">
        <v>9022932.3100000005</v>
      </c>
      <c r="R9" s="87">
        <v>5542241.3600000003</v>
      </c>
      <c r="S9" s="87">
        <v>4347328.3099999996</v>
      </c>
      <c r="T9" s="88">
        <f t="shared" ref="T9:T15" si="0">SUM(H9:S9)</f>
        <v>65973416.219999999</v>
      </c>
      <c r="U9" s="88">
        <f t="shared" ref="U9:U15" si="1">SUM(D9:G9,T9)</f>
        <v>311812068.86989999</v>
      </c>
    </row>
    <row r="10" spans="2:21" ht="12.75" customHeight="1" x14ac:dyDescent="0.25">
      <c r="B10" s="38" t="s">
        <v>7</v>
      </c>
      <c r="C10" s="85" t="s">
        <v>137</v>
      </c>
      <c r="D10" s="93">
        <v>461721.61989999999</v>
      </c>
      <c r="E10" s="93">
        <v>411583.28</v>
      </c>
      <c r="F10" s="93">
        <v>432763.66</v>
      </c>
      <c r="G10" s="93">
        <v>157679.11000000002</v>
      </c>
      <c r="H10" s="87">
        <v>13148.4</v>
      </c>
      <c r="I10" s="87">
        <v>0</v>
      </c>
      <c r="J10" s="87">
        <v>132151.74</v>
      </c>
      <c r="K10" s="87">
        <v>10340.73</v>
      </c>
      <c r="L10" s="87">
        <v>1162.1099999999999</v>
      </c>
      <c r="M10" s="87">
        <v>0</v>
      </c>
      <c r="N10" s="87">
        <v>0</v>
      </c>
      <c r="O10" s="87">
        <v>0</v>
      </c>
      <c r="P10" s="87">
        <v>-10953.76</v>
      </c>
      <c r="Q10" s="87">
        <v>6368.72</v>
      </c>
      <c r="R10" s="87">
        <v>1943.44</v>
      </c>
      <c r="S10" s="87">
        <v>400355.6</v>
      </c>
      <c r="T10" s="88">
        <f t="shared" si="0"/>
        <v>554516.98</v>
      </c>
      <c r="U10" s="88">
        <f t="shared" si="1"/>
        <v>2018264.6499000001</v>
      </c>
    </row>
    <row r="11" spans="2:21" ht="12.75" customHeight="1" x14ac:dyDescent="0.25">
      <c r="B11" s="38" t="s">
        <v>12</v>
      </c>
      <c r="C11" s="85"/>
      <c r="D11" s="93">
        <v>0</v>
      </c>
      <c r="E11" s="93">
        <v>1527.68</v>
      </c>
      <c r="F11" s="93">
        <v>0</v>
      </c>
      <c r="G11" s="93">
        <v>1562.65</v>
      </c>
      <c r="H11" s="87">
        <v>0</v>
      </c>
      <c r="I11" s="87">
        <v>0</v>
      </c>
      <c r="J11" s="87">
        <v>0</v>
      </c>
      <c r="K11" s="87">
        <v>0</v>
      </c>
      <c r="L11" s="87">
        <v>0</v>
      </c>
      <c r="M11" s="87">
        <v>0</v>
      </c>
      <c r="N11" s="87">
        <v>0</v>
      </c>
      <c r="O11" s="87">
        <v>0</v>
      </c>
      <c r="P11" s="87">
        <v>0</v>
      </c>
      <c r="Q11" s="87">
        <v>0</v>
      </c>
      <c r="R11" s="87">
        <v>0</v>
      </c>
      <c r="S11" s="87">
        <v>0</v>
      </c>
      <c r="T11" s="88">
        <f t="shared" si="0"/>
        <v>0</v>
      </c>
      <c r="U11" s="88">
        <f t="shared" si="1"/>
        <v>3090.33</v>
      </c>
    </row>
    <row r="12" spans="2:21" ht="12.75" customHeight="1" x14ac:dyDescent="0.25">
      <c r="B12" s="38" t="str">
        <f>CLCP</f>
        <v>Constrained Local Capacity Planning Areas &amp; Disadvantaged Communities Pilot</v>
      </c>
      <c r="C12" s="85"/>
      <c r="D12" s="93">
        <v>0</v>
      </c>
      <c r="E12" s="93">
        <v>0</v>
      </c>
      <c r="F12" s="93">
        <v>0</v>
      </c>
      <c r="G12" s="93">
        <v>0</v>
      </c>
      <c r="H12" s="87">
        <v>0</v>
      </c>
      <c r="I12" s="87">
        <v>0</v>
      </c>
      <c r="J12" s="87">
        <v>0</v>
      </c>
      <c r="K12" s="87">
        <v>0</v>
      </c>
      <c r="L12" s="87">
        <v>0</v>
      </c>
      <c r="M12" s="87">
        <v>0</v>
      </c>
      <c r="N12" s="87">
        <v>0</v>
      </c>
      <c r="O12" s="87">
        <v>0</v>
      </c>
      <c r="P12" s="87">
        <v>0</v>
      </c>
      <c r="Q12" s="87">
        <v>0</v>
      </c>
      <c r="R12" s="87">
        <v>0</v>
      </c>
      <c r="S12" s="87">
        <v>0</v>
      </c>
      <c r="T12" s="88">
        <f t="shared" si="0"/>
        <v>0</v>
      </c>
      <c r="U12" s="88">
        <f t="shared" si="1"/>
        <v>0</v>
      </c>
    </row>
    <row r="13" spans="2:21" ht="12.75" customHeight="1" x14ac:dyDescent="0.25">
      <c r="B13" s="38" t="s">
        <v>213</v>
      </c>
      <c r="C13" s="85"/>
      <c r="D13" s="93">
        <v>0</v>
      </c>
      <c r="E13" s="93">
        <v>0</v>
      </c>
      <c r="F13" s="93">
        <v>0</v>
      </c>
      <c r="G13" s="93">
        <v>0</v>
      </c>
      <c r="H13" s="87">
        <v>0</v>
      </c>
      <c r="I13" s="87">
        <v>43440.61</v>
      </c>
      <c r="J13" s="87">
        <v>0</v>
      </c>
      <c r="K13" s="87">
        <v>0</v>
      </c>
      <c r="L13" s="87">
        <v>0</v>
      </c>
      <c r="M13" s="87">
        <v>0</v>
      </c>
      <c r="N13" s="87">
        <v>0</v>
      </c>
      <c r="O13" s="87">
        <v>0</v>
      </c>
      <c r="P13" s="87">
        <v>0</v>
      </c>
      <c r="Q13" s="87">
        <v>0</v>
      </c>
      <c r="R13" s="87">
        <v>0</v>
      </c>
      <c r="S13" s="87">
        <f>76748566.91+35359499</f>
        <v>112108065.91</v>
      </c>
      <c r="T13" s="88">
        <f t="shared" si="0"/>
        <v>112151506.52</v>
      </c>
      <c r="U13" s="88">
        <f t="shared" si="1"/>
        <v>112151506.52</v>
      </c>
    </row>
    <row r="14" spans="2:21" ht="12.75" customHeight="1" x14ac:dyDescent="0.25">
      <c r="B14" s="38" t="s">
        <v>197</v>
      </c>
      <c r="C14" s="1"/>
      <c r="D14" s="93">
        <v>1945546.14</v>
      </c>
      <c r="E14" s="93">
        <v>1961006.84</v>
      </c>
      <c r="F14" s="93">
        <v>1929901.65</v>
      </c>
      <c r="G14" s="93">
        <v>2253206.73</v>
      </c>
      <c r="H14" s="86">
        <v>-15430.71</v>
      </c>
      <c r="I14" s="86">
        <v>-3823.06</v>
      </c>
      <c r="J14" s="87">
        <v>16467.05</v>
      </c>
      <c r="K14" s="87">
        <v>12930.03</v>
      </c>
      <c r="L14" s="87">
        <v>4269.2</v>
      </c>
      <c r="M14" s="87">
        <v>275147.76</v>
      </c>
      <c r="N14" s="87">
        <v>526486.5</v>
      </c>
      <c r="O14" s="87">
        <v>588985.65</v>
      </c>
      <c r="P14" s="86">
        <v>573643.47</v>
      </c>
      <c r="Q14" s="86">
        <v>275252.74</v>
      </c>
      <c r="R14" s="86">
        <v>-286803</v>
      </c>
      <c r="S14" s="87">
        <v>8906.8500000001677</v>
      </c>
      <c r="T14" s="88">
        <f t="shared" si="0"/>
        <v>1976032.48</v>
      </c>
      <c r="U14" s="88">
        <f t="shared" si="1"/>
        <v>10065693.84</v>
      </c>
    </row>
    <row r="15" spans="2:21" ht="12.75" customHeight="1" x14ac:dyDescent="0.25">
      <c r="B15" s="38" t="s">
        <v>35</v>
      </c>
      <c r="C15" s="1"/>
      <c r="D15" s="93">
        <v>13012922.199999999</v>
      </c>
      <c r="E15" s="93">
        <v>10439996.67</v>
      </c>
      <c r="F15" s="93">
        <v>7614081.4299999811</v>
      </c>
      <c r="G15" s="93">
        <v>7481472.4500000002</v>
      </c>
      <c r="H15" s="86">
        <v>92615.62</v>
      </c>
      <c r="I15" s="86">
        <v>41436.5</v>
      </c>
      <c r="J15" s="87">
        <v>-85076.45</v>
      </c>
      <c r="K15" s="87">
        <v>90379.76</v>
      </c>
      <c r="L15" s="87">
        <v>18733.990000000002</v>
      </c>
      <c r="M15" s="87">
        <v>712738.37</v>
      </c>
      <c r="N15" s="87">
        <v>1484827.94</v>
      </c>
      <c r="O15" s="87">
        <v>1986205.38</v>
      </c>
      <c r="P15" s="86">
        <v>1845558.54</v>
      </c>
      <c r="Q15" s="86">
        <v>1079573.73</v>
      </c>
      <c r="R15" s="86">
        <v>258425.27</v>
      </c>
      <c r="S15" s="87">
        <v>-33120.300000000003</v>
      </c>
      <c r="T15" s="88">
        <f t="shared" si="0"/>
        <v>7492298.3499999987</v>
      </c>
      <c r="U15" s="88">
        <f t="shared" si="1"/>
        <v>46040771.099999979</v>
      </c>
    </row>
    <row r="16" spans="2:21" ht="12.75" customHeight="1" x14ac:dyDescent="0.25">
      <c r="B16" s="38" t="s">
        <v>36</v>
      </c>
      <c r="C16" s="85" t="s">
        <v>297</v>
      </c>
      <c r="D16" s="136">
        <v>34281828.310000002</v>
      </c>
      <c r="E16" s="136">
        <v>28713200.219999999</v>
      </c>
      <c r="F16" s="136">
        <v>23454268.890000012</v>
      </c>
      <c r="G16" s="136">
        <v>26003794.060000002</v>
      </c>
      <c r="H16" s="137">
        <v>7978.07</v>
      </c>
      <c r="I16" s="137">
        <v>1953.59</v>
      </c>
      <c r="J16" s="189">
        <v>-5524.81</v>
      </c>
      <c r="K16" s="189">
        <f>5217.4+308350</f>
        <v>313567.40000000002</v>
      </c>
      <c r="L16" s="189">
        <v>2994.95</v>
      </c>
      <c r="M16" s="189">
        <v>2846076.73</v>
      </c>
      <c r="N16" s="189">
        <f>5564762.77+200</f>
        <v>5564962.7699999996</v>
      </c>
      <c r="O16" s="189">
        <v>6408795.7000000002</v>
      </c>
      <c r="P16" s="137">
        <v>6121150.8200000003</v>
      </c>
      <c r="Q16" s="137">
        <v>2832239.58</v>
      </c>
      <c r="R16" s="137">
        <v>3820.92</v>
      </c>
      <c r="S16" s="189">
        <v>71847.60999999776</v>
      </c>
      <c r="T16" s="88">
        <f>SUM(H16:S16)</f>
        <v>24169863.329999998</v>
      </c>
      <c r="U16" s="88">
        <f>SUM(D16:G16,T16)</f>
        <v>136622954.81</v>
      </c>
    </row>
    <row r="17" spans="2:21" x14ac:dyDescent="0.25">
      <c r="B17" s="11" t="s">
        <v>211</v>
      </c>
      <c r="C17" s="12"/>
      <c r="D17" s="136">
        <v>0</v>
      </c>
      <c r="E17" s="136">
        <v>0</v>
      </c>
      <c r="F17" s="136">
        <v>0</v>
      </c>
      <c r="G17" s="136">
        <v>0</v>
      </c>
      <c r="H17" s="87">
        <v>144702</v>
      </c>
      <c r="I17" s="87">
        <v>-9000</v>
      </c>
      <c r="J17" s="87">
        <v>30708.11</v>
      </c>
      <c r="K17" s="87">
        <v>0</v>
      </c>
      <c r="L17" s="87">
        <v>0</v>
      </c>
      <c r="M17" s="87">
        <v>-30708.11</v>
      </c>
      <c r="N17" s="87">
        <v>0</v>
      </c>
      <c r="O17" s="87">
        <v>0</v>
      </c>
      <c r="P17" s="87">
        <v>19098.8</v>
      </c>
      <c r="Q17" s="87">
        <v>2000</v>
      </c>
      <c r="R17" s="87">
        <v>0</v>
      </c>
      <c r="S17" s="87">
        <v>10.4</v>
      </c>
      <c r="T17" s="88">
        <f>SUM(H17:S17)</f>
        <v>156811.19999999998</v>
      </c>
      <c r="U17" s="88">
        <f>SUM(D17:G17,T17)</f>
        <v>156811.19999999998</v>
      </c>
    </row>
    <row r="18" spans="2:21" ht="12.75" customHeight="1" x14ac:dyDescent="0.25">
      <c r="B18" s="37" t="s">
        <v>138</v>
      </c>
      <c r="C18" s="64"/>
      <c r="D18" s="91">
        <f>SUM(D8:D17)</f>
        <v>133511818.20990002</v>
      </c>
      <c r="E18" s="91">
        <f t="shared" ref="E18:G18" si="2">SUM(E8:E17)</f>
        <v>104923297.5399</v>
      </c>
      <c r="F18" s="91">
        <f t="shared" si="2"/>
        <v>84977454.329999998</v>
      </c>
      <c r="G18" s="91">
        <f t="shared" si="2"/>
        <v>101173258.33</v>
      </c>
      <c r="H18" s="91">
        <f>SUM(H8:H17)</f>
        <v>2714020.7600000002</v>
      </c>
      <c r="I18" s="91">
        <f>SUM(I8:I17)</f>
        <v>2399598.65</v>
      </c>
      <c r="J18" s="91">
        <f t="shared" ref="J18:S18" si="3">SUM(J8:J17)</f>
        <v>4650953.9400000004</v>
      </c>
      <c r="K18" s="91">
        <f t="shared" si="3"/>
        <v>5265343.8400000008</v>
      </c>
      <c r="L18" s="91">
        <f t="shared" si="3"/>
        <v>4018102.3100000005</v>
      </c>
      <c r="M18" s="91">
        <f t="shared" si="3"/>
        <v>8531890</v>
      </c>
      <c r="N18" s="91">
        <f t="shared" si="3"/>
        <v>16649904.529999999</v>
      </c>
      <c r="O18" s="91">
        <f t="shared" si="3"/>
        <v>20128939.25</v>
      </c>
      <c r="P18" s="91">
        <f t="shared" si="3"/>
        <v>16647238.740000002</v>
      </c>
      <c r="Q18" s="91">
        <f t="shared" si="3"/>
        <v>13625236.120000001</v>
      </c>
      <c r="R18" s="91">
        <f t="shared" si="3"/>
        <v>5822876.5700000003</v>
      </c>
      <c r="S18" s="91">
        <f t="shared" si="3"/>
        <v>117055799.83</v>
      </c>
      <c r="T18" s="91">
        <f>SUM(T8:T17)</f>
        <v>217509904.53999996</v>
      </c>
      <c r="U18" s="91">
        <f>SUM(U8:U17)</f>
        <v>642095732.94980001</v>
      </c>
    </row>
    <row r="19" spans="2:21" ht="12.75" customHeight="1" x14ac:dyDescent="0.25">
      <c r="B19" s="1"/>
      <c r="C19" s="1"/>
      <c r="D19" s="1"/>
      <c r="E19" s="1"/>
      <c r="F19" s="1"/>
      <c r="G19" s="1"/>
      <c r="H19" s="1"/>
      <c r="I19" s="1"/>
      <c r="J19" s="1"/>
      <c r="K19" s="1"/>
      <c r="L19" s="1"/>
      <c r="M19" s="1"/>
      <c r="N19" s="1"/>
      <c r="O19" s="1"/>
      <c r="P19" s="1"/>
      <c r="Q19" s="1"/>
      <c r="R19" s="1"/>
      <c r="S19" s="1"/>
      <c r="T19" s="1"/>
      <c r="U19" s="1"/>
    </row>
    <row r="20" spans="2:21" ht="12.75" customHeight="1" x14ac:dyDescent="0.25">
      <c r="B20" s="37" t="s">
        <v>139</v>
      </c>
      <c r="C20" s="64"/>
      <c r="D20" s="91">
        <v>-2658387.2400000002</v>
      </c>
      <c r="E20" s="91">
        <v>-2657887.9899999998</v>
      </c>
      <c r="F20" s="91">
        <v>-12535230.200000001</v>
      </c>
      <c r="G20" s="91">
        <v>-1048989.26</v>
      </c>
      <c r="H20" s="91">
        <v>51482</v>
      </c>
      <c r="I20" s="91">
        <v>-300476.43</v>
      </c>
      <c r="J20" s="91">
        <v>341439.91</v>
      </c>
      <c r="K20" s="91">
        <v>-40523.629999999997</v>
      </c>
      <c r="L20" s="91">
        <v>0</v>
      </c>
      <c r="M20" s="91">
        <v>0</v>
      </c>
      <c r="N20" s="91">
        <v>5499.51</v>
      </c>
      <c r="O20" s="91">
        <v>-8688.42</v>
      </c>
      <c r="P20" s="91">
        <v>-148331.57</v>
      </c>
      <c r="Q20" s="91">
        <v>-1394378.66</v>
      </c>
      <c r="R20" s="91">
        <v>549313.85</v>
      </c>
      <c r="S20" s="91">
        <v>-4377.99</v>
      </c>
      <c r="T20" s="91">
        <f>SUM(H20:S20)</f>
        <v>-949041.43</v>
      </c>
      <c r="U20" s="92">
        <f>SUM(D20:G20,T20)</f>
        <v>-19849536.120000001</v>
      </c>
    </row>
    <row r="21" spans="2:21" x14ac:dyDescent="0.25">
      <c r="B21" s="1"/>
      <c r="C21" s="1"/>
      <c r="D21" s="1"/>
      <c r="E21" s="1"/>
      <c r="F21" s="1"/>
      <c r="G21" s="1"/>
      <c r="H21" s="1"/>
      <c r="I21" s="1"/>
      <c r="J21" s="1"/>
      <c r="K21" s="1"/>
      <c r="L21" s="1"/>
      <c r="M21" s="1"/>
      <c r="N21" s="1"/>
      <c r="O21" s="1"/>
      <c r="P21" s="1"/>
      <c r="Q21" s="1"/>
      <c r="R21" s="1"/>
      <c r="S21" s="1"/>
      <c r="T21" s="1"/>
      <c r="U21" s="1"/>
    </row>
    <row r="22" spans="2:21" x14ac:dyDescent="0.25">
      <c r="B22" s="2" t="s">
        <v>67</v>
      </c>
      <c r="C22" s="1"/>
      <c r="D22" s="1"/>
      <c r="E22" s="1"/>
      <c r="F22" s="1"/>
      <c r="G22" s="1"/>
      <c r="H22" s="1"/>
      <c r="I22" s="1"/>
      <c r="J22" s="1"/>
      <c r="K22" s="1"/>
      <c r="L22" s="1"/>
      <c r="M22" s="1"/>
      <c r="N22" s="1"/>
      <c r="O22" s="1"/>
      <c r="P22" s="1"/>
      <c r="Q22" s="1"/>
      <c r="R22" s="1"/>
      <c r="S22" s="1"/>
      <c r="T22" s="1"/>
      <c r="U22" s="1"/>
    </row>
    <row r="23" spans="2:21" x14ac:dyDescent="0.25">
      <c r="B23" s="1" t="s">
        <v>324</v>
      </c>
      <c r="C23" s="1"/>
      <c r="D23" s="1"/>
      <c r="E23" s="1"/>
      <c r="F23" s="1"/>
      <c r="G23" s="1"/>
      <c r="H23" s="1"/>
      <c r="I23" s="1"/>
      <c r="J23" s="1"/>
      <c r="K23" s="1"/>
      <c r="L23" s="1"/>
      <c r="M23" s="1"/>
      <c r="N23" s="1"/>
      <c r="O23" s="1"/>
      <c r="P23" s="1"/>
      <c r="Q23" s="1"/>
      <c r="R23" s="1"/>
      <c r="S23" s="1"/>
      <c r="T23" s="1"/>
      <c r="U23" s="1"/>
    </row>
    <row r="24" spans="2:21" x14ac:dyDescent="0.25">
      <c r="B24" s="169" t="s">
        <v>254</v>
      </c>
      <c r="C24" s="1"/>
      <c r="D24" s="1"/>
      <c r="E24" s="1"/>
      <c r="F24" s="1"/>
      <c r="G24" s="1"/>
      <c r="H24" s="1"/>
      <c r="I24" s="1"/>
      <c r="J24" s="1"/>
      <c r="K24" s="1"/>
      <c r="L24" s="1"/>
      <c r="M24" s="1"/>
      <c r="N24" s="1"/>
      <c r="O24" s="1"/>
      <c r="P24" s="1"/>
      <c r="Q24" s="1"/>
      <c r="R24" s="1"/>
      <c r="S24" s="1"/>
      <c r="T24" s="1"/>
      <c r="U24" s="1"/>
    </row>
    <row r="25" spans="2:21" x14ac:dyDescent="0.25">
      <c r="B25" s="1" t="s">
        <v>255</v>
      </c>
      <c r="C25" s="1"/>
      <c r="D25" s="1"/>
      <c r="E25" s="1"/>
      <c r="F25" s="1"/>
      <c r="G25" s="1"/>
      <c r="H25" s="1"/>
      <c r="I25" s="1"/>
      <c r="J25" s="1"/>
      <c r="K25" s="1"/>
      <c r="L25" s="1"/>
      <c r="M25" s="1"/>
      <c r="N25" s="1"/>
      <c r="O25" s="1"/>
      <c r="P25" s="1"/>
      <c r="Q25" s="1"/>
      <c r="R25" s="1"/>
      <c r="S25" s="1"/>
      <c r="T25" s="1"/>
      <c r="U25" s="1"/>
    </row>
    <row r="26" spans="2:21" x14ac:dyDescent="0.25">
      <c r="B26" s="1" t="s">
        <v>256</v>
      </c>
      <c r="C26" s="1"/>
      <c r="D26" s="1"/>
      <c r="E26" s="1"/>
      <c r="F26" s="1"/>
      <c r="G26" s="1"/>
      <c r="H26" s="1"/>
      <c r="I26" s="1"/>
      <c r="J26" s="1"/>
      <c r="K26" s="1"/>
      <c r="L26" s="1"/>
      <c r="M26" s="1"/>
      <c r="N26" s="1"/>
      <c r="O26" s="1"/>
      <c r="P26" s="1"/>
      <c r="Q26" s="1"/>
      <c r="R26" s="1"/>
      <c r="S26" s="1"/>
      <c r="T26" s="1"/>
      <c r="U26" s="1"/>
    </row>
    <row r="27" spans="2:21" x14ac:dyDescent="0.25">
      <c r="B27" s="1" t="s">
        <v>257</v>
      </c>
      <c r="C27" s="1"/>
      <c r="D27" s="1"/>
      <c r="E27" s="1"/>
      <c r="F27" s="1"/>
      <c r="G27" s="1"/>
      <c r="H27" s="1"/>
      <c r="I27" s="1"/>
      <c r="J27" s="1"/>
      <c r="K27" s="1"/>
      <c r="L27" s="1"/>
      <c r="M27" s="1"/>
      <c r="N27" s="1"/>
      <c r="O27" s="1"/>
      <c r="P27" s="1"/>
      <c r="Q27" s="1"/>
      <c r="R27" s="1"/>
      <c r="S27" s="1"/>
      <c r="T27" s="1"/>
      <c r="U27" s="1"/>
    </row>
    <row r="28" spans="2:21" x14ac:dyDescent="0.25">
      <c r="B28" s="1" t="s">
        <v>296</v>
      </c>
      <c r="C28" s="1"/>
      <c r="D28" s="1"/>
      <c r="E28" s="1"/>
      <c r="F28" s="1"/>
      <c r="G28" s="1"/>
      <c r="H28" s="1"/>
      <c r="I28" s="1"/>
      <c r="J28" s="1"/>
      <c r="K28" s="1"/>
      <c r="L28" s="1"/>
      <c r="M28" s="1"/>
      <c r="N28" s="1"/>
      <c r="O28" s="1"/>
      <c r="P28" s="1"/>
      <c r="Q28" s="1"/>
      <c r="R28" s="1"/>
      <c r="S28" s="1"/>
      <c r="T28" s="1"/>
      <c r="U28" s="1"/>
    </row>
    <row r="29" spans="2:21" x14ac:dyDescent="0.25">
      <c r="B29" s="1"/>
      <c r="C29" s="1"/>
      <c r="D29" s="1"/>
      <c r="E29" s="1"/>
      <c r="F29" s="1"/>
      <c r="G29" s="1"/>
      <c r="H29" s="1"/>
      <c r="I29" s="1"/>
      <c r="J29" s="1"/>
      <c r="K29" s="1"/>
      <c r="L29" s="1"/>
      <c r="M29" s="1"/>
      <c r="N29" s="1"/>
      <c r="O29" s="1"/>
      <c r="P29" s="1"/>
      <c r="Q29" s="1"/>
      <c r="R29" s="1"/>
      <c r="S29" s="1"/>
      <c r="T29" s="1"/>
      <c r="U29" s="1"/>
    </row>
    <row r="30" spans="2:21" x14ac:dyDescent="0.25">
      <c r="B30" s="1"/>
      <c r="C30" s="1"/>
      <c r="D30" s="1"/>
      <c r="E30" s="1"/>
      <c r="F30" s="1"/>
      <c r="G30" s="1"/>
      <c r="H30" s="1"/>
      <c r="I30" s="1"/>
      <c r="J30" s="1"/>
      <c r="K30" s="1"/>
      <c r="L30" s="1"/>
      <c r="M30" s="1"/>
      <c r="N30" s="1"/>
      <c r="O30" s="1"/>
      <c r="P30" s="1"/>
      <c r="Q30" s="1"/>
      <c r="R30" s="1"/>
      <c r="S30" s="1"/>
      <c r="T30" s="1"/>
      <c r="U30" s="1"/>
    </row>
    <row r="31" spans="2:21" x14ac:dyDescent="0.25">
      <c r="B31" s="1"/>
      <c r="C31" s="1"/>
      <c r="D31" s="1"/>
      <c r="E31" s="1"/>
      <c r="F31" s="1"/>
      <c r="G31" s="1"/>
      <c r="H31" s="1"/>
      <c r="I31" s="1"/>
      <c r="J31" s="1"/>
      <c r="K31" s="1"/>
      <c r="L31" s="1"/>
      <c r="M31" s="1"/>
      <c r="N31" s="1"/>
      <c r="O31" s="1"/>
      <c r="P31" s="1"/>
      <c r="Q31" s="1"/>
      <c r="R31" s="1"/>
      <c r="S31" s="1"/>
      <c r="T31" s="1"/>
      <c r="U31" s="1"/>
    </row>
    <row r="32" spans="2:21" x14ac:dyDescent="0.25">
      <c r="B32" s="1"/>
      <c r="C32" s="1"/>
      <c r="D32" s="1"/>
      <c r="E32" s="1"/>
      <c r="F32" s="1"/>
      <c r="G32" s="1"/>
      <c r="H32" s="1"/>
      <c r="I32" s="1"/>
      <c r="J32" s="1"/>
      <c r="K32" s="1"/>
      <c r="L32" s="1"/>
      <c r="M32" s="1"/>
      <c r="N32" s="1"/>
      <c r="O32" s="1"/>
      <c r="P32" s="1"/>
      <c r="Q32" s="1"/>
      <c r="R32" s="1"/>
      <c r="S32" s="1"/>
      <c r="T32" s="1"/>
      <c r="U32" s="1"/>
    </row>
    <row r="33" spans="2:21" x14ac:dyDescent="0.25">
      <c r="B33" s="1"/>
      <c r="C33" s="1"/>
      <c r="D33" s="1"/>
      <c r="E33" s="1"/>
      <c r="F33" s="1"/>
      <c r="G33" s="1"/>
      <c r="H33" s="1"/>
      <c r="I33" s="1"/>
      <c r="J33" s="1"/>
      <c r="K33" s="1"/>
      <c r="L33" s="1"/>
      <c r="M33" s="1"/>
      <c r="N33" s="1"/>
      <c r="O33" s="1"/>
      <c r="P33" s="1"/>
      <c r="Q33" s="1"/>
      <c r="R33" s="1"/>
      <c r="S33" s="1"/>
      <c r="T33" s="1"/>
      <c r="U33" s="1"/>
    </row>
    <row r="34" spans="2:21" x14ac:dyDescent="0.25">
      <c r="B34" s="1"/>
      <c r="C34" s="1"/>
      <c r="D34" s="1"/>
      <c r="E34" s="1"/>
      <c r="F34" s="1"/>
      <c r="G34" s="1"/>
      <c r="H34" s="1"/>
      <c r="I34" s="1"/>
      <c r="J34" s="1"/>
      <c r="K34" s="1"/>
      <c r="L34" s="1"/>
      <c r="M34" s="1"/>
      <c r="N34" s="1"/>
      <c r="O34" s="1"/>
      <c r="P34" s="1"/>
      <c r="Q34" s="1"/>
      <c r="R34" s="1"/>
      <c r="S34" s="1"/>
      <c r="T34" s="1"/>
      <c r="U34" s="1"/>
    </row>
    <row r="35" spans="2:21" x14ac:dyDescent="0.25">
      <c r="B35" s="1"/>
      <c r="C35" s="1"/>
      <c r="D35" s="1"/>
      <c r="E35" s="1"/>
      <c r="F35" s="1"/>
      <c r="G35" s="1"/>
      <c r="H35" s="1"/>
      <c r="I35" s="1"/>
      <c r="J35" s="1"/>
      <c r="K35" s="1"/>
      <c r="L35" s="1"/>
      <c r="M35" s="1"/>
      <c r="N35" s="1"/>
      <c r="O35" s="1"/>
      <c r="P35" s="1"/>
      <c r="Q35" s="1"/>
      <c r="R35" s="1"/>
      <c r="S35" s="1"/>
      <c r="T35" s="1"/>
      <c r="U35" s="1"/>
    </row>
    <row r="36" spans="2:21" x14ac:dyDescent="0.25">
      <c r="B36" s="1"/>
      <c r="C36" s="1"/>
      <c r="D36" s="1"/>
      <c r="E36" s="1"/>
      <c r="F36" s="1"/>
      <c r="G36" s="1"/>
      <c r="H36" s="1"/>
      <c r="I36" s="1"/>
      <c r="J36" s="1"/>
      <c r="K36" s="1"/>
      <c r="L36" s="1"/>
      <c r="M36" s="1"/>
      <c r="N36" s="1"/>
      <c r="O36" s="1"/>
      <c r="P36" s="1"/>
      <c r="Q36" s="1"/>
      <c r="R36" s="1"/>
      <c r="S36" s="1"/>
      <c r="T36" s="1"/>
      <c r="U36" s="1"/>
    </row>
  </sheetData>
  <mergeCells count="8">
    <mergeCell ref="B1:U1"/>
    <mergeCell ref="D5:D6"/>
    <mergeCell ref="E5:E6"/>
    <mergeCell ref="G5:G6"/>
    <mergeCell ref="H5:S5"/>
    <mergeCell ref="T5:T6"/>
    <mergeCell ref="U5:U6"/>
    <mergeCell ref="F5:F6"/>
  </mergeCells>
  <pageMargins left="0.7" right="0.7" top="0.75" bottom="0.75" header="0.3" footer="0.3"/>
  <pageSetup paperSize="5" scale="40" orientation="landscape" r:id="rId1"/>
  <headerFooter>
    <oddFooter>&amp;L&amp;F&amp;C-Public-&amp;RA-&amp;P</oddFooter>
  </headerFooter>
  <ignoredErrors>
    <ignoredError sqref="T20:U20 T13:U17 T8:U12" formulaRange="1"/>
    <ignoredError sqref="C10 C1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4998A-B8D1-402A-B867-F7CEEE57719A}">
  <sheetPr>
    <pageSetUpPr fitToPage="1"/>
  </sheetPr>
  <dimension ref="B1:F27"/>
  <sheetViews>
    <sheetView showGridLines="0" view="pageBreakPreview" zoomScale="70" zoomScaleNormal="100" zoomScaleSheetLayoutView="70" workbookViewId="0">
      <selection activeCell="D43" sqref="D43:U44"/>
    </sheetView>
  </sheetViews>
  <sheetFormatPr defaultRowHeight="15" x14ac:dyDescent="0.25"/>
  <cols>
    <col min="1" max="1" width="1.42578125" customWidth="1"/>
    <col min="2" max="2" width="46" customWidth="1"/>
    <col min="3" max="3" width="19.7109375" customWidth="1"/>
    <col min="4" max="4" width="68.28515625" customWidth="1"/>
    <col min="5" max="5" width="13.42578125" customWidth="1"/>
    <col min="6" max="6" width="98.42578125" customWidth="1"/>
    <col min="7" max="7" width="3.7109375" customWidth="1"/>
  </cols>
  <sheetData>
    <row r="1" spans="2:6" ht="51.75" customHeight="1" x14ac:dyDescent="0.25">
      <c r="B1" s="231" t="s">
        <v>268</v>
      </c>
      <c r="C1" s="232"/>
      <c r="D1" s="232"/>
      <c r="E1" s="232"/>
      <c r="F1" s="232"/>
    </row>
    <row r="2" spans="2:6" ht="12.75" customHeight="1" x14ac:dyDescent="0.25">
      <c r="B2" s="2" t="s">
        <v>58</v>
      </c>
      <c r="C2" s="1"/>
      <c r="D2" s="1"/>
      <c r="E2" s="1"/>
      <c r="F2" s="1"/>
    </row>
    <row r="3" spans="2:6" ht="12.75" customHeight="1" x14ac:dyDescent="0.25">
      <c r="B3" s="1"/>
      <c r="C3" s="1"/>
      <c r="D3" s="1"/>
      <c r="E3" s="1"/>
      <c r="F3" s="1"/>
    </row>
    <row r="4" spans="2:6" ht="12.75" customHeight="1" x14ac:dyDescent="0.25">
      <c r="B4" s="1"/>
      <c r="C4" s="1"/>
      <c r="D4" s="1"/>
      <c r="E4" s="1"/>
      <c r="F4" s="1"/>
    </row>
    <row r="5" spans="2:6" ht="12.75" customHeight="1" x14ac:dyDescent="0.25">
      <c r="B5" s="2" t="s">
        <v>70</v>
      </c>
      <c r="C5" s="1"/>
      <c r="D5" s="1"/>
      <c r="E5" s="1"/>
      <c r="F5" s="1"/>
    </row>
    <row r="6" spans="2:6" ht="12.75" customHeight="1" x14ac:dyDescent="0.25">
      <c r="B6" s="1"/>
      <c r="C6" s="1"/>
      <c r="D6" s="1"/>
      <c r="E6" s="1"/>
      <c r="F6" s="1"/>
    </row>
    <row r="7" spans="2:6" ht="12.75" customHeight="1" x14ac:dyDescent="0.25">
      <c r="B7" s="204" t="s">
        <v>59</v>
      </c>
      <c r="C7" s="1" t="s">
        <v>68</v>
      </c>
      <c r="D7" s="1"/>
      <c r="E7" s="1"/>
      <c r="F7" s="1"/>
    </row>
    <row r="8" spans="2:6" ht="12.75" customHeight="1" x14ac:dyDescent="0.25">
      <c r="C8" s="1" t="s">
        <v>330</v>
      </c>
    </row>
    <row r="9" spans="2:6" ht="12.75" customHeight="1" x14ac:dyDescent="0.25">
      <c r="C9" s="1" t="s">
        <v>331</v>
      </c>
    </row>
    <row r="10" spans="2:6" ht="12.75" customHeight="1" x14ac:dyDescent="0.25">
      <c r="C10" s="1" t="s">
        <v>71</v>
      </c>
    </row>
    <row r="11" spans="2:6" ht="12.75" customHeight="1" x14ac:dyDescent="0.25">
      <c r="C11" s="1" t="s">
        <v>332</v>
      </c>
    </row>
    <row r="12" spans="2:6" ht="12.75" customHeight="1" x14ac:dyDescent="0.25">
      <c r="C12" s="1" t="s">
        <v>333</v>
      </c>
    </row>
    <row r="13" spans="2:6" ht="12.75" customHeight="1" x14ac:dyDescent="0.25">
      <c r="C13" s="1" t="s">
        <v>72</v>
      </c>
    </row>
    <row r="14" spans="2:6" ht="12.75" customHeight="1" x14ac:dyDescent="0.25">
      <c r="B14" s="274" t="s">
        <v>60</v>
      </c>
      <c r="C14" s="1" t="s">
        <v>69</v>
      </c>
    </row>
    <row r="15" spans="2:6" ht="12.75" customHeight="1" x14ac:dyDescent="0.25">
      <c r="B15" s="204" t="s">
        <v>326</v>
      </c>
      <c r="C15" s="2"/>
    </row>
    <row r="16" spans="2:6" ht="12.75" customHeight="1" x14ac:dyDescent="0.25">
      <c r="B16" s="204" t="s">
        <v>327</v>
      </c>
      <c r="C16" s="1" t="s">
        <v>328</v>
      </c>
    </row>
    <row r="17" spans="2:6" ht="12.75" customHeight="1" x14ac:dyDescent="0.25">
      <c r="B17" s="204" t="s">
        <v>60</v>
      </c>
      <c r="C17" s="1" t="s">
        <v>329</v>
      </c>
    </row>
    <row r="18" spans="2:6" ht="12.75" customHeight="1" thickBot="1" x14ac:dyDescent="0.3"/>
    <row r="19" spans="2:6" ht="12.75" customHeight="1" x14ac:dyDescent="0.25">
      <c r="B19" s="224" t="s">
        <v>61</v>
      </c>
      <c r="C19" s="225" t="s">
        <v>62</v>
      </c>
      <c r="D19" s="225" t="s">
        <v>63</v>
      </c>
      <c r="E19" s="225" t="s">
        <v>64</v>
      </c>
      <c r="F19" s="226" t="s">
        <v>65</v>
      </c>
    </row>
    <row r="20" spans="2:6" ht="25.5" x14ac:dyDescent="0.25">
      <c r="B20" s="227" t="s">
        <v>93</v>
      </c>
      <c r="C20" s="271">
        <v>310000</v>
      </c>
      <c r="D20" s="228" t="s">
        <v>318</v>
      </c>
      <c r="E20" s="229">
        <v>44896</v>
      </c>
      <c r="F20" s="272" t="s">
        <v>319</v>
      </c>
    </row>
    <row r="21" spans="2:6" ht="25.5" x14ac:dyDescent="0.25">
      <c r="B21" s="227" t="s">
        <v>93</v>
      </c>
      <c r="C21" s="271">
        <v>517000</v>
      </c>
      <c r="D21" s="228" t="s">
        <v>318</v>
      </c>
      <c r="E21" s="229">
        <v>44896</v>
      </c>
      <c r="F21" s="272" t="s">
        <v>320</v>
      </c>
    </row>
    <row r="22" spans="2:6" ht="25.5" x14ac:dyDescent="0.25">
      <c r="B22" s="227" t="s">
        <v>93</v>
      </c>
      <c r="C22" s="271">
        <v>56000</v>
      </c>
      <c r="D22" s="228" t="s">
        <v>318</v>
      </c>
      <c r="E22" s="229">
        <v>44896</v>
      </c>
      <c r="F22" s="272" t="s">
        <v>325</v>
      </c>
    </row>
    <row r="23" spans="2:6" ht="26.25" thickBot="1" x14ac:dyDescent="0.3">
      <c r="B23" s="227" t="s">
        <v>93</v>
      </c>
      <c r="C23" s="271">
        <v>4500000</v>
      </c>
      <c r="D23" s="228" t="s">
        <v>318</v>
      </c>
      <c r="E23" s="229">
        <v>44896</v>
      </c>
      <c r="F23" s="273" t="s">
        <v>321</v>
      </c>
    </row>
    <row r="24" spans="2:6" ht="12.75" customHeight="1" thickBot="1" x14ac:dyDescent="0.3">
      <c r="B24" s="23"/>
      <c r="C24" s="24"/>
      <c r="D24" s="24"/>
      <c r="E24" s="24"/>
      <c r="F24" s="25"/>
    </row>
    <row r="25" spans="2:6" ht="12.75" customHeight="1" thickBot="1" x14ac:dyDescent="0.3">
      <c r="B25" s="26" t="s">
        <v>66</v>
      </c>
      <c r="C25" s="29">
        <f>SUM(C20:C24)</f>
        <v>5383000</v>
      </c>
      <c r="D25" s="27"/>
      <c r="E25" s="27"/>
      <c r="F25" s="28"/>
    </row>
    <row r="26" spans="2:6" ht="12.75" customHeight="1" x14ac:dyDescent="0.25"/>
    <row r="27" spans="2:6" ht="12.75" customHeight="1" x14ac:dyDescent="0.25">
      <c r="B27" s="2" t="s">
        <v>67</v>
      </c>
    </row>
  </sheetData>
  <mergeCells count="1">
    <mergeCell ref="B1:F1"/>
  </mergeCells>
  <pageMargins left="0.7" right="0.7" top="0.75" bottom="0.75" header="0.3" footer="0.3"/>
  <pageSetup paperSize="5" scale="64" orientation="landscape" r:id="rId1"/>
  <headerFooter>
    <oddFooter>&amp;L&amp;F&amp;C-Public-&amp;RA-&amp;P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499AF7704FFA43BE035F21CABD41FD" ma:contentTypeVersion="6" ma:contentTypeDescription="Create a new document." ma:contentTypeScope="" ma:versionID="b180fcb6b620d15f3100618fa5fa298b">
  <xsd:schema xmlns:xsd="http://www.w3.org/2001/XMLSchema" xmlns:xs="http://www.w3.org/2001/XMLSchema" xmlns:p="http://schemas.microsoft.com/office/2006/metadata/properties" xmlns:ns2="c37b5980-260e-4cbb-8e85-baf8735f362e" xmlns:ns3="64a6cbe6-afc3-4ff7-a390-59dfee124b22" targetNamespace="http://schemas.microsoft.com/office/2006/metadata/properties" ma:root="true" ma:fieldsID="c4e1f7003d1f9b29f925b74edda71f85" ns2:_="" ns3:_="">
    <xsd:import namespace="c37b5980-260e-4cbb-8e85-baf8735f362e"/>
    <xsd:import namespace="64a6cbe6-afc3-4ff7-a390-59dfee124b2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7b5980-260e-4cbb-8e85-baf8735f36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a6cbe6-afc3-4ff7-a390-59dfee124b2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4D14317-E01A-4D56-AB7B-D892FC56077F}"/>
</file>

<file path=customXml/itemProps2.xml><?xml version="1.0" encoding="utf-8"?>
<ds:datastoreItem xmlns:ds="http://schemas.openxmlformats.org/officeDocument/2006/customXml" ds:itemID="{86AA3972-91FD-4536-9F14-B26B49BFDEBC}"/>
</file>

<file path=customXml/itemProps3.xml><?xml version="1.0" encoding="utf-8"?>
<ds:datastoreItem xmlns:ds="http://schemas.openxmlformats.org/officeDocument/2006/customXml" ds:itemID="{921596CC-1280-477C-B31A-4A8D64E11C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60</vt:i4>
      </vt:variant>
    </vt:vector>
  </HeadingPairs>
  <TitlesOfParts>
    <vt:vector size="72" baseType="lpstr">
      <vt:lpstr>Program Names</vt:lpstr>
      <vt:lpstr>Program Ex Ante &amp; Ex Post MWs</vt:lpstr>
      <vt:lpstr>Load Impacts (ExPost &amp; ExAnte)</vt:lpstr>
      <vt:lpstr>Auto DR Current Cycle</vt:lpstr>
      <vt:lpstr>Auto DR Carryover Cycles</vt:lpstr>
      <vt:lpstr>2022 DRP Expenditures</vt:lpstr>
      <vt:lpstr>DRP Carryover Expenditures</vt:lpstr>
      <vt:lpstr>Incentives</vt:lpstr>
      <vt:lpstr>Fund Shift Log</vt:lpstr>
      <vt:lpstr>Marketing Monthly</vt:lpstr>
      <vt:lpstr>Marketing Quarterly</vt:lpstr>
      <vt:lpstr>Event Summary</vt:lpstr>
      <vt:lpstr>API</vt:lpstr>
      <vt:lpstr>API_I</vt:lpstr>
      <vt:lpstr>BIP_15</vt:lpstr>
      <vt:lpstr>BIP_30</vt:lpstr>
      <vt:lpstr>BIP_I</vt:lpstr>
      <vt:lpstr>BIPG</vt:lpstr>
      <vt:lpstr>CBP_DA</vt:lpstr>
      <vt:lpstr>CBP_DO</vt:lpstr>
      <vt:lpstr>CBP_I</vt:lpstr>
      <vt:lpstr>CBPG</vt:lpstr>
      <vt:lpstr>CBPR</vt:lpstr>
      <vt:lpstr>CHARG</vt:lpstr>
      <vt:lpstr>CHARG_I</vt:lpstr>
      <vt:lpstr>CLCP</vt:lpstr>
      <vt:lpstr>CLCP_I</vt:lpstr>
      <vt:lpstr>CPP</vt:lpstr>
      <vt:lpstr>CPP_LG</vt:lpstr>
      <vt:lpstr>CPP_MED</vt:lpstr>
      <vt:lpstr>CPP_SM</vt:lpstr>
      <vt:lpstr>DBP</vt:lpstr>
      <vt:lpstr>DRAM</vt:lpstr>
      <vt:lpstr>DRPS</vt:lpstr>
      <vt:lpstr>DRR_24</vt:lpstr>
      <vt:lpstr>DRST</vt:lpstr>
      <vt:lpstr>ELRP</vt:lpstr>
      <vt:lpstr>ELRP_I</vt:lpstr>
      <vt:lpstr>EMT</vt:lpstr>
      <vt:lpstr>EMV</vt:lpstr>
      <vt:lpstr>ExAnteData</vt:lpstr>
      <vt:lpstr>ExAnteMo</vt:lpstr>
      <vt:lpstr>ExAnteProg</vt:lpstr>
      <vt:lpstr>ExPostData</vt:lpstr>
      <vt:lpstr>ExPostMo</vt:lpstr>
      <vt:lpstr>ExPostProg</vt:lpstr>
      <vt:lpstr>IDSM_NR</vt:lpstr>
      <vt:lpstr>IDSM_R</vt:lpstr>
      <vt:lpstr>OBMC</vt:lpstr>
      <vt:lpstr>OLM</vt:lpstr>
      <vt:lpstr>'2022 DRP Expenditures'!Print_Area</vt:lpstr>
      <vt:lpstr>'DRP Carryover Expenditures'!Print_Area</vt:lpstr>
      <vt:lpstr>'Fund Shift Log'!Print_Area</vt:lpstr>
      <vt:lpstr>Incentives!Print_Area</vt:lpstr>
      <vt:lpstr>'Load Impacts (ExPost &amp; ExAnte)'!Print_Area</vt:lpstr>
      <vt:lpstr>'Marketing Monthly'!Print_Area</vt:lpstr>
      <vt:lpstr>'Marketing Quarterly'!Print_Area</vt:lpstr>
      <vt:lpstr>'Program Ex Ante &amp; Ex Post MWs'!Print_Area</vt:lpstr>
      <vt:lpstr>ROTO</vt:lpstr>
      <vt:lpstr>RTP</vt:lpstr>
      <vt:lpstr>SCT</vt:lpstr>
      <vt:lpstr>SDP_I</vt:lpstr>
      <vt:lpstr>SDPC</vt:lpstr>
      <vt:lpstr>SDPG</vt:lpstr>
      <vt:lpstr>SDPR</vt:lpstr>
      <vt:lpstr>SEP</vt:lpstr>
      <vt:lpstr>SEP_I</vt:lpstr>
      <vt:lpstr>SLRP</vt:lpstr>
      <vt:lpstr>SWMEO</vt:lpstr>
      <vt:lpstr>TIP</vt:lpstr>
      <vt:lpstr>VPP</vt:lpstr>
      <vt:lpstr>VPP_I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 Brown</dc:creator>
  <cp:lastModifiedBy>Louis Brown</cp:lastModifiedBy>
  <cp:lastPrinted>2023-01-25T01:24:14Z</cp:lastPrinted>
  <dcterms:created xsi:type="dcterms:W3CDTF">2021-02-01T22:38:49Z</dcterms:created>
  <dcterms:modified xsi:type="dcterms:W3CDTF">2023-01-25T01:24:37Z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0x010100C2499AF7704FFA43BE035F21CABD41FD</vt:lpwstr>
  </property>
</Properties>
</file>